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always" codeName="EstaPastaDeTrabalho"/>
  <mc:AlternateContent xmlns:mc="http://schemas.openxmlformats.org/markup-compatibility/2006">
    <mc:Choice Requires="x15">
      <x15ac:absPath xmlns:x15ac="http://schemas.microsoft.com/office/spreadsheetml/2010/11/ac" url="N:\Diretoria Adm. Financeira\RI\28. Resultados\2026\2T26\Fundamentos\"/>
    </mc:Choice>
  </mc:AlternateContent>
  <xr:revisionPtr revIDLastSave="0" documentId="13_ncr:1_{960D0FE6-EADB-4775-BBAE-56BFC53F1053}" xr6:coauthVersionLast="47" xr6:coauthVersionMax="47" xr10:uidLastSave="{00000000-0000-0000-0000-000000000000}"/>
  <bookViews>
    <workbookView xWindow="-108" yWindow="-108" windowWidth="23256" windowHeight="12456" tabRatio="863" xr2:uid="{00000000-000D-0000-FFFF-FFFF00000000}"/>
  </bookViews>
  <sheets>
    <sheet name="Sumário | Summary" sheetId="33" r:id="rId1"/>
    <sheet name="DRE - IFRS" sheetId="35" r:id="rId2"/>
    <sheet name="DRE - Proforma" sheetId="34" r:id="rId3"/>
    <sheet name="Indicadores" sheetId="16" r:id="rId4"/>
    <sheet name="Balanço IFRS" sheetId="13" r:id="rId5"/>
    <sheet name="Balanço Proforma" sheetId="31" r:id="rId6"/>
    <sheet name="Portfólio" sheetId="32" r:id="rId7"/>
    <sheet name="Vacância" sheetId="21" r:id="rId8"/>
    <sheet name="Consolidação IFRS" sheetId="28" r:id="rId9"/>
  </sheets>
  <definedNames>
    <definedName name="_xlnm.Print_Area" localSheetId="4">'Balanço IFRS'!$B$1:$X$60</definedName>
    <definedName name="_xlnm.Print_Area" localSheetId="8">'Consolidação IFRS'!$B$1:$B$19</definedName>
    <definedName name="_xlnm.Print_Area" localSheetId="1">'DRE - IFRS'!$B$1:$B$42</definedName>
    <definedName name="_xlnm.Print_Area" localSheetId="3">Indicadores!$B$1:$B$63</definedName>
    <definedName name="_xlnm.Print_Area" localSheetId="6">Portfólio!$B$1:$X$100</definedName>
    <definedName name="_xlnm.Print_Area" localSheetId="0">'Sumário | Summary'!$A$1:$I$20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X54" i="21" l="1"/>
  <c r="BX49" i="21"/>
  <c r="BX37" i="21"/>
  <c r="BX150" i="32"/>
  <c r="BX102" i="32"/>
  <c r="BX54" i="32"/>
  <c r="BB37" i="34"/>
  <c r="BC66" i="13"/>
  <c r="BQ26" i="16"/>
  <c r="BV37" i="35" l="1"/>
  <c r="BV24" i="35"/>
  <c r="AR18" i="31"/>
  <c r="AR28" i="31"/>
  <c r="AR7" i="31"/>
  <c r="AR35" i="31"/>
  <c r="AR52" i="31"/>
  <c r="BE7" i="13"/>
  <c r="BE29" i="13"/>
  <c r="BE36" i="13"/>
  <c r="BE53" i="13"/>
  <c r="BE18" i="13"/>
  <c r="BB21" i="34"/>
  <c r="BB24" i="34"/>
  <c r="BB14" i="34"/>
  <c r="BV21" i="35"/>
  <c r="BV14" i="35"/>
  <c r="BX140" i="32"/>
  <c r="BX109" i="32"/>
  <c r="BX133" i="32"/>
  <c r="BX141" i="32"/>
  <c r="BX111" i="32"/>
  <c r="BX112" i="32"/>
  <c r="BX128" i="32"/>
  <c r="BX136" i="32"/>
  <c r="BX113" i="32"/>
  <c r="BX106" i="32"/>
  <c r="BX122" i="32"/>
  <c r="BX138" i="32"/>
  <c r="BX107" i="32"/>
  <c r="BX123" i="32"/>
  <c r="BX139" i="32"/>
  <c r="BB22" i="34" l="1"/>
  <c r="BB33" i="34" s="1"/>
  <c r="BB36" i="34" s="1"/>
  <c r="BB40" i="34" s="1"/>
  <c r="BB42" i="34" s="1"/>
  <c r="BB43" i="34" s="1"/>
  <c r="AR6" i="31"/>
  <c r="AR34" i="31"/>
  <c r="BE6" i="13"/>
  <c r="BE35" i="13"/>
  <c r="BB23" i="34"/>
  <c r="BV22" i="35"/>
  <c r="BX145" i="32"/>
  <c r="BX137" i="32"/>
  <c r="BX119" i="32"/>
  <c r="BX108" i="32"/>
  <c r="BX105" i="32"/>
  <c r="BX142" i="32"/>
  <c r="BX144" i="32"/>
  <c r="BX143" i="32"/>
  <c r="AR65" i="31" l="1"/>
  <c r="BE66" i="13"/>
  <c r="BV23" i="35"/>
  <c r="BV33" i="35"/>
  <c r="BV36" i="35" s="1"/>
  <c r="BV40" i="35" s="1"/>
  <c r="BV42" i="35" s="1"/>
  <c r="BV43" i="35" s="1"/>
  <c r="BP26" i="16" l="1"/>
  <c r="BO26" i="16"/>
  <c r="BN26" i="16"/>
  <c r="BM26" i="16"/>
  <c r="BL26" i="16"/>
  <c r="BK26" i="16"/>
  <c r="BJ26" i="16"/>
  <c r="BI26" i="16"/>
  <c r="BH26" i="16"/>
  <c r="BG26" i="16"/>
  <c r="BF26" i="16"/>
  <c r="BE26" i="16"/>
  <c r="BD26" i="16"/>
  <c r="BC26" i="16"/>
  <c r="BB26" i="16"/>
  <c r="BA26" i="16"/>
  <c r="AZ26" i="16"/>
  <c r="AY26" i="16"/>
  <c r="AX26" i="16"/>
  <c r="AW26" i="16"/>
  <c r="AV26" i="16"/>
  <c r="AU26" i="16"/>
  <c r="AT26" i="16"/>
  <c r="AS26" i="16"/>
  <c r="AR26" i="16"/>
  <c r="AQ26" i="16"/>
  <c r="AP26" i="16"/>
  <c r="AO26" i="16"/>
  <c r="AN26" i="16"/>
  <c r="AM26" i="16"/>
  <c r="AL26" i="16"/>
  <c r="AK26" i="16"/>
  <c r="AJ26" i="16"/>
  <c r="AI26" i="16"/>
  <c r="AH26" i="16"/>
  <c r="AG26" i="16"/>
  <c r="AF26" i="16"/>
  <c r="AE26" i="16"/>
  <c r="AD26" i="16"/>
  <c r="AC26" i="16"/>
  <c r="AB26" i="16"/>
  <c r="AA26" i="16"/>
  <c r="Z26" i="16"/>
  <c r="Y26" i="16"/>
  <c r="X26" i="16"/>
  <c r="W26" i="16"/>
  <c r="F32" i="34"/>
  <c r="F30" i="34"/>
  <c r="F29" i="34"/>
  <c r="F28" i="34"/>
  <c r="F26" i="34"/>
  <c r="F25" i="34"/>
  <c r="F24" i="34" l="1"/>
  <c r="B40" i="34" l="1"/>
  <c r="AV37" i="34"/>
  <c r="AU37" i="34"/>
  <c r="AT37" i="34"/>
  <c r="AS37" i="34"/>
  <c r="AR37" i="34"/>
  <c r="AQ37" i="34"/>
  <c r="AP37" i="34"/>
  <c r="AO37" i="34"/>
  <c r="AN37" i="34"/>
  <c r="AM37" i="34"/>
  <c r="AL37" i="34"/>
  <c r="AK37" i="34"/>
  <c r="AJ37" i="34"/>
  <c r="AI37" i="34"/>
  <c r="AH37" i="34"/>
  <c r="AG37" i="34"/>
  <c r="AF37" i="34"/>
  <c r="AE37" i="34"/>
  <c r="AD37" i="34"/>
  <c r="AC37" i="34"/>
  <c r="AB37" i="34"/>
  <c r="AA37" i="34"/>
  <c r="Z37" i="34"/>
  <c r="Y37" i="34"/>
  <c r="X37" i="34"/>
  <c r="W37" i="34"/>
  <c r="V37" i="34"/>
  <c r="U37" i="34"/>
  <c r="T37" i="34"/>
  <c r="S37" i="34"/>
  <c r="R37" i="34"/>
  <c r="Q37" i="34"/>
  <c r="P37" i="34"/>
  <c r="O37" i="34"/>
  <c r="N37" i="34"/>
  <c r="M37" i="34"/>
  <c r="L37" i="34"/>
  <c r="K37" i="34"/>
  <c r="J37" i="34"/>
  <c r="I37" i="34"/>
  <c r="H37" i="34"/>
  <c r="G37" i="34"/>
  <c r="F37" i="34"/>
  <c r="E37" i="34"/>
  <c r="D37" i="34"/>
  <c r="C37" i="34"/>
  <c r="AV24" i="34"/>
  <c r="AU24" i="34"/>
  <c r="AT24" i="34"/>
  <c r="AS24" i="34"/>
  <c r="AR24" i="34"/>
  <c r="AQ24" i="34"/>
  <c r="AP24" i="34"/>
  <c r="AO24" i="34"/>
  <c r="AN24" i="34"/>
  <c r="AM24" i="34"/>
  <c r="AL24" i="34"/>
  <c r="AK24" i="34"/>
  <c r="AJ24" i="34"/>
  <c r="AI24" i="34"/>
  <c r="AH24" i="34"/>
  <c r="AG24" i="34"/>
  <c r="AF24" i="34"/>
  <c r="AE24" i="34"/>
  <c r="AD24" i="34"/>
  <c r="AC24" i="34"/>
  <c r="AB24" i="34"/>
  <c r="AA24" i="34"/>
  <c r="Z24" i="34"/>
  <c r="Y24" i="34"/>
  <c r="X24" i="34"/>
  <c r="W24" i="34"/>
  <c r="V24" i="34"/>
  <c r="U24" i="34"/>
  <c r="T24" i="34"/>
  <c r="S24" i="34"/>
  <c r="R24" i="34"/>
  <c r="Q24" i="34"/>
  <c r="P24" i="34"/>
  <c r="O24" i="34"/>
  <c r="N24" i="34"/>
  <c r="M24" i="34"/>
  <c r="L24" i="34"/>
  <c r="K24" i="34"/>
  <c r="J24" i="34"/>
  <c r="I24" i="34"/>
  <c r="H24" i="34"/>
  <c r="G24" i="34"/>
  <c r="E24" i="34"/>
  <c r="D24" i="34"/>
  <c r="C24" i="34"/>
  <c r="AV21" i="34"/>
  <c r="AU21" i="34"/>
  <c r="AT21" i="34"/>
  <c r="AS21" i="34"/>
  <c r="AR21" i="34"/>
  <c r="AQ21" i="34"/>
  <c r="AP21" i="34"/>
  <c r="AO21" i="34"/>
  <c r="AN21" i="34"/>
  <c r="AM21" i="34"/>
  <c r="AL21" i="34"/>
  <c r="AK21" i="34"/>
  <c r="AJ21" i="34"/>
  <c r="AI21" i="34"/>
  <c r="AH21" i="34"/>
  <c r="AG21" i="34"/>
  <c r="AF21" i="34"/>
  <c r="AE21" i="34"/>
  <c r="AD21" i="34"/>
  <c r="AC21" i="34"/>
  <c r="AB21" i="34"/>
  <c r="AA21" i="34"/>
  <c r="Z21" i="34"/>
  <c r="Y21" i="34"/>
  <c r="X21" i="34"/>
  <c r="W21" i="34"/>
  <c r="V21" i="34"/>
  <c r="U21" i="34"/>
  <c r="T21" i="34"/>
  <c r="S21" i="34"/>
  <c r="R21" i="34"/>
  <c r="Q21" i="34"/>
  <c r="P21" i="34"/>
  <c r="O21" i="34"/>
  <c r="N21" i="34"/>
  <c r="M21" i="34"/>
  <c r="L21" i="34"/>
  <c r="K21" i="34"/>
  <c r="J21" i="34"/>
  <c r="I21" i="34"/>
  <c r="H21" i="34"/>
  <c r="G21" i="34"/>
  <c r="F21" i="34"/>
  <c r="E21" i="34"/>
  <c r="D21" i="34"/>
  <c r="C21" i="34"/>
  <c r="AV14" i="34"/>
  <c r="AU14" i="34"/>
  <c r="AT14" i="34"/>
  <c r="AS14" i="34"/>
  <c r="AR14" i="34"/>
  <c r="AQ14" i="34"/>
  <c r="AP14" i="34"/>
  <c r="AO14" i="34"/>
  <c r="AN14" i="34"/>
  <c r="AM14" i="34"/>
  <c r="AL14" i="34"/>
  <c r="AK14" i="34"/>
  <c r="AJ14" i="34"/>
  <c r="AI14" i="34"/>
  <c r="AH14" i="34"/>
  <c r="AG14" i="34"/>
  <c r="AF14" i="34"/>
  <c r="AE14" i="34"/>
  <c r="AD14" i="34"/>
  <c r="AC14" i="34"/>
  <c r="AB14" i="34"/>
  <c r="AA14" i="34"/>
  <c r="Z14" i="34"/>
  <c r="Y14" i="34"/>
  <c r="X14" i="34"/>
  <c r="W14" i="34"/>
  <c r="V14" i="34"/>
  <c r="U14" i="34"/>
  <c r="T14" i="34"/>
  <c r="S14" i="34"/>
  <c r="R14" i="34"/>
  <c r="Q14" i="34"/>
  <c r="P14" i="34"/>
  <c r="O14" i="34"/>
  <c r="N14" i="34"/>
  <c r="M14" i="34"/>
  <c r="L14" i="34"/>
  <c r="K14" i="34"/>
  <c r="J14" i="34"/>
  <c r="I14" i="34"/>
  <c r="H14" i="34"/>
  <c r="G14" i="34"/>
  <c r="F14" i="34"/>
  <c r="E14" i="34"/>
  <c r="D14" i="34"/>
  <c r="C14" i="34"/>
  <c r="BP37" i="35"/>
  <c r="BO37" i="35"/>
  <c r="BN37" i="35"/>
  <c r="BM37" i="35"/>
  <c r="BL37" i="35"/>
  <c r="BK37" i="35"/>
  <c r="BJ37" i="35"/>
  <c r="BI37" i="35"/>
  <c r="BH37" i="35"/>
  <c r="BG37" i="35"/>
  <c r="BF37" i="35"/>
  <c r="BE37" i="35"/>
  <c r="BD37" i="35"/>
  <c r="BC37" i="35"/>
  <c r="BB37" i="35"/>
  <c r="BA37" i="35"/>
  <c r="AZ37" i="35"/>
  <c r="AY37" i="35"/>
  <c r="AX37" i="35"/>
  <c r="AW37" i="35"/>
  <c r="AV37" i="35"/>
  <c r="AU37" i="35"/>
  <c r="AT37" i="35"/>
  <c r="AS37" i="35"/>
  <c r="AR37" i="35"/>
  <c r="AQ37" i="35"/>
  <c r="AP37" i="35"/>
  <c r="AO37" i="35"/>
  <c r="AN37" i="35"/>
  <c r="AM37" i="35"/>
  <c r="AL37" i="35"/>
  <c r="AK37" i="35"/>
  <c r="AJ37" i="35"/>
  <c r="AI37" i="35"/>
  <c r="AH37" i="35"/>
  <c r="AG37" i="35"/>
  <c r="AF37" i="35"/>
  <c r="AE37" i="35"/>
  <c r="AD37" i="35"/>
  <c r="AC37" i="35"/>
  <c r="AB37" i="35"/>
  <c r="AA37" i="35"/>
  <c r="BP24" i="35"/>
  <c r="BO24" i="35"/>
  <c r="BN24" i="35"/>
  <c r="BM24" i="35"/>
  <c r="BL24" i="35"/>
  <c r="BK24" i="35"/>
  <c r="BJ24" i="35"/>
  <c r="BI24" i="35"/>
  <c r="BH24" i="35"/>
  <c r="BG24" i="35"/>
  <c r="BF24" i="35"/>
  <c r="BE24" i="35"/>
  <c r="BD24" i="35"/>
  <c r="BC24" i="35"/>
  <c r="BB24" i="35"/>
  <c r="BA24" i="35"/>
  <c r="AZ24" i="35"/>
  <c r="AY24" i="35"/>
  <c r="AX24" i="35"/>
  <c r="AW24" i="35"/>
  <c r="AV24" i="35"/>
  <c r="AU24" i="35"/>
  <c r="AT24" i="35"/>
  <c r="AS24" i="35"/>
  <c r="AR24" i="35"/>
  <c r="AQ24" i="35"/>
  <c r="AP24" i="35"/>
  <c r="AO24" i="35"/>
  <c r="AN24" i="35"/>
  <c r="AM24" i="35"/>
  <c r="AL24" i="35"/>
  <c r="AK24" i="35"/>
  <c r="AJ24" i="35"/>
  <c r="AI24" i="35"/>
  <c r="AH24" i="35"/>
  <c r="AG24" i="35"/>
  <c r="AF24" i="35"/>
  <c r="AE24" i="35"/>
  <c r="AD24" i="35"/>
  <c r="AC24" i="35"/>
  <c r="AB24" i="35"/>
  <c r="AA24" i="35"/>
  <c r="BP21" i="35"/>
  <c r="BO21" i="35"/>
  <c r="BN21" i="35"/>
  <c r="BM21" i="35"/>
  <c r="BL21" i="35"/>
  <c r="BK21" i="35"/>
  <c r="BJ21" i="35"/>
  <c r="BI21" i="35"/>
  <c r="BH21" i="35"/>
  <c r="BG21" i="35"/>
  <c r="BF21" i="35"/>
  <c r="BE21" i="35"/>
  <c r="BD21" i="35"/>
  <c r="BC21" i="35"/>
  <c r="BB21" i="35"/>
  <c r="BA21" i="35"/>
  <c r="AZ21" i="35"/>
  <c r="AY21" i="35"/>
  <c r="AX21" i="35"/>
  <c r="AW21" i="35"/>
  <c r="AV21" i="35"/>
  <c r="AU21" i="35"/>
  <c r="AT21" i="35"/>
  <c r="AS21" i="35"/>
  <c r="AR21" i="35"/>
  <c r="AQ21" i="35"/>
  <c r="AP21" i="35"/>
  <c r="AO21" i="35"/>
  <c r="AN21" i="35"/>
  <c r="AM21" i="35"/>
  <c r="AL21" i="35"/>
  <c r="AK21" i="35"/>
  <c r="AJ21" i="35"/>
  <c r="AI21" i="35"/>
  <c r="AH21" i="35"/>
  <c r="AG21" i="35"/>
  <c r="AF21" i="35"/>
  <c r="AE21" i="35"/>
  <c r="AD21" i="35"/>
  <c r="AC21" i="35"/>
  <c r="AB21" i="35"/>
  <c r="AA21" i="35"/>
  <c r="BP14" i="35"/>
  <c r="BO14" i="35"/>
  <c r="BN14" i="35"/>
  <c r="BM14" i="35"/>
  <c r="BL14" i="35"/>
  <c r="BK14" i="35"/>
  <c r="BJ14" i="35"/>
  <c r="BI14" i="35"/>
  <c r="BH14" i="35"/>
  <c r="BG14" i="35"/>
  <c r="BF14" i="35"/>
  <c r="BE14" i="35"/>
  <c r="BD14" i="35"/>
  <c r="BC14" i="35"/>
  <c r="BB14" i="35"/>
  <c r="BA14" i="35"/>
  <c r="AZ14" i="35"/>
  <c r="AY14" i="35"/>
  <c r="AX14" i="35"/>
  <c r="AW14" i="35"/>
  <c r="AV14" i="35"/>
  <c r="AU14" i="35"/>
  <c r="AT14" i="35"/>
  <c r="AS14" i="35"/>
  <c r="AR14" i="35"/>
  <c r="AQ14" i="35"/>
  <c r="AP14" i="35"/>
  <c r="AO14" i="35"/>
  <c r="AN14" i="35"/>
  <c r="AM14" i="35"/>
  <c r="AL14" i="35"/>
  <c r="AK14" i="35"/>
  <c r="AJ14" i="35"/>
  <c r="AI14" i="35"/>
  <c r="AH14" i="35"/>
  <c r="AG14" i="35"/>
  <c r="AF14" i="35"/>
  <c r="AE14" i="35"/>
  <c r="AD14" i="35"/>
  <c r="AC14" i="35"/>
  <c r="AB14" i="35"/>
  <c r="AA14" i="35"/>
  <c r="B27" i="31"/>
  <c r="B28" i="13"/>
  <c r="AG22" i="35" l="1"/>
  <c r="AO22" i="35"/>
  <c r="AW22" i="35"/>
  <c r="BE22" i="35"/>
  <c r="BM22" i="35"/>
  <c r="O22" i="34"/>
  <c r="W22" i="34"/>
  <c r="AE22" i="34"/>
  <c r="AE23" i="34" s="1"/>
  <c r="AM22" i="34"/>
  <c r="AM23" i="34" s="1"/>
  <c r="AU22" i="34"/>
  <c r="AU23" i="34" s="1"/>
  <c r="AX22" i="35"/>
  <c r="AX23" i="35" s="1"/>
  <c r="Z22" i="34"/>
  <c r="Z23" i="34" s="1"/>
  <c r="AH22" i="35"/>
  <c r="AH33" i="35" s="1"/>
  <c r="AH36" i="35" s="1"/>
  <c r="AH40" i="35" s="1"/>
  <c r="AP22" i="35"/>
  <c r="AP23" i="35" s="1"/>
  <c r="BF22" i="35"/>
  <c r="BF23" i="35" s="1"/>
  <c r="BN22" i="35"/>
  <c r="BN23" i="35" s="1"/>
  <c r="AA22" i="35"/>
  <c r="AI22" i="35"/>
  <c r="AI23" i="35" s="1"/>
  <c r="AQ22" i="35"/>
  <c r="AY22" i="35"/>
  <c r="AY23" i="35" s="1"/>
  <c r="BG22" i="35"/>
  <c r="BG23" i="35" s="1"/>
  <c r="BO22" i="35"/>
  <c r="BO23" i="35" s="1"/>
  <c r="AC22" i="35"/>
  <c r="AC33" i="35" s="1"/>
  <c r="AC36" i="35" s="1"/>
  <c r="AC40" i="35" s="1"/>
  <c r="AK22" i="35"/>
  <c r="AK23" i="35" s="1"/>
  <c r="AS22" i="35"/>
  <c r="AS23" i="35" s="1"/>
  <c r="BA22" i="35"/>
  <c r="BA33" i="35" s="1"/>
  <c r="BA36" i="35" s="1"/>
  <c r="BA40" i="35" s="1"/>
  <c r="BI22" i="35"/>
  <c r="BI23" i="35" s="1"/>
  <c r="F22" i="34"/>
  <c r="F23" i="34" s="1"/>
  <c r="AT22" i="34"/>
  <c r="AT23" i="34" s="1"/>
  <c r="AS33" i="35"/>
  <c r="AS36" i="35" s="1"/>
  <c r="AS40" i="35" s="1"/>
  <c r="BA23" i="35"/>
  <c r="AG23" i="35"/>
  <c r="AG33" i="35"/>
  <c r="AG36" i="35" s="1"/>
  <c r="AG40" i="35" s="1"/>
  <c r="AO23" i="35"/>
  <c r="AO33" i="35"/>
  <c r="AO36" i="35" s="1"/>
  <c r="AO40" i="35" s="1"/>
  <c r="AW23" i="35"/>
  <c r="AW33" i="35"/>
  <c r="AW36" i="35" s="1"/>
  <c r="AW40" i="35" s="1"/>
  <c r="BM23" i="35"/>
  <c r="BM33" i="35"/>
  <c r="BM36" i="35" s="1"/>
  <c r="BM40" i="35" s="1"/>
  <c r="AB22" i="35"/>
  <c r="AJ22" i="35"/>
  <c r="AR22" i="35"/>
  <c r="AZ22" i="35"/>
  <c r="BH22" i="35"/>
  <c r="BP22" i="35"/>
  <c r="N22" i="34"/>
  <c r="N23" i="34" s="1"/>
  <c r="V22" i="34"/>
  <c r="V23" i="34" s="1"/>
  <c r="AD22" i="34"/>
  <c r="AD23" i="34" s="1"/>
  <c r="AL22" i="34"/>
  <c r="AL23" i="34" s="1"/>
  <c r="AD22" i="35"/>
  <c r="AL22" i="35"/>
  <c r="AT22" i="35"/>
  <c r="BB22" i="35"/>
  <c r="BJ22" i="35"/>
  <c r="AE22" i="35"/>
  <c r="AM22" i="35"/>
  <c r="AU22" i="35"/>
  <c r="BC22" i="35"/>
  <c r="BK22" i="35"/>
  <c r="AF22" i="35"/>
  <c r="AN22" i="35"/>
  <c r="AV22" i="35"/>
  <c r="BD22" i="35"/>
  <c r="BL22" i="35"/>
  <c r="J22" i="34"/>
  <c r="J23" i="34" s="1"/>
  <c r="R22" i="34"/>
  <c r="R23" i="34" s="1"/>
  <c r="AH22" i="34"/>
  <c r="AH23" i="34" s="1"/>
  <c r="AP22" i="34"/>
  <c r="AP23" i="34" s="1"/>
  <c r="AY33" i="35"/>
  <c r="AY36" i="35" s="1"/>
  <c r="AY40" i="35" s="1"/>
  <c r="AU33" i="34"/>
  <c r="AU36" i="34" s="1"/>
  <c r="AU40" i="34" s="1"/>
  <c r="AU42" i="34" s="1"/>
  <c r="AU43" i="34" s="1"/>
  <c r="E22" i="34"/>
  <c r="E23" i="34" s="1"/>
  <c r="M22" i="34"/>
  <c r="U22" i="34"/>
  <c r="AC22" i="34"/>
  <c r="AK22" i="34"/>
  <c r="AS22" i="34"/>
  <c r="H22" i="34"/>
  <c r="P22" i="34"/>
  <c r="X22" i="34"/>
  <c r="AF22" i="34"/>
  <c r="AN22" i="34"/>
  <c r="AV22" i="34"/>
  <c r="I22" i="34"/>
  <c r="Q22" i="34"/>
  <c r="Y22" i="34"/>
  <c r="AG22" i="34"/>
  <c r="AO22" i="34"/>
  <c r="G22" i="34"/>
  <c r="G23" i="34" s="1"/>
  <c r="K22" i="34"/>
  <c r="S22" i="34"/>
  <c r="AA22" i="34"/>
  <c r="AI22" i="34"/>
  <c r="AQ22" i="34"/>
  <c r="D22" i="34"/>
  <c r="D23" i="34" s="1"/>
  <c r="T22" i="34"/>
  <c r="AB22" i="34"/>
  <c r="AJ22" i="34"/>
  <c r="AR22" i="34"/>
  <c r="C22" i="34"/>
  <c r="L22" i="34"/>
  <c r="L23" i="34" s="1"/>
  <c r="O23" i="34" l="1"/>
  <c r="O33" i="34"/>
  <c r="O36" i="34" s="1"/>
  <c r="O40" i="34" s="1"/>
  <c r="O42" i="34" s="1"/>
  <c r="O43" i="34" s="1"/>
  <c r="W23" i="34"/>
  <c r="W33" i="34"/>
  <c r="W36" i="34" s="1"/>
  <c r="W40" i="34" s="1"/>
  <c r="W42" i="34" s="1"/>
  <c r="W43" i="34" s="1"/>
  <c r="BE23" i="35"/>
  <c r="BE33" i="35"/>
  <c r="BE36" i="35" s="1"/>
  <c r="BE40" i="35" s="1"/>
  <c r="AA23" i="35"/>
  <c r="AA33" i="35"/>
  <c r="AA36" i="35" s="1"/>
  <c r="AA40" i="35" s="1"/>
  <c r="AQ23" i="35"/>
  <c r="AQ33" i="35"/>
  <c r="AQ36" i="35" s="1"/>
  <c r="AQ40" i="35" s="1"/>
  <c r="AH33" i="34"/>
  <c r="AH36" i="34" s="1"/>
  <c r="AH40" i="34" s="1"/>
  <c r="AH42" i="34" s="1"/>
  <c r="AH43" i="34" s="1"/>
  <c r="AX33" i="35"/>
  <c r="AX36" i="35" s="1"/>
  <c r="AX40" i="35" s="1"/>
  <c r="AI33" i="35"/>
  <c r="AI36" i="35" s="1"/>
  <c r="AI40" i="35" s="1"/>
  <c r="BN33" i="35"/>
  <c r="BN36" i="35" s="1"/>
  <c r="BN40" i="35" s="1"/>
  <c r="F33" i="34"/>
  <c r="F36" i="34" s="1"/>
  <c r="F40" i="34" s="1"/>
  <c r="F42" i="34" s="1"/>
  <c r="F43" i="34" s="1"/>
  <c r="AD33" i="34"/>
  <c r="AD36" i="34" s="1"/>
  <c r="AD40" i="34" s="1"/>
  <c r="AD42" i="34" s="1"/>
  <c r="AD43" i="34" s="1"/>
  <c r="Z33" i="34"/>
  <c r="Z36" i="34" s="1"/>
  <c r="Z40" i="34" s="1"/>
  <c r="Z42" i="34" s="1"/>
  <c r="Z43" i="34" s="1"/>
  <c r="AM33" i="34"/>
  <c r="AM36" i="34" s="1"/>
  <c r="AM40" i="34" s="1"/>
  <c r="AM42" i="34" s="1"/>
  <c r="AM43" i="34" s="1"/>
  <c r="AE33" i="34"/>
  <c r="AE36" i="34" s="1"/>
  <c r="AE40" i="34" s="1"/>
  <c r="AE42" i="34" s="1"/>
  <c r="AE43" i="34" s="1"/>
  <c r="AH23" i="35"/>
  <c r="AL33" i="34"/>
  <c r="AL36" i="34" s="1"/>
  <c r="AL40" i="34" s="1"/>
  <c r="AL42" i="34" s="1"/>
  <c r="AL43" i="34" s="1"/>
  <c r="AP33" i="34"/>
  <c r="AP36" i="34" s="1"/>
  <c r="AP40" i="34" s="1"/>
  <c r="AP42" i="34" s="1"/>
  <c r="AP43" i="34" s="1"/>
  <c r="AC23" i="35"/>
  <c r="BF33" i="35"/>
  <c r="BF36" i="35" s="1"/>
  <c r="BF40" i="35" s="1"/>
  <c r="BO33" i="35"/>
  <c r="BO36" i="35" s="1"/>
  <c r="BO40" i="35" s="1"/>
  <c r="AP33" i="35"/>
  <c r="AP36" i="35" s="1"/>
  <c r="AP40" i="35" s="1"/>
  <c r="AK33" i="35"/>
  <c r="AK36" i="35" s="1"/>
  <c r="AK40" i="35" s="1"/>
  <c r="BG33" i="35"/>
  <c r="BG36" i="35" s="1"/>
  <c r="BG40" i="35" s="1"/>
  <c r="G33" i="34"/>
  <c r="G36" i="34" s="1"/>
  <c r="G40" i="34" s="1"/>
  <c r="G42" i="34" s="1"/>
  <c r="G43" i="34" s="1"/>
  <c r="D33" i="34"/>
  <c r="D36" i="34" s="1"/>
  <c r="D40" i="34" s="1"/>
  <c r="V33" i="34"/>
  <c r="V36" i="34" s="1"/>
  <c r="V40" i="34" s="1"/>
  <c r="V42" i="34" s="1"/>
  <c r="V43" i="34" s="1"/>
  <c r="AT33" i="34"/>
  <c r="AT36" i="34" s="1"/>
  <c r="AT40" i="34" s="1"/>
  <c r="AT42" i="34" s="1"/>
  <c r="AT43" i="34" s="1"/>
  <c r="N33" i="34"/>
  <c r="N36" i="34" s="1"/>
  <c r="N40" i="34" s="1"/>
  <c r="N42" i="34" s="1"/>
  <c r="N43" i="34" s="1"/>
  <c r="BI33" i="35"/>
  <c r="BI36" i="35" s="1"/>
  <c r="BI40" i="35" s="1"/>
  <c r="AL23" i="35"/>
  <c r="AL33" i="35"/>
  <c r="AL36" i="35" s="1"/>
  <c r="AL40" i="35" s="1"/>
  <c r="BL23" i="35"/>
  <c r="BL33" i="35"/>
  <c r="BL36" i="35" s="1"/>
  <c r="BL40" i="35" s="1"/>
  <c r="BC23" i="35"/>
  <c r="BC33" i="35"/>
  <c r="BC36" i="35" s="1"/>
  <c r="BC40" i="35" s="1"/>
  <c r="AD23" i="35"/>
  <c r="AD33" i="35"/>
  <c r="AD36" i="35" s="1"/>
  <c r="AD40" i="35" s="1"/>
  <c r="AR23" i="35"/>
  <c r="AR33" i="35"/>
  <c r="AR36" i="35" s="1"/>
  <c r="AR40" i="35" s="1"/>
  <c r="E33" i="34"/>
  <c r="E36" i="34" s="1"/>
  <c r="E40" i="34" s="1"/>
  <c r="E42" i="34" s="1"/>
  <c r="E43" i="34" s="1"/>
  <c r="R33" i="34"/>
  <c r="R36" i="34" s="1"/>
  <c r="R40" i="34" s="1"/>
  <c r="R42" i="34" s="1"/>
  <c r="R43" i="34" s="1"/>
  <c r="BD23" i="35"/>
  <c r="BD33" i="35"/>
  <c r="BD36" i="35" s="1"/>
  <c r="BD40" i="35" s="1"/>
  <c r="AU23" i="35"/>
  <c r="AU33" i="35"/>
  <c r="AU36" i="35" s="1"/>
  <c r="AU40" i="35" s="1"/>
  <c r="AJ23" i="35"/>
  <c r="AJ33" i="35"/>
  <c r="AJ36" i="35" s="1"/>
  <c r="AJ40" i="35" s="1"/>
  <c r="AT23" i="35"/>
  <c r="AT33" i="35"/>
  <c r="AT36" i="35" s="1"/>
  <c r="AT40" i="35" s="1"/>
  <c r="BH23" i="35"/>
  <c r="BH33" i="35"/>
  <c r="BH36" i="35" s="1"/>
  <c r="BH40" i="35" s="1"/>
  <c r="AZ23" i="35"/>
  <c r="AZ33" i="35"/>
  <c r="AZ36" i="35" s="1"/>
  <c r="AZ40" i="35" s="1"/>
  <c r="AV23" i="35"/>
  <c r="AV33" i="35"/>
  <c r="AV36" i="35" s="1"/>
  <c r="AV40" i="35" s="1"/>
  <c r="AM23" i="35"/>
  <c r="AM33" i="35"/>
  <c r="AM36" i="35" s="1"/>
  <c r="AM40" i="35" s="1"/>
  <c r="AB23" i="35"/>
  <c r="AB33" i="35"/>
  <c r="AB36" i="35" s="1"/>
  <c r="AB40" i="35" s="1"/>
  <c r="BK23" i="35"/>
  <c r="BK33" i="35"/>
  <c r="BK36" i="35" s="1"/>
  <c r="BK40" i="35" s="1"/>
  <c r="AN23" i="35"/>
  <c r="AN33" i="35"/>
  <c r="AN36" i="35" s="1"/>
  <c r="AN40" i="35" s="1"/>
  <c r="AE23" i="35"/>
  <c r="AE33" i="35"/>
  <c r="AE36" i="35" s="1"/>
  <c r="AE40" i="35" s="1"/>
  <c r="AF23" i="35"/>
  <c r="AF33" i="35"/>
  <c r="AF36" i="35" s="1"/>
  <c r="AF40" i="35" s="1"/>
  <c r="BJ23" i="35"/>
  <c r="BJ33" i="35"/>
  <c r="BJ36" i="35" s="1"/>
  <c r="BJ40" i="35" s="1"/>
  <c r="J33" i="34"/>
  <c r="J36" i="34" s="1"/>
  <c r="J40" i="34" s="1"/>
  <c r="J42" i="34" s="1"/>
  <c r="J43" i="34" s="1"/>
  <c r="BB23" i="35"/>
  <c r="BB33" i="35"/>
  <c r="BB36" i="35" s="1"/>
  <c r="BB40" i="35" s="1"/>
  <c r="BP23" i="35"/>
  <c r="BP33" i="35"/>
  <c r="BP36" i="35" s="1"/>
  <c r="BP40" i="35" s="1"/>
  <c r="AB23" i="34"/>
  <c r="AB33" i="34"/>
  <c r="AB36" i="34" s="1"/>
  <c r="AB40" i="34" s="1"/>
  <c r="AB42" i="34" s="1"/>
  <c r="AB43" i="34" s="1"/>
  <c r="K23" i="34"/>
  <c r="K33" i="34"/>
  <c r="K36" i="34" s="1"/>
  <c r="K40" i="34" s="1"/>
  <c r="K42" i="34" s="1"/>
  <c r="K43" i="34" s="1"/>
  <c r="S23" i="34"/>
  <c r="S33" i="34"/>
  <c r="S36" i="34" s="1"/>
  <c r="S40" i="34" s="1"/>
  <c r="S42" i="34" s="1"/>
  <c r="S43" i="34" s="1"/>
  <c r="T23" i="34"/>
  <c r="T33" i="34"/>
  <c r="T36" i="34" s="1"/>
  <c r="T40" i="34" s="1"/>
  <c r="T42" i="34" s="1"/>
  <c r="T43" i="34" s="1"/>
  <c r="AV23" i="34"/>
  <c r="AV33" i="34"/>
  <c r="AV36" i="34" s="1"/>
  <c r="AV40" i="34" s="1"/>
  <c r="AV42" i="34" s="1"/>
  <c r="AV43" i="34" s="1"/>
  <c r="AS23" i="34"/>
  <c r="AS33" i="34"/>
  <c r="AS36" i="34" s="1"/>
  <c r="AS40" i="34" s="1"/>
  <c r="AS42" i="34" s="1"/>
  <c r="AS43" i="34" s="1"/>
  <c r="AJ23" i="34"/>
  <c r="AJ33" i="34"/>
  <c r="AJ36" i="34" s="1"/>
  <c r="AJ40" i="34" s="1"/>
  <c r="AJ42" i="34" s="1"/>
  <c r="AJ43" i="34" s="1"/>
  <c r="I23" i="34"/>
  <c r="I33" i="34"/>
  <c r="I36" i="34" s="1"/>
  <c r="I40" i="34" s="1"/>
  <c r="I42" i="34" s="1"/>
  <c r="I43" i="34" s="1"/>
  <c r="AN23" i="34"/>
  <c r="AN33" i="34"/>
  <c r="AN36" i="34" s="1"/>
  <c r="AN40" i="34" s="1"/>
  <c r="AN42" i="34" s="1"/>
  <c r="AN43" i="34" s="1"/>
  <c r="AK23" i="34"/>
  <c r="AK33" i="34"/>
  <c r="AK36" i="34" s="1"/>
  <c r="AK40" i="34" s="1"/>
  <c r="AK42" i="34" s="1"/>
  <c r="AK43" i="34" s="1"/>
  <c r="AO23" i="34"/>
  <c r="AO33" i="34"/>
  <c r="AO36" i="34" s="1"/>
  <c r="AO40" i="34" s="1"/>
  <c r="AO42" i="34" s="1"/>
  <c r="AO43" i="34" s="1"/>
  <c r="AF23" i="34"/>
  <c r="AF33" i="34"/>
  <c r="AF36" i="34" s="1"/>
  <c r="AF40" i="34" s="1"/>
  <c r="AF42" i="34" s="1"/>
  <c r="AF43" i="34" s="1"/>
  <c r="AC23" i="34"/>
  <c r="AC33" i="34"/>
  <c r="AC36" i="34" s="1"/>
  <c r="AC40" i="34" s="1"/>
  <c r="AC42" i="34" s="1"/>
  <c r="AC43" i="34" s="1"/>
  <c r="L33" i="34"/>
  <c r="L36" i="34" s="1"/>
  <c r="L40" i="34" s="1"/>
  <c r="L42" i="34" s="1"/>
  <c r="L43" i="34" s="1"/>
  <c r="AQ23" i="34"/>
  <c r="AQ33" i="34"/>
  <c r="AQ36" i="34" s="1"/>
  <c r="AQ40" i="34" s="1"/>
  <c r="AQ42" i="34" s="1"/>
  <c r="AQ43" i="34" s="1"/>
  <c r="AG23" i="34"/>
  <c r="AG33" i="34"/>
  <c r="AG36" i="34" s="1"/>
  <c r="AG40" i="34" s="1"/>
  <c r="AG42" i="34" s="1"/>
  <c r="AG43" i="34" s="1"/>
  <c r="X23" i="34"/>
  <c r="X33" i="34"/>
  <c r="X36" i="34" s="1"/>
  <c r="X40" i="34" s="1"/>
  <c r="X42" i="34" s="1"/>
  <c r="X43" i="34" s="1"/>
  <c r="U23" i="34"/>
  <c r="U33" i="34"/>
  <c r="U36" i="34" s="1"/>
  <c r="U40" i="34" s="1"/>
  <c r="U42" i="34" s="1"/>
  <c r="U43" i="34" s="1"/>
  <c r="AI23" i="34"/>
  <c r="AI33" i="34"/>
  <c r="AI36" i="34" s="1"/>
  <c r="AI40" i="34" s="1"/>
  <c r="AI42" i="34" s="1"/>
  <c r="AI43" i="34" s="1"/>
  <c r="Y23" i="34"/>
  <c r="Y33" i="34"/>
  <c r="Y36" i="34" s="1"/>
  <c r="Y40" i="34" s="1"/>
  <c r="Y42" i="34" s="1"/>
  <c r="Y43" i="34" s="1"/>
  <c r="P23" i="34"/>
  <c r="P33" i="34"/>
  <c r="P36" i="34" s="1"/>
  <c r="P40" i="34" s="1"/>
  <c r="P42" i="34" s="1"/>
  <c r="P43" i="34" s="1"/>
  <c r="M23" i="34"/>
  <c r="M33" i="34"/>
  <c r="M36" i="34" s="1"/>
  <c r="M40" i="34" s="1"/>
  <c r="M42" i="34" s="1"/>
  <c r="M43" i="34" s="1"/>
  <c r="AR23" i="34"/>
  <c r="AR33" i="34"/>
  <c r="AR36" i="34" s="1"/>
  <c r="AR40" i="34" s="1"/>
  <c r="AR42" i="34" s="1"/>
  <c r="AR43" i="34" s="1"/>
  <c r="AA23" i="34"/>
  <c r="AA33" i="34"/>
  <c r="AA36" i="34" s="1"/>
  <c r="AA40" i="34" s="1"/>
  <c r="AA42" i="34" s="1"/>
  <c r="AA43" i="34" s="1"/>
  <c r="Q23" i="34"/>
  <c r="Q33" i="34"/>
  <c r="Q36" i="34" s="1"/>
  <c r="Q40" i="34" s="1"/>
  <c r="Q42" i="34" s="1"/>
  <c r="Q43" i="34" s="1"/>
  <c r="H23" i="34"/>
  <c r="H33" i="34"/>
  <c r="H36" i="34" s="1"/>
  <c r="H40" i="34" s="1"/>
  <c r="H42" i="34" s="1"/>
  <c r="H43" i="34" s="1"/>
  <c r="C23" i="34"/>
  <c r="C33" i="34"/>
  <c r="D42" i="34"/>
  <c r="D43" i="34" s="1"/>
  <c r="B61" i="16"/>
  <c r="B55" i="16"/>
  <c r="B54" i="16"/>
  <c r="C36" i="34" l="1"/>
  <c r="BM17" i="16"/>
  <c r="BL17" i="16"/>
  <c r="BK17" i="16"/>
  <c r="BJ17" i="16"/>
  <c r="BI17" i="16"/>
  <c r="BH17" i="16"/>
  <c r="BG17" i="16"/>
  <c r="BF17" i="16"/>
  <c r="BE17" i="16"/>
  <c r="BD17" i="16"/>
  <c r="BC17" i="16"/>
  <c r="BB17" i="16"/>
  <c r="BA17" i="16"/>
  <c r="AZ17" i="16"/>
  <c r="AY17" i="16"/>
  <c r="AX17" i="16"/>
  <c r="AW17" i="16"/>
  <c r="AV17" i="16"/>
  <c r="AU17" i="16"/>
  <c r="AT17" i="16"/>
  <c r="AS17" i="16"/>
  <c r="AR17" i="16"/>
  <c r="AQ17" i="16"/>
  <c r="AP17" i="16"/>
  <c r="AO17" i="16"/>
  <c r="AN17" i="16"/>
  <c r="AM17" i="16"/>
  <c r="AL17" i="16"/>
  <c r="AK17" i="16"/>
  <c r="AJ17" i="16"/>
  <c r="AI17" i="16"/>
  <c r="AH17" i="16"/>
  <c r="AG17" i="16"/>
  <c r="AF17" i="16"/>
  <c r="AE17" i="16"/>
  <c r="AD17" i="16"/>
  <c r="AC17" i="16"/>
  <c r="AB17" i="16"/>
  <c r="AA17" i="16"/>
  <c r="Z17" i="16"/>
  <c r="Y17" i="16"/>
  <c r="X17" i="16"/>
  <c r="W17" i="16"/>
  <c r="V17" i="16"/>
  <c r="U17" i="16"/>
  <c r="T17" i="16"/>
  <c r="S17" i="16"/>
  <c r="R17" i="16"/>
  <c r="Q17" i="16"/>
  <c r="P17" i="16"/>
  <c r="O17" i="16"/>
  <c r="N17" i="16"/>
  <c r="M17" i="16"/>
  <c r="L17" i="16"/>
  <c r="K17" i="16"/>
  <c r="J17" i="16"/>
  <c r="I17" i="16"/>
  <c r="H17" i="16"/>
  <c r="G17" i="16"/>
  <c r="F17" i="16"/>
  <c r="E17" i="16"/>
  <c r="D17" i="16"/>
  <c r="C17" i="16"/>
  <c r="BM15" i="16"/>
  <c r="BL15" i="16"/>
  <c r="BK15" i="16"/>
  <c r="BJ15" i="16"/>
  <c r="BI15" i="16"/>
  <c r="BH15" i="16"/>
  <c r="BG15" i="16"/>
  <c r="BF15" i="16"/>
  <c r="BE15" i="16"/>
  <c r="BD15" i="16"/>
  <c r="BC15" i="16"/>
  <c r="BB15" i="16"/>
  <c r="BA15" i="16"/>
  <c r="AZ15" i="16"/>
  <c r="AY15" i="16"/>
  <c r="AX15" i="16"/>
  <c r="AW15" i="16"/>
  <c r="AV15" i="16"/>
  <c r="AU15" i="16"/>
  <c r="AT15" i="16"/>
  <c r="AS15" i="16"/>
  <c r="AR15" i="16"/>
  <c r="AQ15" i="16"/>
  <c r="AP15" i="16"/>
  <c r="AO15" i="16"/>
  <c r="AN15" i="16"/>
  <c r="AM15" i="16"/>
  <c r="AL15" i="16"/>
  <c r="AK15" i="16"/>
  <c r="AJ15" i="16"/>
  <c r="AI15" i="16"/>
  <c r="AH15" i="16"/>
  <c r="AG15" i="16"/>
  <c r="AF15" i="16"/>
  <c r="AE15" i="16"/>
  <c r="AD15" i="16"/>
  <c r="AC15" i="16"/>
  <c r="AB15" i="16"/>
  <c r="AA15" i="16"/>
  <c r="Z15" i="16"/>
  <c r="Y15" i="16"/>
  <c r="X15" i="16"/>
  <c r="W15" i="16"/>
  <c r="V15" i="16"/>
  <c r="U15" i="16"/>
  <c r="T15" i="16"/>
  <c r="S15" i="16"/>
  <c r="R15" i="16"/>
  <c r="Q15" i="16"/>
  <c r="P15" i="16"/>
  <c r="O15" i="16"/>
  <c r="N15" i="16"/>
  <c r="M15" i="16"/>
  <c r="L15" i="16"/>
  <c r="K15" i="16"/>
  <c r="J15" i="16"/>
  <c r="I15" i="16"/>
  <c r="H15" i="16"/>
  <c r="G15" i="16"/>
  <c r="F15" i="16"/>
  <c r="E15" i="16"/>
  <c r="D15" i="16"/>
  <c r="C15" i="16"/>
  <c r="BM12" i="16"/>
  <c r="BL12" i="16"/>
  <c r="BK12" i="16"/>
  <c r="BJ12" i="16"/>
  <c r="BI12" i="16"/>
  <c r="BH12" i="16"/>
  <c r="BG12" i="16"/>
  <c r="BF12" i="16"/>
  <c r="BE12" i="16"/>
  <c r="BD12" i="16"/>
  <c r="BC12" i="16"/>
  <c r="BB12" i="16"/>
  <c r="BA12" i="16"/>
  <c r="AZ12" i="16"/>
  <c r="AY12" i="16"/>
  <c r="AX12" i="16"/>
  <c r="AW12" i="16"/>
  <c r="AV12" i="16"/>
  <c r="AU12" i="16"/>
  <c r="AT12" i="16"/>
  <c r="AS12" i="16"/>
  <c r="AR12" i="16"/>
  <c r="AQ12" i="16"/>
  <c r="AP12" i="16"/>
  <c r="AO12" i="16"/>
  <c r="AN12" i="16"/>
  <c r="AM12" i="16"/>
  <c r="AL12" i="16"/>
  <c r="AK12" i="16"/>
  <c r="AJ12" i="16"/>
  <c r="AI12" i="16"/>
  <c r="AH12" i="16"/>
  <c r="AG12" i="16"/>
  <c r="AF12" i="16"/>
  <c r="AE12" i="16"/>
  <c r="AD12" i="16"/>
  <c r="AC12" i="16"/>
  <c r="AB12" i="16"/>
  <c r="AA12" i="16"/>
  <c r="Z12" i="16"/>
  <c r="Y12" i="16"/>
  <c r="X12" i="16"/>
  <c r="W12" i="16"/>
  <c r="V12" i="16"/>
  <c r="U12" i="16"/>
  <c r="T12" i="16"/>
  <c r="S12" i="16"/>
  <c r="R12" i="16"/>
  <c r="Q12" i="16"/>
  <c r="P12" i="16"/>
  <c r="O12" i="16"/>
  <c r="N12" i="16"/>
  <c r="M12" i="16"/>
  <c r="L12" i="16"/>
  <c r="K12" i="16"/>
  <c r="J12" i="16"/>
  <c r="I12" i="16"/>
  <c r="H12" i="16"/>
  <c r="G12" i="16"/>
  <c r="F12" i="16"/>
  <c r="E12" i="16"/>
  <c r="D12" i="16"/>
  <c r="C12" i="16"/>
  <c r="BM29" i="16"/>
  <c r="BL29" i="16"/>
  <c r="BK29" i="16"/>
  <c r="BJ29" i="16"/>
  <c r="BI29" i="16"/>
  <c r="BH29" i="16"/>
  <c r="BG29" i="16"/>
  <c r="BF29" i="16"/>
  <c r="BE29" i="16"/>
  <c r="BD29" i="16"/>
  <c r="BC29"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AD29" i="16"/>
  <c r="AC29" i="16"/>
  <c r="AB29" i="16"/>
  <c r="AA29" i="16"/>
  <c r="Z29" i="16"/>
  <c r="Y29" i="16"/>
  <c r="X29" i="16"/>
  <c r="W29" i="16"/>
  <c r="BM31" i="16"/>
  <c r="BL31" i="16"/>
  <c r="BK31" i="16"/>
  <c r="BJ31" i="16"/>
  <c r="BI31" i="16"/>
  <c r="BH31" i="16"/>
  <c r="BG31" i="16"/>
  <c r="BF31" i="16"/>
  <c r="BE31" i="16"/>
  <c r="BD31" i="16"/>
  <c r="BC31" i="16"/>
  <c r="BB31" i="16"/>
  <c r="BA31" i="16"/>
  <c r="AZ31" i="16"/>
  <c r="AY31" i="16"/>
  <c r="AX31" i="16"/>
  <c r="AW31" i="16"/>
  <c r="AV31" i="16"/>
  <c r="AU31" i="16"/>
  <c r="AT31" i="16"/>
  <c r="AS31" i="16"/>
  <c r="AR31" i="16"/>
  <c r="AQ31" i="16"/>
  <c r="AP31" i="16"/>
  <c r="AO31" i="16"/>
  <c r="AN31" i="16"/>
  <c r="AM31" i="16"/>
  <c r="AL31" i="16"/>
  <c r="AK31" i="16"/>
  <c r="AJ31" i="16"/>
  <c r="AI31" i="16"/>
  <c r="AH31" i="16"/>
  <c r="AG31" i="16"/>
  <c r="AF31" i="16"/>
  <c r="AE31" i="16"/>
  <c r="AD31" i="16"/>
  <c r="AC31" i="16"/>
  <c r="AB31" i="16"/>
  <c r="AA31" i="16"/>
  <c r="Z31" i="16"/>
  <c r="Y31" i="16"/>
  <c r="X31" i="16"/>
  <c r="W31" i="16"/>
  <c r="C40" i="34" l="1"/>
  <c r="BO194" i="32"/>
  <c r="BN194" i="32"/>
  <c r="BM194" i="32"/>
  <c r="BL194" i="32"/>
  <c r="BK194" i="32"/>
  <c r="BJ194" i="32"/>
  <c r="BI194" i="32"/>
  <c r="BH194" i="32"/>
  <c r="BG194" i="32"/>
  <c r="BF194" i="32"/>
  <c r="BE194" i="32"/>
  <c r="BD194" i="32"/>
  <c r="BC194" i="32"/>
  <c r="BB194" i="32"/>
  <c r="BA194" i="32"/>
  <c r="AZ194" i="32"/>
  <c r="AY194" i="32"/>
  <c r="AX194" i="32"/>
  <c r="AW194" i="32"/>
  <c r="AV194" i="32"/>
  <c r="AU194" i="32"/>
  <c r="AT194" i="32"/>
  <c r="AS194" i="32"/>
  <c r="AR194" i="32"/>
  <c r="AQ194" i="32"/>
  <c r="AP194" i="32"/>
  <c r="AO194" i="32"/>
  <c r="AN194" i="32"/>
  <c r="AM194" i="32"/>
  <c r="AL194" i="32"/>
  <c r="AK194" i="32"/>
  <c r="AJ194" i="32"/>
  <c r="AI194" i="32"/>
  <c r="AH194" i="32"/>
  <c r="AG194" i="32"/>
  <c r="AF194" i="32"/>
  <c r="AE194" i="32"/>
  <c r="AD194" i="32"/>
  <c r="AC194" i="32"/>
  <c r="AB194" i="32"/>
  <c r="AA194" i="32"/>
  <c r="Z194" i="32"/>
  <c r="Y194" i="32"/>
  <c r="X194" i="32"/>
  <c r="W194" i="32"/>
  <c r="V194" i="32"/>
  <c r="U194" i="32"/>
  <c r="T194" i="32"/>
  <c r="S194" i="32"/>
  <c r="R194" i="32"/>
  <c r="Q194" i="32"/>
  <c r="P194" i="32"/>
  <c r="O194" i="32"/>
  <c r="N194" i="32"/>
  <c r="M194" i="32"/>
  <c r="L194" i="32"/>
  <c r="K194" i="32"/>
  <c r="J194" i="32"/>
  <c r="I194" i="32"/>
  <c r="H194" i="32"/>
  <c r="G194" i="32"/>
  <c r="F194" i="32"/>
  <c r="E194" i="32"/>
  <c r="D194" i="32"/>
  <c r="C194" i="32"/>
  <c r="BO182" i="32"/>
  <c r="BN182" i="32"/>
  <c r="BM182" i="32"/>
  <c r="BL182" i="32"/>
  <c r="BK182" i="32"/>
  <c r="BJ182" i="32"/>
  <c r="BI182" i="32"/>
  <c r="BH182" i="32"/>
  <c r="BG182" i="32"/>
  <c r="BF182" i="32"/>
  <c r="BE182" i="32"/>
  <c r="BD182" i="32"/>
  <c r="BC182" i="32"/>
  <c r="BB182" i="32"/>
  <c r="BA182" i="32"/>
  <c r="AZ182" i="32"/>
  <c r="AY182" i="32"/>
  <c r="AX182" i="32"/>
  <c r="AW182" i="32"/>
  <c r="AV182" i="32"/>
  <c r="AU182" i="32"/>
  <c r="AT182" i="32"/>
  <c r="AS182" i="32"/>
  <c r="AR182" i="32"/>
  <c r="AQ182" i="32"/>
  <c r="AP182" i="32"/>
  <c r="AO182" i="32"/>
  <c r="AN182" i="32"/>
  <c r="AM182" i="32"/>
  <c r="AL182" i="32"/>
  <c r="AK182" i="32"/>
  <c r="AJ182" i="32"/>
  <c r="AI182" i="32"/>
  <c r="AH182" i="32"/>
  <c r="AG182" i="32"/>
  <c r="AF182" i="32"/>
  <c r="AE182" i="32"/>
  <c r="AD182" i="32"/>
  <c r="AC182" i="32"/>
  <c r="AB182" i="32"/>
  <c r="AA182" i="32"/>
  <c r="Z182" i="32"/>
  <c r="Y182" i="32"/>
  <c r="X182" i="32"/>
  <c r="W182" i="32"/>
  <c r="V182" i="32"/>
  <c r="U182" i="32"/>
  <c r="T182" i="32"/>
  <c r="S182" i="32"/>
  <c r="R182" i="32"/>
  <c r="Q182" i="32"/>
  <c r="P182" i="32"/>
  <c r="O182" i="32"/>
  <c r="N182" i="32"/>
  <c r="M182" i="32"/>
  <c r="L182" i="32"/>
  <c r="K182" i="32"/>
  <c r="J182" i="32"/>
  <c r="I182" i="32"/>
  <c r="H182" i="32"/>
  <c r="G182" i="32"/>
  <c r="F182" i="32"/>
  <c r="E182" i="32"/>
  <c r="D182" i="32"/>
  <c r="C182" i="32"/>
  <c r="BO173" i="32"/>
  <c r="BN173" i="32"/>
  <c r="BM173" i="32"/>
  <c r="BL173" i="32"/>
  <c r="BK173" i="32"/>
  <c r="BJ173" i="32"/>
  <c r="BI173" i="32"/>
  <c r="BH173" i="32"/>
  <c r="BG173" i="32"/>
  <c r="BF173" i="32"/>
  <c r="BE173" i="32"/>
  <c r="BD173" i="32"/>
  <c r="BC173" i="32"/>
  <c r="BB173" i="32"/>
  <c r="BA173" i="32"/>
  <c r="AZ173" i="32"/>
  <c r="AY173" i="32"/>
  <c r="AX173" i="32"/>
  <c r="AW173" i="32"/>
  <c r="AV173" i="32"/>
  <c r="AU173" i="32"/>
  <c r="AT173" i="32"/>
  <c r="AS173" i="32"/>
  <c r="AR173" i="32"/>
  <c r="AQ173" i="32"/>
  <c r="AP173" i="32"/>
  <c r="AO173" i="32"/>
  <c r="AN173" i="32"/>
  <c r="AM173" i="32"/>
  <c r="AL173" i="32"/>
  <c r="AK173" i="32"/>
  <c r="AJ173" i="32"/>
  <c r="AI173" i="32"/>
  <c r="AH173" i="32"/>
  <c r="AG173" i="32"/>
  <c r="AF173" i="32"/>
  <c r="AE173" i="32"/>
  <c r="AD173" i="32"/>
  <c r="AC173" i="32"/>
  <c r="AB173" i="32"/>
  <c r="AA173" i="32"/>
  <c r="Z173" i="32"/>
  <c r="Y173" i="32"/>
  <c r="X173" i="32"/>
  <c r="W173" i="32"/>
  <c r="V173" i="32"/>
  <c r="U173" i="32"/>
  <c r="T173" i="32"/>
  <c r="S173" i="32"/>
  <c r="R173" i="32"/>
  <c r="Q173" i="32"/>
  <c r="P173" i="32"/>
  <c r="O173" i="32"/>
  <c r="N173" i="32"/>
  <c r="M173" i="32"/>
  <c r="L173" i="32"/>
  <c r="K173" i="32"/>
  <c r="J173" i="32"/>
  <c r="I173" i="32"/>
  <c r="H173" i="32"/>
  <c r="G173" i="32"/>
  <c r="F173" i="32"/>
  <c r="E173" i="32"/>
  <c r="D173" i="32"/>
  <c r="C173" i="32"/>
  <c r="BO164" i="32"/>
  <c r="BN164" i="32"/>
  <c r="BM164" i="32"/>
  <c r="BL164" i="32"/>
  <c r="BK164" i="32"/>
  <c r="BJ164" i="32"/>
  <c r="BI164" i="32"/>
  <c r="BH164" i="32"/>
  <c r="BG164" i="32"/>
  <c r="BF164" i="32"/>
  <c r="BE164" i="32"/>
  <c r="BD164" i="32"/>
  <c r="BC164" i="32"/>
  <c r="BB164" i="32"/>
  <c r="BA164" i="32"/>
  <c r="AZ164" i="32"/>
  <c r="AY164" i="32"/>
  <c r="AX164" i="32"/>
  <c r="AW164" i="32"/>
  <c r="AV164" i="32"/>
  <c r="AU164" i="32"/>
  <c r="AT164" i="32"/>
  <c r="AS164" i="32"/>
  <c r="AR164" i="32"/>
  <c r="AQ164" i="32"/>
  <c r="AP164" i="32"/>
  <c r="AO164" i="32"/>
  <c r="AN164" i="32"/>
  <c r="AM164" i="32"/>
  <c r="AL164" i="32"/>
  <c r="AK164" i="32"/>
  <c r="AJ164" i="32"/>
  <c r="AI164" i="32"/>
  <c r="AH164" i="32"/>
  <c r="AG164" i="32"/>
  <c r="AF164" i="32"/>
  <c r="AE164" i="32"/>
  <c r="AD164" i="32"/>
  <c r="AC164" i="32"/>
  <c r="AB164" i="32"/>
  <c r="AA164" i="32"/>
  <c r="Z164" i="32"/>
  <c r="Y164" i="32"/>
  <c r="X164" i="32"/>
  <c r="W164" i="32"/>
  <c r="V164" i="32"/>
  <c r="U164" i="32"/>
  <c r="T164" i="32"/>
  <c r="S164" i="32"/>
  <c r="R164" i="32"/>
  <c r="Q164" i="32"/>
  <c r="P164" i="32"/>
  <c r="O164" i="32"/>
  <c r="N164" i="32"/>
  <c r="M164" i="32"/>
  <c r="L164" i="32"/>
  <c r="K164" i="32"/>
  <c r="J164" i="32"/>
  <c r="I164" i="32"/>
  <c r="H164" i="32"/>
  <c r="G164" i="32"/>
  <c r="F164" i="32"/>
  <c r="E164" i="32"/>
  <c r="D164" i="32"/>
  <c r="C164" i="32"/>
  <c r="BO152" i="32"/>
  <c r="BN152" i="32"/>
  <c r="BM152" i="32"/>
  <c r="BL152" i="32"/>
  <c r="BL151" i="32" s="1"/>
  <c r="BK152" i="32"/>
  <c r="BJ152" i="32"/>
  <c r="BI152" i="32"/>
  <c r="BH152" i="32"/>
  <c r="BG152" i="32"/>
  <c r="BF152" i="32"/>
  <c r="BE152" i="32"/>
  <c r="BD152" i="32"/>
  <c r="BD151" i="32" s="1"/>
  <c r="BC152" i="32"/>
  <c r="BB152" i="32"/>
  <c r="BA152" i="32"/>
  <c r="AZ152" i="32"/>
  <c r="AY152" i="32"/>
  <c r="AX152" i="32"/>
  <c r="AW152" i="32"/>
  <c r="AV152" i="32"/>
  <c r="AV151" i="32" s="1"/>
  <c r="AU152" i="32"/>
  <c r="AT152" i="32"/>
  <c r="AS152" i="32"/>
  <c r="AR152" i="32"/>
  <c r="AQ152" i="32"/>
  <c r="AP152" i="32"/>
  <c r="AO152" i="32"/>
  <c r="AN152" i="32"/>
  <c r="AN151" i="32" s="1"/>
  <c r="AM152" i="32"/>
  <c r="AL152" i="32"/>
  <c r="AK152" i="32"/>
  <c r="AJ152" i="32"/>
  <c r="AI152" i="32"/>
  <c r="AH152" i="32"/>
  <c r="AG152" i="32"/>
  <c r="AF152" i="32"/>
  <c r="AF151" i="32" s="1"/>
  <c r="AE152" i="32"/>
  <c r="AD152" i="32"/>
  <c r="AC152" i="32"/>
  <c r="AB152" i="32"/>
  <c r="AA152" i="32"/>
  <c r="Z152" i="32"/>
  <c r="Y152" i="32"/>
  <c r="X152" i="32"/>
  <c r="X151" i="32" s="1"/>
  <c r="W152" i="32"/>
  <c r="V152" i="32"/>
  <c r="U152" i="32"/>
  <c r="T152" i="32"/>
  <c r="S152" i="32"/>
  <c r="R152" i="32"/>
  <c r="Q152" i="32"/>
  <c r="P152" i="32"/>
  <c r="P151" i="32" s="1"/>
  <c r="O152" i="32"/>
  <c r="N152" i="32"/>
  <c r="M152" i="32"/>
  <c r="L152" i="32"/>
  <c r="K152" i="32"/>
  <c r="J152" i="32"/>
  <c r="I152" i="32"/>
  <c r="H152" i="32"/>
  <c r="G152" i="32"/>
  <c r="F152" i="32"/>
  <c r="E152" i="32"/>
  <c r="D152" i="32"/>
  <c r="C152" i="32"/>
  <c r="BO147" i="32"/>
  <c r="BN147" i="32"/>
  <c r="BM147" i="32"/>
  <c r="BL147" i="32"/>
  <c r="BK147" i="32"/>
  <c r="BJ147" i="32"/>
  <c r="BI147" i="32"/>
  <c r="BH147" i="32"/>
  <c r="BG147" i="32"/>
  <c r="BF147" i="32"/>
  <c r="BE147" i="32"/>
  <c r="BD147" i="32"/>
  <c r="BC147" i="32"/>
  <c r="BB147" i="32"/>
  <c r="BA147" i="32"/>
  <c r="AZ147" i="32"/>
  <c r="AY147" i="32"/>
  <c r="AX147" i="32"/>
  <c r="AW147" i="32"/>
  <c r="AV147" i="32"/>
  <c r="AU147" i="32"/>
  <c r="AT147" i="32"/>
  <c r="AS147" i="32"/>
  <c r="AR147" i="32"/>
  <c r="AQ147" i="32"/>
  <c r="AP147" i="32"/>
  <c r="AO147" i="32"/>
  <c r="AN147" i="32"/>
  <c r="AM147" i="32"/>
  <c r="AL147" i="32"/>
  <c r="AK147" i="32"/>
  <c r="AJ147" i="32"/>
  <c r="AI147" i="32"/>
  <c r="AH147" i="32"/>
  <c r="AG147" i="32"/>
  <c r="AF147" i="32"/>
  <c r="AE147" i="32"/>
  <c r="AD147" i="32"/>
  <c r="AC147" i="32"/>
  <c r="AB147" i="32"/>
  <c r="AA147" i="32"/>
  <c r="Z147" i="32"/>
  <c r="Y147" i="32"/>
  <c r="X147" i="32"/>
  <c r="W147" i="32"/>
  <c r="V147" i="32"/>
  <c r="U147" i="32"/>
  <c r="T147" i="32"/>
  <c r="S147" i="32"/>
  <c r="R147" i="32"/>
  <c r="Q147" i="32"/>
  <c r="P147" i="32"/>
  <c r="O147" i="32"/>
  <c r="N147" i="32"/>
  <c r="M147" i="32"/>
  <c r="L147" i="32"/>
  <c r="K147" i="32"/>
  <c r="J147" i="32"/>
  <c r="I147" i="32"/>
  <c r="H147" i="32"/>
  <c r="G147" i="32"/>
  <c r="F147" i="32"/>
  <c r="E147" i="32"/>
  <c r="D147" i="32"/>
  <c r="C147" i="32"/>
  <c r="BO145" i="32"/>
  <c r="BN145" i="32"/>
  <c r="BM145" i="32"/>
  <c r="BL145" i="32"/>
  <c r="BK145" i="32"/>
  <c r="BJ145" i="32"/>
  <c r="BI145" i="32"/>
  <c r="BH145" i="32"/>
  <c r="BG145" i="32"/>
  <c r="BF145" i="32"/>
  <c r="BE145" i="32"/>
  <c r="BD145" i="32"/>
  <c r="BC145" i="32"/>
  <c r="BB145" i="32"/>
  <c r="BA145" i="32"/>
  <c r="AZ145" i="32"/>
  <c r="AY145" i="32"/>
  <c r="AX145" i="32"/>
  <c r="AW145" i="32"/>
  <c r="AV145" i="32"/>
  <c r="AU145" i="32"/>
  <c r="AT145" i="32"/>
  <c r="AS145" i="32"/>
  <c r="AR145" i="32"/>
  <c r="AQ145" i="32"/>
  <c r="AP145" i="32"/>
  <c r="AO145" i="32"/>
  <c r="AN145" i="32"/>
  <c r="AM145" i="32"/>
  <c r="AL145" i="32"/>
  <c r="AK145" i="32"/>
  <c r="AJ145" i="32"/>
  <c r="AI145" i="32"/>
  <c r="AH145" i="32"/>
  <c r="AG145" i="32"/>
  <c r="AF145" i="32"/>
  <c r="AE145" i="32"/>
  <c r="AD145" i="32"/>
  <c r="AC145" i="32"/>
  <c r="AB145" i="32"/>
  <c r="AA145" i="32"/>
  <c r="Z145" i="32"/>
  <c r="Y145" i="32"/>
  <c r="X145" i="32"/>
  <c r="W145" i="32"/>
  <c r="V145" i="32"/>
  <c r="U145" i="32"/>
  <c r="T145" i="32"/>
  <c r="S145" i="32"/>
  <c r="R145" i="32"/>
  <c r="Q145" i="32"/>
  <c r="P145" i="32"/>
  <c r="O145" i="32"/>
  <c r="N145" i="32"/>
  <c r="M145" i="32"/>
  <c r="L145" i="32"/>
  <c r="K145" i="32"/>
  <c r="J145" i="32"/>
  <c r="I145" i="32"/>
  <c r="H145" i="32"/>
  <c r="G145" i="32"/>
  <c r="F145" i="32"/>
  <c r="E145" i="32"/>
  <c r="D145" i="32"/>
  <c r="C145" i="32"/>
  <c r="BO144" i="32"/>
  <c r="BN144" i="32"/>
  <c r="BM144" i="32"/>
  <c r="BL144" i="32"/>
  <c r="BK144" i="32"/>
  <c r="BJ144" i="32"/>
  <c r="BI144" i="32"/>
  <c r="BH144" i="32"/>
  <c r="BG144" i="32"/>
  <c r="BF144" i="32"/>
  <c r="BE144" i="32"/>
  <c r="BD144" i="32"/>
  <c r="BC144" i="32"/>
  <c r="BB144" i="32"/>
  <c r="BA144" i="32"/>
  <c r="AZ144" i="32"/>
  <c r="AY144" i="32"/>
  <c r="AX144" i="32"/>
  <c r="AW144" i="32"/>
  <c r="AV144" i="32"/>
  <c r="AU144" i="32"/>
  <c r="AT144" i="32"/>
  <c r="AS144" i="32"/>
  <c r="AR144" i="32"/>
  <c r="AQ144" i="32"/>
  <c r="AP144" i="32"/>
  <c r="AO144" i="32"/>
  <c r="AN144" i="32"/>
  <c r="AM144" i="32"/>
  <c r="AL144" i="32"/>
  <c r="AK144" i="32"/>
  <c r="AJ144" i="32"/>
  <c r="AI144" i="32"/>
  <c r="AH144" i="32"/>
  <c r="AG144" i="32"/>
  <c r="AF144" i="32"/>
  <c r="AE144" i="32"/>
  <c r="AD144" i="32"/>
  <c r="AC144" i="32"/>
  <c r="AB144" i="32"/>
  <c r="AA144" i="32"/>
  <c r="Z144" i="32"/>
  <c r="Y144" i="32"/>
  <c r="X144" i="32"/>
  <c r="W144" i="32"/>
  <c r="V144" i="32"/>
  <c r="U144" i="32"/>
  <c r="T144" i="32"/>
  <c r="S144" i="32"/>
  <c r="R144" i="32"/>
  <c r="Q144" i="32"/>
  <c r="P144" i="32"/>
  <c r="O144" i="32"/>
  <c r="N144" i="32"/>
  <c r="M144" i="32"/>
  <c r="L144" i="32"/>
  <c r="K144" i="32"/>
  <c r="J144" i="32"/>
  <c r="I144" i="32"/>
  <c r="H144" i="32"/>
  <c r="G144" i="32"/>
  <c r="F144" i="32"/>
  <c r="E144" i="32"/>
  <c r="D144" i="32"/>
  <c r="C144" i="32"/>
  <c r="BO143" i="32"/>
  <c r="BN143" i="32"/>
  <c r="BM143" i="32"/>
  <c r="BL143" i="32"/>
  <c r="BK143" i="32"/>
  <c r="BJ143" i="32"/>
  <c r="BI143" i="32"/>
  <c r="BH143" i="32"/>
  <c r="BG143" i="32"/>
  <c r="BF143" i="32"/>
  <c r="BE143" i="32"/>
  <c r="BD143" i="32"/>
  <c r="BC143" i="32"/>
  <c r="BB143" i="32"/>
  <c r="BA143" i="32"/>
  <c r="AZ143" i="32"/>
  <c r="AY143" i="32"/>
  <c r="AX143" i="32"/>
  <c r="AW143" i="32"/>
  <c r="AV143" i="32"/>
  <c r="AU143" i="32"/>
  <c r="AT143" i="32"/>
  <c r="AS143" i="32"/>
  <c r="AR143" i="32"/>
  <c r="AQ143" i="32"/>
  <c r="AP143" i="32"/>
  <c r="AO143" i="32"/>
  <c r="AN143" i="32"/>
  <c r="AM143" i="32"/>
  <c r="AL143" i="32"/>
  <c r="AK143" i="32"/>
  <c r="AJ143" i="32"/>
  <c r="AI143" i="32"/>
  <c r="AH143" i="32"/>
  <c r="AG143" i="32"/>
  <c r="AF143" i="32"/>
  <c r="AE143" i="32"/>
  <c r="AD143" i="32"/>
  <c r="AC143" i="32"/>
  <c r="AB143" i="32"/>
  <c r="AA143" i="32"/>
  <c r="Z143" i="32"/>
  <c r="Y143" i="32"/>
  <c r="X143" i="32"/>
  <c r="W143" i="32"/>
  <c r="V143" i="32"/>
  <c r="U143" i="32"/>
  <c r="T143" i="32"/>
  <c r="S143" i="32"/>
  <c r="R143" i="32"/>
  <c r="Q143" i="32"/>
  <c r="P143" i="32"/>
  <c r="O143" i="32"/>
  <c r="N143" i="32"/>
  <c r="M143" i="32"/>
  <c r="L143" i="32"/>
  <c r="K143" i="32"/>
  <c r="J143" i="32"/>
  <c r="I143" i="32"/>
  <c r="H143" i="32"/>
  <c r="G143" i="32"/>
  <c r="F143" i="32"/>
  <c r="E143" i="32"/>
  <c r="D143" i="32"/>
  <c r="C143" i="32"/>
  <c r="BO142" i="32"/>
  <c r="BN142" i="32"/>
  <c r="BM142" i="32"/>
  <c r="BL142" i="32"/>
  <c r="BK142" i="32"/>
  <c r="BJ142" i="32"/>
  <c r="BI142" i="32"/>
  <c r="BH142" i="32"/>
  <c r="BG142" i="32"/>
  <c r="BF142" i="32"/>
  <c r="BE142" i="32"/>
  <c r="BD142" i="32"/>
  <c r="BC142" i="32"/>
  <c r="BB142" i="32"/>
  <c r="BA142" i="32"/>
  <c r="AZ142" i="32"/>
  <c r="AY142" i="32"/>
  <c r="AX142" i="32"/>
  <c r="AW142" i="32"/>
  <c r="AV142" i="32"/>
  <c r="AU142" i="32"/>
  <c r="AT142" i="32"/>
  <c r="AS142" i="32"/>
  <c r="AR142" i="32"/>
  <c r="AQ142" i="32"/>
  <c r="AP142" i="32"/>
  <c r="AO142" i="32"/>
  <c r="AN142" i="32"/>
  <c r="AM142" i="32"/>
  <c r="AL142" i="32"/>
  <c r="AK142" i="32"/>
  <c r="AJ142" i="32"/>
  <c r="AI142" i="32"/>
  <c r="AH142" i="32"/>
  <c r="AG142" i="32"/>
  <c r="AF142" i="32"/>
  <c r="AE142" i="32"/>
  <c r="AD142" i="32"/>
  <c r="AC142" i="32"/>
  <c r="AB142" i="32"/>
  <c r="AA142" i="32"/>
  <c r="Z142" i="32"/>
  <c r="Y142" i="32"/>
  <c r="X142" i="32"/>
  <c r="W142" i="32"/>
  <c r="V142" i="32"/>
  <c r="U142" i="32"/>
  <c r="T142" i="32"/>
  <c r="S142" i="32"/>
  <c r="R142" i="32"/>
  <c r="Q142" i="32"/>
  <c r="P142" i="32"/>
  <c r="O142" i="32"/>
  <c r="N142" i="32"/>
  <c r="M142" i="32"/>
  <c r="L142" i="32"/>
  <c r="K142" i="32"/>
  <c r="J142" i="32"/>
  <c r="I142" i="32"/>
  <c r="H142" i="32"/>
  <c r="G142" i="32"/>
  <c r="F142" i="32"/>
  <c r="E142" i="32"/>
  <c r="D142" i="32"/>
  <c r="C142" i="32"/>
  <c r="BO141" i="32"/>
  <c r="BN141" i="32"/>
  <c r="BM141" i="32"/>
  <c r="BL141" i="32"/>
  <c r="BK141" i="32"/>
  <c r="BJ141" i="32"/>
  <c r="BI141" i="32"/>
  <c r="BH141" i="32"/>
  <c r="BG141" i="32"/>
  <c r="BF141" i="32"/>
  <c r="BE141" i="32"/>
  <c r="BD141" i="32"/>
  <c r="BC141" i="32"/>
  <c r="BB141" i="32"/>
  <c r="BA141" i="32"/>
  <c r="AZ141" i="32"/>
  <c r="AY141" i="32"/>
  <c r="AX141" i="32"/>
  <c r="AW141" i="32"/>
  <c r="AV141" i="32"/>
  <c r="AU141" i="32"/>
  <c r="AT141" i="32"/>
  <c r="AS141" i="32"/>
  <c r="AR141" i="32"/>
  <c r="AQ141" i="32"/>
  <c r="AP141" i="32"/>
  <c r="AO141" i="32"/>
  <c r="AN141" i="32"/>
  <c r="AM141" i="32"/>
  <c r="AL141" i="32"/>
  <c r="AK141" i="32"/>
  <c r="AJ141" i="32"/>
  <c r="AI141" i="32"/>
  <c r="AH141" i="32"/>
  <c r="AG141" i="32"/>
  <c r="AF141" i="32"/>
  <c r="AE141" i="32"/>
  <c r="AD141" i="32"/>
  <c r="AC141" i="32"/>
  <c r="AB141" i="32"/>
  <c r="AA141" i="32"/>
  <c r="Z141" i="32"/>
  <c r="Y141" i="32"/>
  <c r="X141" i="32"/>
  <c r="W141" i="32"/>
  <c r="V141" i="32"/>
  <c r="U141" i="32"/>
  <c r="T141" i="32"/>
  <c r="S141" i="32"/>
  <c r="R141" i="32"/>
  <c r="Q141" i="32"/>
  <c r="P141" i="32"/>
  <c r="O141" i="32"/>
  <c r="N141" i="32"/>
  <c r="M141" i="32"/>
  <c r="L141" i="32"/>
  <c r="K141" i="32"/>
  <c r="J141" i="32"/>
  <c r="I141" i="32"/>
  <c r="H141" i="32"/>
  <c r="G141" i="32"/>
  <c r="F141" i="32"/>
  <c r="E141" i="32"/>
  <c r="D141" i="32"/>
  <c r="C141" i="32"/>
  <c r="BO140" i="32"/>
  <c r="BN140" i="32"/>
  <c r="BM140" i="32"/>
  <c r="BL140" i="32"/>
  <c r="BK140" i="32"/>
  <c r="BJ140" i="32"/>
  <c r="BI140" i="32"/>
  <c r="BH140" i="32"/>
  <c r="BG140" i="32"/>
  <c r="BF140" i="32"/>
  <c r="BE140" i="32"/>
  <c r="BD140" i="32"/>
  <c r="BC140" i="32"/>
  <c r="BB140" i="32"/>
  <c r="BA140" i="32"/>
  <c r="AZ140" i="32"/>
  <c r="AY140" i="32"/>
  <c r="AX140" i="32"/>
  <c r="AW140" i="32"/>
  <c r="AV140" i="32"/>
  <c r="AU140" i="32"/>
  <c r="AT140" i="32"/>
  <c r="AS140" i="32"/>
  <c r="AR140" i="32"/>
  <c r="AQ140" i="32"/>
  <c r="AP140" i="32"/>
  <c r="AO140" i="32"/>
  <c r="AN140" i="32"/>
  <c r="AM140" i="32"/>
  <c r="AL140" i="32"/>
  <c r="AK140" i="32"/>
  <c r="AJ140" i="32"/>
  <c r="AI140" i="32"/>
  <c r="AH140" i="32"/>
  <c r="AG140" i="32"/>
  <c r="AF140" i="32"/>
  <c r="AE140" i="32"/>
  <c r="AD140" i="32"/>
  <c r="AC140" i="32"/>
  <c r="AB140" i="32"/>
  <c r="AA140" i="32"/>
  <c r="Z140" i="32"/>
  <c r="Y140" i="32"/>
  <c r="X140" i="32"/>
  <c r="W140" i="32"/>
  <c r="V140" i="32"/>
  <c r="U140" i="32"/>
  <c r="T140" i="32"/>
  <c r="S140" i="32"/>
  <c r="R140" i="32"/>
  <c r="Q140" i="32"/>
  <c r="P140" i="32"/>
  <c r="O140" i="32"/>
  <c r="N140" i="32"/>
  <c r="M140" i="32"/>
  <c r="L140" i="32"/>
  <c r="K140" i="32"/>
  <c r="J140" i="32"/>
  <c r="I140" i="32"/>
  <c r="H140" i="32"/>
  <c r="G140" i="32"/>
  <c r="F140" i="32"/>
  <c r="E140" i="32"/>
  <c r="D140" i="32"/>
  <c r="C140" i="32"/>
  <c r="BO139" i="32"/>
  <c r="BN139" i="32"/>
  <c r="BM139" i="32"/>
  <c r="BL139" i="32"/>
  <c r="BK139" i="32"/>
  <c r="BJ139" i="32"/>
  <c r="BI139" i="32"/>
  <c r="BH139" i="32"/>
  <c r="BG139" i="32"/>
  <c r="BF139" i="32"/>
  <c r="BE139" i="32"/>
  <c r="BD139" i="32"/>
  <c r="BC139" i="32"/>
  <c r="BB139" i="32"/>
  <c r="BA139" i="32"/>
  <c r="AZ139" i="32"/>
  <c r="AY139" i="32"/>
  <c r="AX139" i="32"/>
  <c r="AW139" i="32"/>
  <c r="AV139" i="32"/>
  <c r="AU139" i="32"/>
  <c r="AT139" i="32"/>
  <c r="AS139" i="32"/>
  <c r="AR139" i="32"/>
  <c r="AQ139" i="32"/>
  <c r="AP139" i="32"/>
  <c r="AO139" i="32"/>
  <c r="AN139" i="32"/>
  <c r="AM139" i="32"/>
  <c r="AL139" i="32"/>
  <c r="AK139" i="32"/>
  <c r="AJ139" i="32"/>
  <c r="AI139" i="32"/>
  <c r="AH139" i="32"/>
  <c r="AG139" i="32"/>
  <c r="AF139" i="32"/>
  <c r="AE139" i="32"/>
  <c r="AD139" i="32"/>
  <c r="AC139" i="32"/>
  <c r="AB139" i="32"/>
  <c r="AA139" i="32"/>
  <c r="Z139" i="32"/>
  <c r="Y139" i="32"/>
  <c r="X139" i="32"/>
  <c r="W139" i="32"/>
  <c r="V139" i="32"/>
  <c r="U139" i="32"/>
  <c r="T139" i="32"/>
  <c r="S139" i="32"/>
  <c r="R139" i="32"/>
  <c r="Q139" i="32"/>
  <c r="P139" i="32"/>
  <c r="O139" i="32"/>
  <c r="N139" i="32"/>
  <c r="M139" i="32"/>
  <c r="L139" i="32"/>
  <c r="K139" i="32"/>
  <c r="J139" i="32"/>
  <c r="I139" i="32"/>
  <c r="H139" i="32"/>
  <c r="G139" i="32"/>
  <c r="F139" i="32"/>
  <c r="E139" i="32"/>
  <c r="D139" i="32"/>
  <c r="C139" i="32"/>
  <c r="BO138" i="32"/>
  <c r="BN138" i="32"/>
  <c r="BM138" i="32"/>
  <c r="BL138" i="32"/>
  <c r="BK138" i="32"/>
  <c r="BJ138" i="32"/>
  <c r="BI138" i="32"/>
  <c r="BH138" i="32"/>
  <c r="BG138" i="32"/>
  <c r="BF138" i="32"/>
  <c r="BE138" i="32"/>
  <c r="BD138" i="32"/>
  <c r="BC138" i="32"/>
  <c r="BB138" i="32"/>
  <c r="BA138" i="32"/>
  <c r="AZ138" i="32"/>
  <c r="AY138" i="32"/>
  <c r="AX138" i="32"/>
  <c r="AW138" i="32"/>
  <c r="AV138" i="32"/>
  <c r="AU138" i="32"/>
  <c r="AT138" i="32"/>
  <c r="AS138" i="32"/>
  <c r="AR138" i="32"/>
  <c r="AQ138" i="32"/>
  <c r="AP138" i="32"/>
  <c r="AO138" i="32"/>
  <c r="AN138" i="32"/>
  <c r="AM138" i="32"/>
  <c r="AL138" i="32"/>
  <c r="AK138" i="32"/>
  <c r="AJ138" i="32"/>
  <c r="AI138" i="32"/>
  <c r="AH138" i="32"/>
  <c r="AG138" i="32"/>
  <c r="AF138" i="32"/>
  <c r="AE138" i="32"/>
  <c r="AD138" i="32"/>
  <c r="AC138" i="32"/>
  <c r="AB138" i="32"/>
  <c r="AA138" i="32"/>
  <c r="Z138" i="32"/>
  <c r="Y138" i="32"/>
  <c r="X138" i="32"/>
  <c r="W138" i="32"/>
  <c r="V138" i="32"/>
  <c r="U138" i="32"/>
  <c r="T138" i="32"/>
  <c r="S138" i="32"/>
  <c r="R138" i="32"/>
  <c r="Q138" i="32"/>
  <c r="P138" i="32"/>
  <c r="O138" i="32"/>
  <c r="N138" i="32"/>
  <c r="M138" i="32"/>
  <c r="L138" i="32"/>
  <c r="K138" i="32"/>
  <c r="J138" i="32"/>
  <c r="I138" i="32"/>
  <c r="H138" i="32"/>
  <c r="G138" i="32"/>
  <c r="F138" i="32"/>
  <c r="E138" i="32"/>
  <c r="D138" i="32"/>
  <c r="C138" i="32"/>
  <c r="BO137" i="32"/>
  <c r="BN137" i="32"/>
  <c r="BM137" i="32"/>
  <c r="BL137" i="32"/>
  <c r="BK137" i="32"/>
  <c r="BJ137" i="32"/>
  <c r="BI137" i="32"/>
  <c r="BH137" i="32"/>
  <c r="BG137" i="32"/>
  <c r="BF137" i="32"/>
  <c r="BE137" i="32"/>
  <c r="BD137" i="32"/>
  <c r="BC137" i="32"/>
  <c r="BB137" i="32"/>
  <c r="BA137" i="32"/>
  <c r="AZ137" i="32"/>
  <c r="AY137" i="32"/>
  <c r="AX137" i="32"/>
  <c r="AW137" i="32"/>
  <c r="AV137" i="32"/>
  <c r="AU137" i="32"/>
  <c r="AT137" i="32"/>
  <c r="AS137" i="32"/>
  <c r="AR137" i="32"/>
  <c r="AQ137" i="32"/>
  <c r="AP137" i="32"/>
  <c r="AO137" i="32"/>
  <c r="AN137" i="32"/>
  <c r="AM137" i="32"/>
  <c r="AL137" i="32"/>
  <c r="AK137" i="32"/>
  <c r="AJ137" i="32"/>
  <c r="AI137" i="32"/>
  <c r="AH137" i="32"/>
  <c r="AG137" i="32"/>
  <c r="AF137" i="32"/>
  <c r="AE137" i="32"/>
  <c r="AD137" i="32"/>
  <c r="AC137" i="32"/>
  <c r="AB137" i="32"/>
  <c r="AA137" i="32"/>
  <c r="Z137" i="32"/>
  <c r="Y137" i="32"/>
  <c r="X137" i="32"/>
  <c r="W137" i="32"/>
  <c r="V137" i="32"/>
  <c r="U137" i="32"/>
  <c r="T137" i="32"/>
  <c r="S137" i="32"/>
  <c r="R137" i="32"/>
  <c r="Q137" i="32"/>
  <c r="P137" i="32"/>
  <c r="O137" i="32"/>
  <c r="N137" i="32"/>
  <c r="M137" i="32"/>
  <c r="L137" i="32"/>
  <c r="K137" i="32"/>
  <c r="J137" i="32"/>
  <c r="I137" i="32"/>
  <c r="H137" i="32"/>
  <c r="G137" i="32"/>
  <c r="F137" i="32"/>
  <c r="E137" i="32"/>
  <c r="D137" i="32"/>
  <c r="C137" i="32"/>
  <c r="BO136" i="32"/>
  <c r="BN136" i="32"/>
  <c r="BM136" i="32"/>
  <c r="BL136" i="32"/>
  <c r="BK136" i="32"/>
  <c r="BJ136" i="32"/>
  <c r="BI136" i="32"/>
  <c r="BH136" i="32"/>
  <c r="BG136" i="32"/>
  <c r="BF136" i="32"/>
  <c r="BE136" i="32"/>
  <c r="BD136" i="32"/>
  <c r="BC136" i="32"/>
  <c r="BB136" i="32"/>
  <c r="BA136" i="32"/>
  <c r="AZ136" i="32"/>
  <c r="AY136" i="32"/>
  <c r="AX136" i="32"/>
  <c r="AW136" i="32"/>
  <c r="AV136" i="32"/>
  <c r="AU136" i="32"/>
  <c r="AT136" i="32"/>
  <c r="AS136" i="32"/>
  <c r="AR136" i="32"/>
  <c r="AQ136" i="32"/>
  <c r="AP136" i="32"/>
  <c r="AO136" i="32"/>
  <c r="AN136" i="32"/>
  <c r="AM136" i="32"/>
  <c r="AL136" i="32"/>
  <c r="AK136" i="32"/>
  <c r="AJ136" i="32"/>
  <c r="AI136" i="32"/>
  <c r="AH136" i="32"/>
  <c r="AG136" i="32"/>
  <c r="AF136" i="32"/>
  <c r="AE136" i="32"/>
  <c r="AD136" i="32"/>
  <c r="AC136" i="32"/>
  <c r="AB136" i="32"/>
  <c r="AA136" i="32"/>
  <c r="Z136" i="32"/>
  <c r="Y136" i="32"/>
  <c r="X136" i="32"/>
  <c r="W136" i="32"/>
  <c r="V136" i="32"/>
  <c r="U136" i="32"/>
  <c r="T136" i="32"/>
  <c r="S136" i="32"/>
  <c r="R136" i="32"/>
  <c r="Q136" i="32"/>
  <c r="P136" i="32"/>
  <c r="O136" i="32"/>
  <c r="N136" i="32"/>
  <c r="M136" i="32"/>
  <c r="L136" i="32"/>
  <c r="K136" i="32"/>
  <c r="J136" i="32"/>
  <c r="I136" i="32"/>
  <c r="H136" i="32"/>
  <c r="G136" i="32"/>
  <c r="F136" i="32"/>
  <c r="E136" i="32"/>
  <c r="D136" i="32"/>
  <c r="C136" i="32"/>
  <c r="BO135" i="32"/>
  <c r="BN135" i="32"/>
  <c r="BM135" i="32"/>
  <c r="BL135" i="32"/>
  <c r="BK135" i="32"/>
  <c r="BJ135" i="32"/>
  <c r="BI135" i="32"/>
  <c r="BH135" i="32"/>
  <c r="BG135" i="32"/>
  <c r="BF135" i="32"/>
  <c r="BE135" i="32"/>
  <c r="BD135" i="32"/>
  <c r="BC135" i="32"/>
  <c r="BB135" i="32"/>
  <c r="BA135" i="32"/>
  <c r="AZ135" i="32"/>
  <c r="AY135" i="32"/>
  <c r="AX135" i="32"/>
  <c r="AW135" i="32"/>
  <c r="AV135" i="32"/>
  <c r="AU135" i="32"/>
  <c r="AT135" i="32"/>
  <c r="AS135" i="32"/>
  <c r="AR135" i="32"/>
  <c r="AQ135" i="32"/>
  <c r="AP135" i="32"/>
  <c r="AO135" i="32"/>
  <c r="AN135" i="32"/>
  <c r="AM135" i="32"/>
  <c r="AL135" i="32"/>
  <c r="AK135" i="32"/>
  <c r="AJ135" i="32"/>
  <c r="AI135" i="32"/>
  <c r="AH135" i="32"/>
  <c r="AG135" i="32"/>
  <c r="AF135" i="32"/>
  <c r="AE135" i="32"/>
  <c r="AD135" i="32"/>
  <c r="AC135" i="32"/>
  <c r="AB135" i="32"/>
  <c r="AA135" i="32"/>
  <c r="Z135" i="32"/>
  <c r="Y135" i="32"/>
  <c r="X135" i="32"/>
  <c r="W135" i="32"/>
  <c r="V135" i="32"/>
  <c r="U135" i="32"/>
  <c r="T135" i="32"/>
  <c r="S135" i="32"/>
  <c r="R135" i="32"/>
  <c r="Q135" i="32"/>
  <c r="P135" i="32"/>
  <c r="O135" i="32"/>
  <c r="N135" i="32"/>
  <c r="M135" i="32"/>
  <c r="L135" i="32"/>
  <c r="K135" i="32"/>
  <c r="J135" i="32"/>
  <c r="I135" i="32"/>
  <c r="H135" i="32"/>
  <c r="G135" i="32"/>
  <c r="F135" i="32"/>
  <c r="E135" i="32"/>
  <c r="D135" i="32"/>
  <c r="C135" i="32"/>
  <c r="BO133" i="32"/>
  <c r="BN133" i="32"/>
  <c r="BM133" i="32"/>
  <c r="BL133" i="32"/>
  <c r="BK133" i="32"/>
  <c r="BJ133" i="32"/>
  <c r="BI133" i="32"/>
  <c r="BH133" i="32"/>
  <c r="BG133" i="32"/>
  <c r="BF133" i="32"/>
  <c r="BE133" i="32"/>
  <c r="BD133" i="32"/>
  <c r="BC133" i="32"/>
  <c r="BB133" i="32"/>
  <c r="BA133" i="32"/>
  <c r="AZ133" i="32"/>
  <c r="AY133" i="32"/>
  <c r="AX133" i="32"/>
  <c r="AW133" i="32"/>
  <c r="AV133" i="32"/>
  <c r="AU133" i="32"/>
  <c r="AT133" i="32"/>
  <c r="AS133" i="32"/>
  <c r="AR133" i="32"/>
  <c r="AQ133" i="32"/>
  <c r="AP133" i="32"/>
  <c r="AO133" i="32"/>
  <c r="AN133" i="32"/>
  <c r="AM133" i="32"/>
  <c r="AL133" i="32"/>
  <c r="AK133" i="32"/>
  <c r="AJ133" i="32"/>
  <c r="AI133" i="32"/>
  <c r="AH133" i="32"/>
  <c r="AG133" i="32"/>
  <c r="AF133" i="32"/>
  <c r="AE133" i="32"/>
  <c r="AD133" i="32"/>
  <c r="AC133" i="32"/>
  <c r="AB133" i="32"/>
  <c r="AA133" i="32"/>
  <c r="Z133" i="32"/>
  <c r="Y133" i="32"/>
  <c r="X133" i="32"/>
  <c r="W133" i="32"/>
  <c r="V133" i="32"/>
  <c r="U133" i="32"/>
  <c r="T133" i="32"/>
  <c r="S133" i="32"/>
  <c r="R133" i="32"/>
  <c r="Q133" i="32"/>
  <c r="P133" i="32"/>
  <c r="O133" i="32"/>
  <c r="N133" i="32"/>
  <c r="M133" i="32"/>
  <c r="L133" i="32"/>
  <c r="K133" i="32"/>
  <c r="J133" i="32"/>
  <c r="I133" i="32"/>
  <c r="H133" i="32"/>
  <c r="G133" i="32"/>
  <c r="F133" i="32"/>
  <c r="E133" i="32"/>
  <c r="D133" i="32"/>
  <c r="C133" i="32"/>
  <c r="BO132" i="32"/>
  <c r="BN132" i="32"/>
  <c r="BM132" i="32"/>
  <c r="BL132" i="32"/>
  <c r="BK132" i="32"/>
  <c r="BJ132" i="32"/>
  <c r="BI132" i="32"/>
  <c r="BH132" i="32"/>
  <c r="BG132" i="32"/>
  <c r="BF132" i="32"/>
  <c r="BE132" i="32"/>
  <c r="BD132" i="32"/>
  <c r="BC132" i="32"/>
  <c r="BB132" i="32"/>
  <c r="BA132" i="32"/>
  <c r="AZ132" i="32"/>
  <c r="AY132" i="32"/>
  <c r="AX132" i="32"/>
  <c r="AW132" i="32"/>
  <c r="AV132" i="32"/>
  <c r="AU132" i="32"/>
  <c r="AT132" i="32"/>
  <c r="AS132" i="32"/>
  <c r="AR132" i="32"/>
  <c r="AQ132" i="32"/>
  <c r="AP132" i="32"/>
  <c r="AO132" i="32"/>
  <c r="AN132" i="32"/>
  <c r="AM132" i="32"/>
  <c r="AL132" i="32"/>
  <c r="AK132" i="32"/>
  <c r="AJ132" i="32"/>
  <c r="AI132" i="32"/>
  <c r="AH132" i="32"/>
  <c r="AG132" i="32"/>
  <c r="AF132" i="32"/>
  <c r="AE132" i="32"/>
  <c r="AD132" i="32"/>
  <c r="AC132" i="32"/>
  <c r="AB132" i="32"/>
  <c r="AA132" i="32"/>
  <c r="Z132" i="32"/>
  <c r="Y132" i="32"/>
  <c r="X132" i="32"/>
  <c r="W132" i="32"/>
  <c r="V132" i="32"/>
  <c r="U132" i="32"/>
  <c r="T132" i="32"/>
  <c r="S132" i="32"/>
  <c r="R132" i="32"/>
  <c r="Q132" i="32"/>
  <c r="P132" i="32"/>
  <c r="O132" i="32"/>
  <c r="N132" i="32"/>
  <c r="M132" i="32"/>
  <c r="L132" i="32"/>
  <c r="K132" i="32"/>
  <c r="J132" i="32"/>
  <c r="I132" i="32"/>
  <c r="H132" i="32"/>
  <c r="G132" i="32"/>
  <c r="F132" i="32"/>
  <c r="E132" i="32"/>
  <c r="D132" i="32"/>
  <c r="C132" i="32"/>
  <c r="BO131" i="32"/>
  <c r="BN131" i="32"/>
  <c r="BM131" i="32"/>
  <c r="BL131" i="32"/>
  <c r="BK131" i="32"/>
  <c r="BJ131" i="32"/>
  <c r="BI131" i="32"/>
  <c r="BH131" i="32"/>
  <c r="BG131" i="32"/>
  <c r="BF131" i="32"/>
  <c r="BE131" i="32"/>
  <c r="BD131" i="32"/>
  <c r="BC131" i="32"/>
  <c r="BB131" i="32"/>
  <c r="BA131" i="32"/>
  <c r="AZ131" i="32"/>
  <c r="AY131" i="32"/>
  <c r="AX131" i="32"/>
  <c r="AW131" i="32"/>
  <c r="AV131" i="32"/>
  <c r="AU131" i="32"/>
  <c r="AT131" i="32"/>
  <c r="AS131" i="32"/>
  <c r="AR131" i="32"/>
  <c r="AQ131" i="32"/>
  <c r="AP131" i="32"/>
  <c r="AO131" i="32"/>
  <c r="AN131" i="32"/>
  <c r="AM131" i="32"/>
  <c r="AL131" i="32"/>
  <c r="AK131" i="32"/>
  <c r="AJ131" i="32"/>
  <c r="AI131" i="32"/>
  <c r="AH131" i="32"/>
  <c r="AG131" i="32"/>
  <c r="AF131" i="32"/>
  <c r="AE131" i="32"/>
  <c r="AD131" i="32"/>
  <c r="AC131" i="32"/>
  <c r="AB131" i="32"/>
  <c r="AA131" i="32"/>
  <c r="Z131" i="32"/>
  <c r="Y131" i="32"/>
  <c r="X131" i="32"/>
  <c r="W131" i="32"/>
  <c r="V131" i="32"/>
  <c r="U131" i="32"/>
  <c r="T131" i="32"/>
  <c r="S131" i="32"/>
  <c r="R131" i="32"/>
  <c r="Q131" i="32"/>
  <c r="P131" i="32"/>
  <c r="O131" i="32"/>
  <c r="N131" i="32"/>
  <c r="M131" i="32"/>
  <c r="L131" i="32"/>
  <c r="K131" i="32"/>
  <c r="J131" i="32"/>
  <c r="I131" i="32"/>
  <c r="H131" i="32"/>
  <c r="G131" i="32"/>
  <c r="F131" i="32"/>
  <c r="E131" i="32"/>
  <c r="D131" i="32"/>
  <c r="C131" i="32"/>
  <c r="BO130" i="32"/>
  <c r="BN130" i="32"/>
  <c r="BM130" i="32"/>
  <c r="BL130" i="32"/>
  <c r="BK130" i="32"/>
  <c r="BJ130" i="32"/>
  <c r="BI130" i="32"/>
  <c r="BH130" i="32"/>
  <c r="BG130" i="32"/>
  <c r="BF130" i="32"/>
  <c r="BE130" i="32"/>
  <c r="BD130" i="32"/>
  <c r="BC130" i="32"/>
  <c r="BB130" i="32"/>
  <c r="BA130" i="32"/>
  <c r="AZ130" i="32"/>
  <c r="AY130" i="32"/>
  <c r="AX130" i="32"/>
  <c r="AW130" i="32"/>
  <c r="AV130" i="32"/>
  <c r="AU130" i="32"/>
  <c r="AT130" i="32"/>
  <c r="AS130" i="32"/>
  <c r="AR130" i="32"/>
  <c r="AQ130" i="32"/>
  <c r="AP130" i="32"/>
  <c r="AO130" i="32"/>
  <c r="AN130" i="32"/>
  <c r="AM130" i="32"/>
  <c r="AL130" i="32"/>
  <c r="AK130" i="32"/>
  <c r="AJ130" i="32"/>
  <c r="AI130" i="32"/>
  <c r="AH130" i="32"/>
  <c r="AG130" i="32"/>
  <c r="AF130" i="32"/>
  <c r="AE130" i="32"/>
  <c r="AD130" i="32"/>
  <c r="AC130" i="32"/>
  <c r="AB130" i="32"/>
  <c r="AA130" i="32"/>
  <c r="Z130" i="32"/>
  <c r="Y130" i="32"/>
  <c r="X130" i="32"/>
  <c r="W130" i="32"/>
  <c r="V130" i="32"/>
  <c r="U130" i="32"/>
  <c r="T130" i="32"/>
  <c r="S130" i="32"/>
  <c r="R130" i="32"/>
  <c r="Q130" i="32"/>
  <c r="P130" i="32"/>
  <c r="O130" i="32"/>
  <c r="N130" i="32"/>
  <c r="M130" i="32"/>
  <c r="L130" i="32"/>
  <c r="K130" i="32"/>
  <c r="J130" i="32"/>
  <c r="I130" i="32"/>
  <c r="H130" i="32"/>
  <c r="G130" i="32"/>
  <c r="F130" i="32"/>
  <c r="E130" i="32"/>
  <c r="D130" i="32"/>
  <c r="C130" i="32"/>
  <c r="BO129" i="32"/>
  <c r="BN129" i="32"/>
  <c r="BM129" i="32"/>
  <c r="BL129" i="32"/>
  <c r="BK129" i="32"/>
  <c r="BJ129" i="32"/>
  <c r="BI129" i="32"/>
  <c r="BH129" i="32"/>
  <c r="BG129" i="32"/>
  <c r="BF129" i="32"/>
  <c r="BE129" i="32"/>
  <c r="BD129" i="32"/>
  <c r="BC129" i="32"/>
  <c r="BB129" i="32"/>
  <c r="BA129" i="32"/>
  <c r="AZ129" i="32"/>
  <c r="AY129" i="32"/>
  <c r="AX129" i="32"/>
  <c r="AW129" i="32"/>
  <c r="AV129" i="32"/>
  <c r="AU129" i="32"/>
  <c r="AT129" i="32"/>
  <c r="AS129" i="32"/>
  <c r="AR129" i="32"/>
  <c r="AQ129" i="32"/>
  <c r="AP129" i="32"/>
  <c r="AO129" i="32"/>
  <c r="AN129" i="32"/>
  <c r="AM129" i="32"/>
  <c r="AL129" i="32"/>
  <c r="AK129" i="32"/>
  <c r="AJ129" i="32"/>
  <c r="AI129" i="32"/>
  <c r="AH129" i="32"/>
  <c r="AG129" i="32"/>
  <c r="AF129" i="32"/>
  <c r="AE129" i="32"/>
  <c r="AD129" i="32"/>
  <c r="AC129" i="32"/>
  <c r="AB129" i="32"/>
  <c r="AA129" i="32"/>
  <c r="Z129" i="32"/>
  <c r="Y129" i="32"/>
  <c r="X129" i="32"/>
  <c r="W129" i="32"/>
  <c r="V129" i="32"/>
  <c r="U129" i="32"/>
  <c r="T129" i="32"/>
  <c r="S129" i="32"/>
  <c r="R129" i="32"/>
  <c r="Q129" i="32"/>
  <c r="P129" i="32"/>
  <c r="O129" i="32"/>
  <c r="N129" i="32"/>
  <c r="M129" i="32"/>
  <c r="L129" i="32"/>
  <c r="K129" i="32"/>
  <c r="J129" i="32"/>
  <c r="I129" i="32"/>
  <c r="H129" i="32"/>
  <c r="G129" i="32"/>
  <c r="F129" i="32"/>
  <c r="E129" i="32"/>
  <c r="D129" i="32"/>
  <c r="C129" i="32"/>
  <c r="BO128" i="32"/>
  <c r="BN128" i="32"/>
  <c r="BM128" i="32"/>
  <c r="BL128" i="32"/>
  <c r="BK128" i="32"/>
  <c r="BJ128" i="32"/>
  <c r="BI128" i="32"/>
  <c r="BH128" i="32"/>
  <c r="BG128" i="32"/>
  <c r="BF128" i="32"/>
  <c r="BE128" i="32"/>
  <c r="BD128" i="32"/>
  <c r="BC128" i="32"/>
  <c r="BB128" i="32"/>
  <c r="BA128" i="32"/>
  <c r="AZ128" i="32"/>
  <c r="AY128" i="32"/>
  <c r="AX128" i="32"/>
  <c r="AW128" i="32"/>
  <c r="AV128" i="32"/>
  <c r="AU128" i="32"/>
  <c r="AT128" i="32"/>
  <c r="AS128" i="32"/>
  <c r="AR128" i="32"/>
  <c r="AQ128" i="32"/>
  <c r="AP128" i="32"/>
  <c r="AO128" i="32"/>
  <c r="AN128" i="32"/>
  <c r="AM128" i="32"/>
  <c r="AL128" i="32"/>
  <c r="AK128" i="32"/>
  <c r="AJ128" i="32"/>
  <c r="AI128" i="32"/>
  <c r="AH128" i="32"/>
  <c r="AG128" i="32"/>
  <c r="AF128" i="32"/>
  <c r="AE128" i="32"/>
  <c r="AD128" i="32"/>
  <c r="AC128" i="32"/>
  <c r="AB128" i="32"/>
  <c r="AA128" i="32"/>
  <c r="Z128" i="32"/>
  <c r="Y128" i="32"/>
  <c r="X128" i="32"/>
  <c r="W128" i="32"/>
  <c r="V128" i="32"/>
  <c r="U128" i="32"/>
  <c r="T128" i="32"/>
  <c r="S128" i="32"/>
  <c r="R128" i="32"/>
  <c r="Q128" i="32"/>
  <c r="P128" i="32"/>
  <c r="O128" i="32"/>
  <c r="N128" i="32"/>
  <c r="M128" i="32"/>
  <c r="L128" i="32"/>
  <c r="K128" i="32"/>
  <c r="J128" i="32"/>
  <c r="I128" i="32"/>
  <c r="H128" i="32"/>
  <c r="G128" i="32"/>
  <c r="F128" i="32"/>
  <c r="E128" i="32"/>
  <c r="D128" i="32"/>
  <c r="C128" i="32"/>
  <c r="BO127" i="32"/>
  <c r="BN127" i="32"/>
  <c r="BM127" i="32"/>
  <c r="BL127" i="32"/>
  <c r="BK127" i="32"/>
  <c r="BJ127" i="32"/>
  <c r="BI127" i="32"/>
  <c r="BH127" i="32"/>
  <c r="BG127" i="32"/>
  <c r="BF127" i="32"/>
  <c r="BE127" i="32"/>
  <c r="BD127" i="32"/>
  <c r="BC127" i="32"/>
  <c r="BB127" i="32"/>
  <c r="BA127" i="32"/>
  <c r="AZ127" i="32"/>
  <c r="AY127" i="32"/>
  <c r="AX127" i="32"/>
  <c r="AW127" i="32"/>
  <c r="AV127" i="32"/>
  <c r="AU127" i="32"/>
  <c r="AT127" i="32"/>
  <c r="AS127" i="32"/>
  <c r="AR127" i="32"/>
  <c r="AQ127" i="32"/>
  <c r="AP127" i="32"/>
  <c r="AO127" i="32"/>
  <c r="AN127" i="32"/>
  <c r="AM127" i="32"/>
  <c r="AL127" i="32"/>
  <c r="AK127" i="32"/>
  <c r="AJ127" i="32"/>
  <c r="AI127" i="32"/>
  <c r="AH127" i="32"/>
  <c r="AG127" i="32"/>
  <c r="AF127" i="32"/>
  <c r="AE127" i="32"/>
  <c r="AD127" i="32"/>
  <c r="AC127" i="32"/>
  <c r="AB127" i="32"/>
  <c r="AA127" i="32"/>
  <c r="Z127" i="32"/>
  <c r="Y127" i="32"/>
  <c r="X127" i="32"/>
  <c r="W127" i="32"/>
  <c r="V127" i="32"/>
  <c r="U127" i="32"/>
  <c r="T127" i="32"/>
  <c r="S127" i="32"/>
  <c r="R127" i="32"/>
  <c r="Q127" i="32"/>
  <c r="P127" i="32"/>
  <c r="O127" i="32"/>
  <c r="N127" i="32"/>
  <c r="M127" i="32"/>
  <c r="L127" i="32"/>
  <c r="K127" i="32"/>
  <c r="J127" i="32"/>
  <c r="I127" i="32"/>
  <c r="H127" i="32"/>
  <c r="G127" i="32"/>
  <c r="F127" i="32"/>
  <c r="E127" i="32"/>
  <c r="D127" i="32"/>
  <c r="C127" i="32"/>
  <c r="BO126" i="32"/>
  <c r="BN126" i="32"/>
  <c r="BM126" i="32"/>
  <c r="BL126" i="32"/>
  <c r="BK126" i="32"/>
  <c r="BJ126" i="32"/>
  <c r="BI126" i="32"/>
  <c r="BH126" i="32"/>
  <c r="BG126" i="32"/>
  <c r="BF126" i="32"/>
  <c r="BE126" i="32"/>
  <c r="BD126" i="32"/>
  <c r="BC126" i="32"/>
  <c r="BB126" i="32"/>
  <c r="BA126" i="32"/>
  <c r="AZ126" i="32"/>
  <c r="AY126" i="32"/>
  <c r="AX126" i="32"/>
  <c r="AW126" i="32"/>
  <c r="AV126" i="32"/>
  <c r="AU126" i="32"/>
  <c r="AT126" i="32"/>
  <c r="AS126" i="32"/>
  <c r="AR126" i="32"/>
  <c r="AQ126" i="32"/>
  <c r="AP126" i="32"/>
  <c r="AO126" i="32"/>
  <c r="AN126" i="32"/>
  <c r="AM126" i="32"/>
  <c r="AL126" i="32"/>
  <c r="AK126" i="32"/>
  <c r="AJ126" i="32"/>
  <c r="AI126" i="32"/>
  <c r="AH126" i="32"/>
  <c r="AG126" i="32"/>
  <c r="AF126" i="32"/>
  <c r="AE126" i="32"/>
  <c r="AD126" i="32"/>
  <c r="AC126" i="32"/>
  <c r="AB126" i="32"/>
  <c r="AA126" i="32"/>
  <c r="Z126" i="32"/>
  <c r="Y126" i="32"/>
  <c r="X126" i="32"/>
  <c r="W126" i="32"/>
  <c r="V126" i="32"/>
  <c r="U126" i="32"/>
  <c r="T126" i="32"/>
  <c r="S126" i="32"/>
  <c r="R126" i="32"/>
  <c r="Q126" i="32"/>
  <c r="P126" i="32"/>
  <c r="O126" i="32"/>
  <c r="N126" i="32"/>
  <c r="M126" i="32"/>
  <c r="L126" i="32"/>
  <c r="K126" i="32"/>
  <c r="J126" i="32"/>
  <c r="I126" i="32"/>
  <c r="H126" i="32"/>
  <c r="G126" i="32"/>
  <c r="F126" i="32"/>
  <c r="E126" i="32"/>
  <c r="D126" i="32"/>
  <c r="C126" i="32"/>
  <c r="BO124" i="32"/>
  <c r="BN124" i="32"/>
  <c r="BM124" i="32"/>
  <c r="BL124" i="32"/>
  <c r="BK124" i="32"/>
  <c r="BJ124" i="32"/>
  <c r="BI124" i="32"/>
  <c r="BH124" i="32"/>
  <c r="BG124" i="32"/>
  <c r="BF124" i="32"/>
  <c r="BE124" i="32"/>
  <c r="BD124" i="32"/>
  <c r="BC124" i="32"/>
  <c r="BB124" i="32"/>
  <c r="BA124" i="32"/>
  <c r="AZ124" i="32"/>
  <c r="AY124" i="32"/>
  <c r="AX124" i="32"/>
  <c r="AW124" i="32"/>
  <c r="AV124" i="32"/>
  <c r="AU124" i="32"/>
  <c r="AT124" i="32"/>
  <c r="AS124" i="32"/>
  <c r="AR124" i="32"/>
  <c r="AQ124" i="32"/>
  <c r="AP124" i="32"/>
  <c r="AO124" i="32"/>
  <c r="AN124" i="32"/>
  <c r="AM124" i="32"/>
  <c r="AL124" i="32"/>
  <c r="AK124" i="32"/>
  <c r="AJ124" i="32"/>
  <c r="AI124" i="32"/>
  <c r="AH124" i="32"/>
  <c r="AG124" i="32"/>
  <c r="AF124" i="32"/>
  <c r="AE124" i="32"/>
  <c r="AD124" i="32"/>
  <c r="AC124" i="32"/>
  <c r="AB124" i="32"/>
  <c r="AA124" i="32"/>
  <c r="Z124" i="32"/>
  <c r="Y124" i="32"/>
  <c r="X124" i="32"/>
  <c r="W124" i="32"/>
  <c r="V124" i="32"/>
  <c r="U124" i="32"/>
  <c r="T124" i="32"/>
  <c r="S124" i="32"/>
  <c r="R124" i="32"/>
  <c r="Q124" i="32"/>
  <c r="P124" i="32"/>
  <c r="O124" i="32"/>
  <c r="N124" i="32"/>
  <c r="M124" i="32"/>
  <c r="L124" i="32"/>
  <c r="K124" i="32"/>
  <c r="J124" i="32"/>
  <c r="I124" i="32"/>
  <c r="H124" i="32"/>
  <c r="G124" i="32"/>
  <c r="F124" i="32"/>
  <c r="E124" i="32"/>
  <c r="D124" i="32"/>
  <c r="C124" i="32"/>
  <c r="BO123" i="32"/>
  <c r="BN123" i="32"/>
  <c r="BM123" i="32"/>
  <c r="BL123" i="32"/>
  <c r="BK123" i="32"/>
  <c r="BJ123" i="32"/>
  <c r="BI123" i="32"/>
  <c r="BH123" i="32"/>
  <c r="BG123" i="32"/>
  <c r="BF123" i="32"/>
  <c r="BE123" i="32"/>
  <c r="BD123" i="32"/>
  <c r="BC123" i="32"/>
  <c r="BB123" i="32"/>
  <c r="BA123" i="32"/>
  <c r="AZ123" i="32"/>
  <c r="AY123" i="32"/>
  <c r="AX123" i="32"/>
  <c r="AW123" i="32"/>
  <c r="AV123" i="32"/>
  <c r="AU123" i="32"/>
  <c r="AT123" i="32"/>
  <c r="AS123" i="32"/>
  <c r="AR123" i="32"/>
  <c r="AQ123" i="32"/>
  <c r="AP123" i="32"/>
  <c r="AO123" i="32"/>
  <c r="AN123" i="32"/>
  <c r="AM123" i="32"/>
  <c r="AL123" i="32"/>
  <c r="AK123" i="32"/>
  <c r="AJ123" i="32"/>
  <c r="AI123" i="32"/>
  <c r="AH123" i="32"/>
  <c r="AG123" i="32"/>
  <c r="AF123" i="32"/>
  <c r="AE123" i="32"/>
  <c r="AD123" i="32"/>
  <c r="AC123" i="32"/>
  <c r="AB123" i="32"/>
  <c r="AA123" i="32"/>
  <c r="Z123" i="32"/>
  <c r="Y123" i="32"/>
  <c r="X123" i="32"/>
  <c r="W123" i="32"/>
  <c r="V123" i="32"/>
  <c r="U123" i="32"/>
  <c r="T123" i="32"/>
  <c r="S123" i="32"/>
  <c r="R123" i="32"/>
  <c r="Q123" i="32"/>
  <c r="P123" i="32"/>
  <c r="O123" i="32"/>
  <c r="N123" i="32"/>
  <c r="M123" i="32"/>
  <c r="L123" i="32"/>
  <c r="K123" i="32"/>
  <c r="J123" i="32"/>
  <c r="I123" i="32"/>
  <c r="H123" i="32"/>
  <c r="G123" i="32"/>
  <c r="F123" i="32"/>
  <c r="E123" i="32"/>
  <c r="D123" i="32"/>
  <c r="C123" i="32"/>
  <c r="BO122" i="32"/>
  <c r="BN122" i="32"/>
  <c r="BM122" i="32"/>
  <c r="BL122" i="32"/>
  <c r="BK122" i="32"/>
  <c r="BJ122" i="32"/>
  <c r="BI122" i="32"/>
  <c r="BH122" i="32"/>
  <c r="BG122" i="32"/>
  <c r="BF122" i="32"/>
  <c r="BE122" i="32"/>
  <c r="BD122" i="32"/>
  <c r="BC122" i="32"/>
  <c r="BB122" i="32"/>
  <c r="BA122" i="32"/>
  <c r="AZ122" i="32"/>
  <c r="AY122" i="32"/>
  <c r="AX122" i="32"/>
  <c r="AW122" i="32"/>
  <c r="AV122" i="32"/>
  <c r="AU122" i="32"/>
  <c r="AT122" i="32"/>
  <c r="AS122" i="32"/>
  <c r="AR122" i="32"/>
  <c r="AQ122" i="32"/>
  <c r="AP122" i="32"/>
  <c r="AO122" i="32"/>
  <c r="AN122" i="32"/>
  <c r="AM122" i="32"/>
  <c r="AL122" i="32"/>
  <c r="AK122" i="32"/>
  <c r="AJ122" i="32"/>
  <c r="AI122" i="32"/>
  <c r="AH122" i="32"/>
  <c r="AG122" i="32"/>
  <c r="AF122" i="32"/>
  <c r="AE122" i="32"/>
  <c r="AD122" i="32"/>
  <c r="AC122" i="32"/>
  <c r="AB122" i="32"/>
  <c r="AA122" i="32"/>
  <c r="Z122" i="32"/>
  <c r="Y122" i="32"/>
  <c r="X122" i="32"/>
  <c r="W122" i="32"/>
  <c r="V122" i="32"/>
  <c r="U122" i="32"/>
  <c r="T122" i="32"/>
  <c r="S122" i="32"/>
  <c r="R122" i="32"/>
  <c r="Q122" i="32"/>
  <c r="P122" i="32"/>
  <c r="O122" i="32"/>
  <c r="N122" i="32"/>
  <c r="M122" i="32"/>
  <c r="L122" i="32"/>
  <c r="K122" i="32"/>
  <c r="J122" i="32"/>
  <c r="I122" i="32"/>
  <c r="H122" i="32"/>
  <c r="G122" i="32"/>
  <c r="F122" i="32"/>
  <c r="E122" i="32"/>
  <c r="D122" i="32"/>
  <c r="C122" i="32"/>
  <c r="BO121" i="32"/>
  <c r="BN121" i="32"/>
  <c r="BM121" i="32"/>
  <c r="BL121" i="32"/>
  <c r="BK121" i="32"/>
  <c r="BJ121" i="32"/>
  <c r="BI121" i="32"/>
  <c r="BH121" i="32"/>
  <c r="BG121" i="32"/>
  <c r="BF121" i="32"/>
  <c r="BE121" i="32"/>
  <c r="BD121" i="32"/>
  <c r="BC121" i="32"/>
  <c r="BB121" i="32"/>
  <c r="BA121" i="32"/>
  <c r="AZ121" i="32"/>
  <c r="AY121" i="32"/>
  <c r="AX121" i="32"/>
  <c r="AW121" i="32"/>
  <c r="AV121" i="32"/>
  <c r="AU121" i="32"/>
  <c r="AT121" i="32"/>
  <c r="AS121" i="32"/>
  <c r="AR121" i="32"/>
  <c r="AQ121" i="32"/>
  <c r="AP121" i="32"/>
  <c r="AO121" i="32"/>
  <c r="AN121" i="32"/>
  <c r="AM121" i="32"/>
  <c r="AL121" i="32"/>
  <c r="AK121" i="32"/>
  <c r="AJ121" i="32"/>
  <c r="AI121" i="32"/>
  <c r="AH121" i="32"/>
  <c r="AG121" i="32"/>
  <c r="AF121" i="32"/>
  <c r="AE121" i="32"/>
  <c r="AD121" i="32"/>
  <c r="AC121" i="32"/>
  <c r="AB121" i="32"/>
  <c r="AA121" i="32"/>
  <c r="Z121" i="32"/>
  <c r="Y121" i="32"/>
  <c r="X121" i="32"/>
  <c r="W121" i="32"/>
  <c r="V121" i="32"/>
  <c r="U121" i="32"/>
  <c r="T121" i="32"/>
  <c r="S121" i="32"/>
  <c r="R121" i="32"/>
  <c r="Q121" i="32"/>
  <c r="P121" i="32"/>
  <c r="O121" i="32"/>
  <c r="N121" i="32"/>
  <c r="M121" i="32"/>
  <c r="L121" i="32"/>
  <c r="K121" i="32"/>
  <c r="J121" i="32"/>
  <c r="I121" i="32"/>
  <c r="H121" i="32"/>
  <c r="G121" i="32"/>
  <c r="F121" i="32"/>
  <c r="E121" i="32"/>
  <c r="D121" i="32"/>
  <c r="C121" i="32"/>
  <c r="BO120" i="32"/>
  <c r="BN120" i="32"/>
  <c r="BM120" i="32"/>
  <c r="BL120" i="32"/>
  <c r="BK120" i="32"/>
  <c r="BJ120" i="32"/>
  <c r="BI120" i="32"/>
  <c r="BH120" i="32"/>
  <c r="BG120" i="32"/>
  <c r="BF120" i="32"/>
  <c r="BE120" i="32"/>
  <c r="BD120" i="32"/>
  <c r="BC120" i="32"/>
  <c r="BB120" i="32"/>
  <c r="BA120" i="32"/>
  <c r="AZ120" i="32"/>
  <c r="AY120" i="32"/>
  <c r="AX120" i="32"/>
  <c r="AW120" i="32"/>
  <c r="AV120" i="32"/>
  <c r="AU120" i="32"/>
  <c r="AT120" i="32"/>
  <c r="AS120" i="32"/>
  <c r="AR120" i="32"/>
  <c r="AQ120" i="32"/>
  <c r="AP120" i="32"/>
  <c r="AO120" i="32"/>
  <c r="AN120" i="32"/>
  <c r="AM120" i="32"/>
  <c r="AL120" i="32"/>
  <c r="AK120" i="32"/>
  <c r="AJ120" i="32"/>
  <c r="AI120" i="32"/>
  <c r="AH120" i="32"/>
  <c r="AG120" i="32"/>
  <c r="AF120" i="32"/>
  <c r="AE120" i="32"/>
  <c r="AD120" i="32"/>
  <c r="AC120" i="32"/>
  <c r="AB120" i="32"/>
  <c r="AA120" i="32"/>
  <c r="Z120" i="32"/>
  <c r="Y120" i="32"/>
  <c r="X120" i="32"/>
  <c r="W120" i="32"/>
  <c r="V120" i="32"/>
  <c r="U120" i="32"/>
  <c r="T120" i="32"/>
  <c r="S120" i="32"/>
  <c r="R120" i="32"/>
  <c r="Q120" i="32"/>
  <c r="P120" i="32"/>
  <c r="O120" i="32"/>
  <c r="N120" i="32"/>
  <c r="M120" i="32"/>
  <c r="L120" i="32"/>
  <c r="K120" i="32"/>
  <c r="J120" i="32"/>
  <c r="I120" i="32"/>
  <c r="H120" i="32"/>
  <c r="G120" i="32"/>
  <c r="F120" i="32"/>
  <c r="E120" i="32"/>
  <c r="D120" i="32"/>
  <c r="C120" i="32"/>
  <c r="BO119" i="32"/>
  <c r="BN119" i="32"/>
  <c r="BM119" i="32"/>
  <c r="BL119" i="32"/>
  <c r="BK119" i="32"/>
  <c r="BJ119" i="32"/>
  <c r="BI119" i="32"/>
  <c r="BH119" i="32"/>
  <c r="BG119" i="32"/>
  <c r="BF119" i="32"/>
  <c r="BE119" i="32"/>
  <c r="BD119" i="32"/>
  <c r="BC119" i="32"/>
  <c r="BB119" i="32"/>
  <c r="BA119" i="32"/>
  <c r="AZ119" i="32"/>
  <c r="AY119" i="32"/>
  <c r="AX119" i="32"/>
  <c r="AW119" i="32"/>
  <c r="AV119" i="32"/>
  <c r="AU119" i="32"/>
  <c r="AT119" i="32"/>
  <c r="AS119" i="32"/>
  <c r="AR119" i="32"/>
  <c r="AQ119" i="32"/>
  <c r="AP119" i="32"/>
  <c r="AO119" i="32"/>
  <c r="AN119" i="32"/>
  <c r="AM119" i="32"/>
  <c r="AL119" i="32"/>
  <c r="AK119" i="32"/>
  <c r="AJ119" i="32"/>
  <c r="AI119" i="32"/>
  <c r="AH119" i="32"/>
  <c r="AG119" i="32"/>
  <c r="AF119" i="32"/>
  <c r="AE119" i="32"/>
  <c r="AD119" i="32"/>
  <c r="AC119" i="32"/>
  <c r="AB119" i="32"/>
  <c r="AA119" i="32"/>
  <c r="Z119" i="32"/>
  <c r="Y119" i="32"/>
  <c r="X119" i="32"/>
  <c r="W119" i="32"/>
  <c r="V119" i="32"/>
  <c r="U119" i="32"/>
  <c r="T119" i="32"/>
  <c r="S119" i="32"/>
  <c r="R119" i="32"/>
  <c r="Q119" i="32"/>
  <c r="P119" i="32"/>
  <c r="O119" i="32"/>
  <c r="N119" i="32"/>
  <c r="M119" i="32"/>
  <c r="L119" i="32"/>
  <c r="K119" i="32"/>
  <c r="J119" i="32"/>
  <c r="I119" i="32"/>
  <c r="H119" i="32"/>
  <c r="G119" i="32"/>
  <c r="F119" i="32"/>
  <c r="E119" i="32"/>
  <c r="D119" i="32"/>
  <c r="C119" i="32"/>
  <c r="BO118" i="32"/>
  <c r="BN118" i="32"/>
  <c r="BM118" i="32"/>
  <c r="BL118" i="32"/>
  <c r="BK118" i="32"/>
  <c r="BJ118" i="32"/>
  <c r="BI118" i="32"/>
  <c r="BH118" i="32"/>
  <c r="BG118" i="32"/>
  <c r="BF118" i="32"/>
  <c r="BE118" i="32"/>
  <c r="BD118" i="32"/>
  <c r="BC118" i="32"/>
  <c r="BB118" i="32"/>
  <c r="BA118" i="32"/>
  <c r="AZ118" i="32"/>
  <c r="AY118" i="32"/>
  <c r="AX118" i="32"/>
  <c r="AW118" i="32"/>
  <c r="AV118" i="32"/>
  <c r="AU118" i="32"/>
  <c r="AT118" i="32"/>
  <c r="AS118" i="32"/>
  <c r="AR118" i="32"/>
  <c r="AQ118" i="32"/>
  <c r="AP118" i="32"/>
  <c r="AO118" i="32"/>
  <c r="AN118" i="32"/>
  <c r="AM118" i="32"/>
  <c r="AL118" i="32"/>
  <c r="AK118" i="32"/>
  <c r="AJ118" i="32"/>
  <c r="AI118" i="32"/>
  <c r="AH118" i="32"/>
  <c r="AG118" i="32"/>
  <c r="AF118" i="32"/>
  <c r="AE118" i="32"/>
  <c r="AD118" i="32"/>
  <c r="AC118" i="32"/>
  <c r="AB118" i="32"/>
  <c r="AA118" i="32"/>
  <c r="Z118" i="32"/>
  <c r="Y118" i="32"/>
  <c r="X118" i="32"/>
  <c r="W118" i="32"/>
  <c r="V118" i="32"/>
  <c r="U118" i="32"/>
  <c r="T118" i="32"/>
  <c r="S118" i="32"/>
  <c r="R118" i="32"/>
  <c r="Q118" i="32"/>
  <c r="P118" i="32"/>
  <c r="O118" i="32"/>
  <c r="N118" i="32"/>
  <c r="M118" i="32"/>
  <c r="L118" i="32"/>
  <c r="K118" i="32"/>
  <c r="J118" i="32"/>
  <c r="I118" i="32"/>
  <c r="H118" i="32"/>
  <c r="G118" i="32"/>
  <c r="F118" i="32"/>
  <c r="E118" i="32"/>
  <c r="D118" i="32"/>
  <c r="C118" i="32"/>
  <c r="BO117" i="32"/>
  <c r="BN117" i="32"/>
  <c r="BM117" i="32"/>
  <c r="BL117" i="32"/>
  <c r="BK117" i="32"/>
  <c r="BJ117" i="32"/>
  <c r="BI117" i="32"/>
  <c r="BH117" i="32"/>
  <c r="BG117" i="32"/>
  <c r="BF117" i="32"/>
  <c r="BE117" i="32"/>
  <c r="BD117" i="32"/>
  <c r="BC117" i="32"/>
  <c r="BB117" i="32"/>
  <c r="BA117" i="32"/>
  <c r="AZ117" i="32"/>
  <c r="AY117" i="32"/>
  <c r="AX117" i="32"/>
  <c r="AW117" i="32"/>
  <c r="AV117" i="32"/>
  <c r="AU117" i="32"/>
  <c r="AT117" i="32"/>
  <c r="AS117" i="32"/>
  <c r="AR117" i="32"/>
  <c r="AQ117" i="32"/>
  <c r="AP117" i="32"/>
  <c r="AO117" i="32"/>
  <c r="AN117" i="32"/>
  <c r="AM117" i="32"/>
  <c r="AL117" i="32"/>
  <c r="AK117" i="32"/>
  <c r="AJ117" i="32"/>
  <c r="AI117" i="32"/>
  <c r="AH117" i="32"/>
  <c r="AG117" i="32"/>
  <c r="AF117" i="32"/>
  <c r="AE117" i="32"/>
  <c r="AD117" i="32"/>
  <c r="AC117" i="32"/>
  <c r="AB117" i="32"/>
  <c r="AA117" i="32"/>
  <c r="Z117" i="32"/>
  <c r="Y117" i="32"/>
  <c r="X117" i="32"/>
  <c r="W117" i="32"/>
  <c r="V117" i="32"/>
  <c r="U117" i="32"/>
  <c r="T117" i="32"/>
  <c r="S117" i="32"/>
  <c r="R117" i="32"/>
  <c r="Q117" i="32"/>
  <c r="P117" i="32"/>
  <c r="O117" i="32"/>
  <c r="N117" i="32"/>
  <c r="M117" i="32"/>
  <c r="L117" i="32"/>
  <c r="K117" i="32"/>
  <c r="J117" i="32"/>
  <c r="I117" i="32"/>
  <c r="H117" i="32"/>
  <c r="G117" i="32"/>
  <c r="F117" i="32"/>
  <c r="E117" i="32"/>
  <c r="D117" i="32"/>
  <c r="C117" i="32"/>
  <c r="BO115" i="32"/>
  <c r="BN115" i="32"/>
  <c r="BM115" i="32"/>
  <c r="BL115" i="32"/>
  <c r="BK115" i="32"/>
  <c r="BJ115" i="32"/>
  <c r="BI115" i="32"/>
  <c r="BH115" i="32"/>
  <c r="BG115" i="32"/>
  <c r="BF115" i="32"/>
  <c r="BE115" i="32"/>
  <c r="BD115" i="32"/>
  <c r="BC115" i="32"/>
  <c r="BB115" i="32"/>
  <c r="BA115" i="32"/>
  <c r="AZ115" i="32"/>
  <c r="AY115" i="32"/>
  <c r="AX115" i="32"/>
  <c r="AW115" i="32"/>
  <c r="AV115" i="32"/>
  <c r="AU115" i="32"/>
  <c r="AT115" i="32"/>
  <c r="AS115" i="32"/>
  <c r="AR115" i="32"/>
  <c r="AQ115" i="32"/>
  <c r="AP115" i="32"/>
  <c r="AO115" i="32"/>
  <c r="AN115" i="32"/>
  <c r="AM115" i="32"/>
  <c r="AL115" i="32"/>
  <c r="AK115" i="32"/>
  <c r="AJ115" i="32"/>
  <c r="AI115" i="32"/>
  <c r="AH115" i="32"/>
  <c r="AG115" i="32"/>
  <c r="AF115" i="32"/>
  <c r="AE115" i="32"/>
  <c r="AD115" i="32"/>
  <c r="AC115" i="32"/>
  <c r="AB115" i="32"/>
  <c r="AA115" i="32"/>
  <c r="Z115" i="32"/>
  <c r="Y115" i="32"/>
  <c r="X115" i="32"/>
  <c r="W115" i="32"/>
  <c r="V115" i="32"/>
  <c r="U115" i="32"/>
  <c r="T115" i="32"/>
  <c r="S115" i="32"/>
  <c r="R115" i="32"/>
  <c r="Q115" i="32"/>
  <c r="P115" i="32"/>
  <c r="O115" i="32"/>
  <c r="N115" i="32"/>
  <c r="M115" i="32"/>
  <c r="L115" i="32"/>
  <c r="K115" i="32"/>
  <c r="J115" i="32"/>
  <c r="I115" i="32"/>
  <c r="H115" i="32"/>
  <c r="G115" i="32"/>
  <c r="F115" i="32"/>
  <c r="E115" i="32"/>
  <c r="D115" i="32"/>
  <c r="C115" i="32"/>
  <c r="BO114" i="32"/>
  <c r="BN114" i="32"/>
  <c r="BM114" i="32"/>
  <c r="BL114" i="32"/>
  <c r="BK114" i="32"/>
  <c r="BJ114" i="32"/>
  <c r="BI114" i="32"/>
  <c r="BH114" i="32"/>
  <c r="BG114" i="32"/>
  <c r="BF114" i="32"/>
  <c r="BE114" i="32"/>
  <c r="BD114" i="32"/>
  <c r="BC114" i="32"/>
  <c r="BB114" i="32"/>
  <c r="BA114" i="32"/>
  <c r="AZ114" i="32"/>
  <c r="AY114" i="32"/>
  <c r="AX114" i="32"/>
  <c r="AW114" i="32"/>
  <c r="AV114" i="32"/>
  <c r="AU114" i="32"/>
  <c r="AT114" i="32"/>
  <c r="AS114" i="32"/>
  <c r="AR114" i="32"/>
  <c r="AQ114" i="32"/>
  <c r="AP114" i="32"/>
  <c r="AO114" i="32"/>
  <c r="AN114" i="32"/>
  <c r="AM114" i="32"/>
  <c r="AL114" i="32"/>
  <c r="AK114" i="32"/>
  <c r="AJ114" i="32"/>
  <c r="AI114" i="32"/>
  <c r="AH114" i="32"/>
  <c r="AG114" i="32"/>
  <c r="AF114" i="32"/>
  <c r="AE114" i="32"/>
  <c r="AD114" i="32"/>
  <c r="AC114" i="32"/>
  <c r="AB114" i="32"/>
  <c r="AA114" i="32"/>
  <c r="Z114" i="32"/>
  <c r="Y114" i="32"/>
  <c r="X114" i="32"/>
  <c r="W114" i="32"/>
  <c r="V114" i="32"/>
  <c r="U114" i="32"/>
  <c r="T114" i="32"/>
  <c r="S114" i="32"/>
  <c r="R114" i="32"/>
  <c r="Q114" i="32"/>
  <c r="P114" i="32"/>
  <c r="O114" i="32"/>
  <c r="N114" i="32"/>
  <c r="M114" i="32"/>
  <c r="L114" i="32"/>
  <c r="K114" i="32"/>
  <c r="J114" i="32"/>
  <c r="I114" i="32"/>
  <c r="H114" i="32"/>
  <c r="G114" i="32"/>
  <c r="F114" i="32"/>
  <c r="E114" i="32"/>
  <c r="D114" i="32"/>
  <c r="C114" i="32"/>
  <c r="BO113" i="32"/>
  <c r="BN113" i="32"/>
  <c r="BM113" i="32"/>
  <c r="BL113" i="32"/>
  <c r="BK113" i="32"/>
  <c r="BJ113" i="32"/>
  <c r="BI113" i="32"/>
  <c r="BH113" i="32"/>
  <c r="BG113" i="32"/>
  <c r="BF113" i="32"/>
  <c r="BE113" i="32"/>
  <c r="BD113" i="32"/>
  <c r="BC113" i="32"/>
  <c r="BB113" i="32"/>
  <c r="BA113" i="32"/>
  <c r="AZ113" i="32"/>
  <c r="AY113" i="32"/>
  <c r="AX113" i="32"/>
  <c r="AW113" i="32"/>
  <c r="AV113" i="32"/>
  <c r="AU113" i="32"/>
  <c r="AT113" i="32"/>
  <c r="AS113" i="32"/>
  <c r="AR113" i="32"/>
  <c r="AQ113" i="32"/>
  <c r="AP113" i="32"/>
  <c r="AO113" i="32"/>
  <c r="AN113" i="32"/>
  <c r="AM113" i="32"/>
  <c r="AL113" i="32"/>
  <c r="AK113" i="32"/>
  <c r="AJ113" i="32"/>
  <c r="AI113" i="32"/>
  <c r="AH113" i="32"/>
  <c r="AG113" i="32"/>
  <c r="AF113" i="32"/>
  <c r="AE113" i="32"/>
  <c r="AD113" i="32"/>
  <c r="AC113" i="32"/>
  <c r="AB113" i="32"/>
  <c r="AA113" i="32"/>
  <c r="Z113" i="32"/>
  <c r="Y113" i="32"/>
  <c r="X113" i="32"/>
  <c r="W113" i="32"/>
  <c r="V113" i="32"/>
  <c r="U113" i="32"/>
  <c r="T113" i="32"/>
  <c r="S113" i="32"/>
  <c r="R113" i="32"/>
  <c r="Q113" i="32"/>
  <c r="P113" i="32"/>
  <c r="O113" i="32"/>
  <c r="N113" i="32"/>
  <c r="M113" i="32"/>
  <c r="L113" i="32"/>
  <c r="K113" i="32"/>
  <c r="J113" i="32"/>
  <c r="I113" i="32"/>
  <c r="H113" i="32"/>
  <c r="G113" i="32"/>
  <c r="F113" i="32"/>
  <c r="E113" i="32"/>
  <c r="D113" i="32"/>
  <c r="C113" i="32"/>
  <c r="BO112" i="32"/>
  <c r="BN112" i="32"/>
  <c r="BM112" i="32"/>
  <c r="BL112" i="32"/>
  <c r="BK112" i="32"/>
  <c r="BJ112" i="32"/>
  <c r="BI112" i="32"/>
  <c r="BH112" i="32"/>
  <c r="BG112" i="32"/>
  <c r="BF112" i="32"/>
  <c r="BE112" i="32"/>
  <c r="BD112" i="32"/>
  <c r="BC112" i="32"/>
  <c r="BB112" i="32"/>
  <c r="BA112" i="32"/>
  <c r="AZ112" i="32"/>
  <c r="AY112" i="32"/>
  <c r="AX112" i="32"/>
  <c r="AW112" i="32"/>
  <c r="AV112" i="32"/>
  <c r="AU112" i="32"/>
  <c r="AT112" i="32"/>
  <c r="AS112" i="32"/>
  <c r="AR112" i="32"/>
  <c r="AQ112" i="32"/>
  <c r="AP112" i="32"/>
  <c r="AO112" i="32"/>
  <c r="AN112" i="32"/>
  <c r="AM112" i="32"/>
  <c r="AL112" i="32"/>
  <c r="AK112" i="32"/>
  <c r="AJ112" i="32"/>
  <c r="AI112" i="32"/>
  <c r="AH112" i="32"/>
  <c r="AG112" i="32"/>
  <c r="AF112" i="32"/>
  <c r="AE112" i="32"/>
  <c r="AD112" i="32"/>
  <c r="AC112" i="32"/>
  <c r="AB112" i="32"/>
  <c r="AA112" i="32"/>
  <c r="Z112" i="32"/>
  <c r="Y112" i="32"/>
  <c r="X112" i="32"/>
  <c r="W112" i="32"/>
  <c r="V112" i="32"/>
  <c r="U112" i="32"/>
  <c r="T112" i="32"/>
  <c r="S112" i="32"/>
  <c r="R112" i="32"/>
  <c r="Q112" i="32"/>
  <c r="P112" i="32"/>
  <c r="O112" i="32"/>
  <c r="N112" i="32"/>
  <c r="M112" i="32"/>
  <c r="L112" i="32"/>
  <c r="K112" i="32"/>
  <c r="J112" i="32"/>
  <c r="I112" i="32"/>
  <c r="H112" i="32"/>
  <c r="G112" i="32"/>
  <c r="F112" i="32"/>
  <c r="E112" i="32"/>
  <c r="D112" i="32"/>
  <c r="C112" i="32"/>
  <c r="BO111" i="32"/>
  <c r="BN111" i="32"/>
  <c r="BM111" i="32"/>
  <c r="BL111" i="32"/>
  <c r="BK111" i="32"/>
  <c r="BJ111" i="32"/>
  <c r="BI111" i="32"/>
  <c r="BH111" i="32"/>
  <c r="BG111" i="32"/>
  <c r="BF111" i="32"/>
  <c r="BE111" i="32"/>
  <c r="BD111" i="32"/>
  <c r="BC111" i="32"/>
  <c r="BB111" i="32"/>
  <c r="BA111" i="32"/>
  <c r="AZ111" i="32"/>
  <c r="AY111" i="32"/>
  <c r="AX111" i="32"/>
  <c r="AW111" i="32"/>
  <c r="AV111" i="32"/>
  <c r="AU111" i="32"/>
  <c r="AT111" i="32"/>
  <c r="AS111" i="32"/>
  <c r="AR111" i="32"/>
  <c r="AQ111" i="32"/>
  <c r="AP111" i="32"/>
  <c r="AO111" i="32"/>
  <c r="AN111" i="32"/>
  <c r="AM111" i="32"/>
  <c r="AL111" i="32"/>
  <c r="AK111" i="32"/>
  <c r="AJ111" i="32"/>
  <c r="AI111" i="32"/>
  <c r="AH111" i="32"/>
  <c r="AG111" i="32"/>
  <c r="AF111" i="32"/>
  <c r="AE111" i="32"/>
  <c r="AD111" i="32"/>
  <c r="AC111" i="32"/>
  <c r="AB111" i="32"/>
  <c r="AA111" i="32"/>
  <c r="Z111" i="32"/>
  <c r="Y111" i="32"/>
  <c r="X111" i="32"/>
  <c r="W111" i="32"/>
  <c r="V111" i="32"/>
  <c r="U111" i="32"/>
  <c r="T111" i="32"/>
  <c r="S111" i="32"/>
  <c r="R111" i="32"/>
  <c r="Q111" i="32"/>
  <c r="P111" i="32"/>
  <c r="O111" i="32"/>
  <c r="N111" i="32"/>
  <c r="M111" i="32"/>
  <c r="L111" i="32"/>
  <c r="K111" i="32"/>
  <c r="J111" i="32"/>
  <c r="I111" i="32"/>
  <c r="H111" i="32"/>
  <c r="G111" i="32"/>
  <c r="F111" i="32"/>
  <c r="E111" i="32"/>
  <c r="D111" i="32"/>
  <c r="C111" i="32"/>
  <c r="BO110" i="32"/>
  <c r="BN110" i="32"/>
  <c r="BM110" i="32"/>
  <c r="BL110" i="32"/>
  <c r="BK110" i="32"/>
  <c r="BJ110" i="32"/>
  <c r="BI110" i="32"/>
  <c r="BH110" i="32"/>
  <c r="BG110" i="32"/>
  <c r="BF110" i="32"/>
  <c r="BE110" i="32"/>
  <c r="BD110" i="32"/>
  <c r="BC110" i="32"/>
  <c r="BB110" i="32"/>
  <c r="BA110" i="32"/>
  <c r="AZ110" i="32"/>
  <c r="AY110" i="32"/>
  <c r="AX110" i="32"/>
  <c r="AW110" i="32"/>
  <c r="AV110" i="32"/>
  <c r="AU110" i="32"/>
  <c r="AT110" i="32"/>
  <c r="AS110" i="32"/>
  <c r="AR110" i="32"/>
  <c r="AQ110" i="32"/>
  <c r="AP110" i="32"/>
  <c r="AO110" i="32"/>
  <c r="AN110" i="32"/>
  <c r="AM110" i="32"/>
  <c r="AL110" i="32"/>
  <c r="AK110" i="32"/>
  <c r="AJ110" i="32"/>
  <c r="AI110" i="32"/>
  <c r="AH110" i="32"/>
  <c r="AG110" i="32"/>
  <c r="AF110" i="32"/>
  <c r="AE110" i="32"/>
  <c r="AD110" i="32"/>
  <c r="AC110" i="32"/>
  <c r="AB110" i="32"/>
  <c r="AA110" i="32"/>
  <c r="Z110" i="32"/>
  <c r="Y110" i="32"/>
  <c r="X110" i="32"/>
  <c r="W110" i="32"/>
  <c r="V110" i="32"/>
  <c r="U110" i="32"/>
  <c r="T110" i="32"/>
  <c r="S110" i="32"/>
  <c r="R110" i="32"/>
  <c r="Q110" i="32"/>
  <c r="P110" i="32"/>
  <c r="O110" i="32"/>
  <c r="N110" i="32"/>
  <c r="M110" i="32"/>
  <c r="L110" i="32"/>
  <c r="K110" i="32"/>
  <c r="J110" i="32"/>
  <c r="I110" i="32"/>
  <c r="H110" i="32"/>
  <c r="G110" i="32"/>
  <c r="F110" i="32"/>
  <c r="E110" i="32"/>
  <c r="D110" i="32"/>
  <c r="C110" i="32"/>
  <c r="BO109" i="32"/>
  <c r="BN109" i="32"/>
  <c r="BM109" i="32"/>
  <c r="BL109" i="32"/>
  <c r="BK109" i="32"/>
  <c r="BJ109" i="32"/>
  <c r="BI109" i="32"/>
  <c r="BH109" i="32"/>
  <c r="BG109" i="32"/>
  <c r="BF109" i="32"/>
  <c r="BE109" i="32"/>
  <c r="BD109" i="32"/>
  <c r="BC109" i="32"/>
  <c r="BB109" i="32"/>
  <c r="BA109" i="32"/>
  <c r="AZ109" i="32"/>
  <c r="AY109" i="32"/>
  <c r="AX109" i="32"/>
  <c r="AW109" i="32"/>
  <c r="AV109" i="32"/>
  <c r="AU109" i="32"/>
  <c r="AT109" i="32"/>
  <c r="AS109" i="32"/>
  <c r="AR109" i="32"/>
  <c r="AQ109" i="32"/>
  <c r="AP109" i="32"/>
  <c r="AO109" i="32"/>
  <c r="AN109" i="32"/>
  <c r="AM109" i="32"/>
  <c r="AL109" i="32"/>
  <c r="AK109" i="32"/>
  <c r="AJ109" i="32"/>
  <c r="AI109" i="32"/>
  <c r="AH109" i="32"/>
  <c r="AG109" i="32"/>
  <c r="AF109" i="32"/>
  <c r="AE109" i="32"/>
  <c r="AD109" i="32"/>
  <c r="AC109" i="32"/>
  <c r="AB109" i="32"/>
  <c r="AA109" i="32"/>
  <c r="Z109" i="32"/>
  <c r="Y109" i="32"/>
  <c r="X109" i="32"/>
  <c r="W109" i="32"/>
  <c r="V109" i="32"/>
  <c r="U109" i="32"/>
  <c r="T109" i="32"/>
  <c r="S109" i="32"/>
  <c r="R109" i="32"/>
  <c r="Q109" i="32"/>
  <c r="P109" i="32"/>
  <c r="O109" i="32"/>
  <c r="N109" i="32"/>
  <c r="M109" i="32"/>
  <c r="L109" i="32"/>
  <c r="K109" i="32"/>
  <c r="J109" i="32"/>
  <c r="I109" i="32"/>
  <c r="H109" i="32"/>
  <c r="G109" i="32"/>
  <c r="F109" i="32"/>
  <c r="E109" i="32"/>
  <c r="D109" i="32"/>
  <c r="C109" i="32"/>
  <c r="BO108" i="32"/>
  <c r="BN108" i="32"/>
  <c r="BM108" i="32"/>
  <c r="BL108" i="32"/>
  <c r="BK108" i="32"/>
  <c r="BJ108" i="32"/>
  <c r="BI108" i="32"/>
  <c r="BH108" i="32"/>
  <c r="BG108" i="32"/>
  <c r="BF108" i="32"/>
  <c r="BE108" i="32"/>
  <c r="BD108" i="32"/>
  <c r="BC108" i="32"/>
  <c r="BB108" i="32"/>
  <c r="BA108" i="32"/>
  <c r="AZ108" i="32"/>
  <c r="AY108" i="32"/>
  <c r="AX108" i="32"/>
  <c r="AW108" i="32"/>
  <c r="AV108" i="32"/>
  <c r="AU108" i="32"/>
  <c r="AT108" i="32"/>
  <c r="AS108" i="32"/>
  <c r="AR108" i="32"/>
  <c r="AQ108" i="32"/>
  <c r="AP108" i="32"/>
  <c r="AO108" i="32"/>
  <c r="AN108" i="32"/>
  <c r="AM108" i="32"/>
  <c r="AL108" i="32"/>
  <c r="AK108" i="32"/>
  <c r="AJ108" i="32"/>
  <c r="AI108" i="32"/>
  <c r="AH108" i="32"/>
  <c r="AG108" i="32"/>
  <c r="AF108" i="32"/>
  <c r="AE108" i="32"/>
  <c r="AD108" i="32"/>
  <c r="AC108" i="32"/>
  <c r="AB108" i="32"/>
  <c r="AA108" i="32"/>
  <c r="Z108" i="32"/>
  <c r="Y108" i="32"/>
  <c r="X108" i="32"/>
  <c r="W108" i="32"/>
  <c r="V108" i="32"/>
  <c r="U108" i="32"/>
  <c r="T108" i="32"/>
  <c r="S108" i="32"/>
  <c r="R108" i="32"/>
  <c r="Q108" i="32"/>
  <c r="P108" i="32"/>
  <c r="O108" i="32"/>
  <c r="N108" i="32"/>
  <c r="M108" i="32"/>
  <c r="L108" i="32"/>
  <c r="K108" i="32"/>
  <c r="J108" i="32"/>
  <c r="I108" i="32"/>
  <c r="H108" i="32"/>
  <c r="G108" i="32"/>
  <c r="F108" i="32"/>
  <c r="E108" i="32"/>
  <c r="D108" i="32"/>
  <c r="C108" i="32"/>
  <c r="BO107" i="32"/>
  <c r="BN107" i="32"/>
  <c r="BM107" i="32"/>
  <c r="BL107" i="32"/>
  <c r="BK107" i="32"/>
  <c r="BJ107" i="32"/>
  <c r="BI107" i="32"/>
  <c r="BH107" i="32"/>
  <c r="BG107" i="32"/>
  <c r="BF107" i="32"/>
  <c r="BE107" i="32"/>
  <c r="BD107" i="32"/>
  <c r="BC107" i="32"/>
  <c r="BB107" i="32"/>
  <c r="BA107" i="32"/>
  <c r="AZ107" i="32"/>
  <c r="AY107" i="32"/>
  <c r="AX107" i="32"/>
  <c r="AW107" i="32"/>
  <c r="AV107" i="32"/>
  <c r="AU107" i="32"/>
  <c r="AT107" i="32"/>
  <c r="AS107" i="32"/>
  <c r="AR107" i="32"/>
  <c r="AQ107" i="32"/>
  <c r="AP107" i="32"/>
  <c r="AO107" i="32"/>
  <c r="AN107" i="32"/>
  <c r="AM107" i="32"/>
  <c r="AL107" i="32"/>
  <c r="AK107" i="32"/>
  <c r="AJ107" i="32"/>
  <c r="AI107" i="32"/>
  <c r="AH107" i="32"/>
  <c r="AG107" i="32"/>
  <c r="AF107" i="32"/>
  <c r="AE107" i="32"/>
  <c r="AD107" i="32"/>
  <c r="AC107" i="32"/>
  <c r="AB107" i="32"/>
  <c r="AA107" i="32"/>
  <c r="Z107" i="32"/>
  <c r="Y107" i="32"/>
  <c r="X107" i="32"/>
  <c r="W107" i="32"/>
  <c r="V107" i="32"/>
  <c r="U107" i="32"/>
  <c r="T107" i="32"/>
  <c r="S107" i="32"/>
  <c r="R107" i="32"/>
  <c r="Q107" i="32"/>
  <c r="P107" i="32"/>
  <c r="O107" i="32"/>
  <c r="N107" i="32"/>
  <c r="M107" i="32"/>
  <c r="L107" i="32"/>
  <c r="K107" i="32"/>
  <c r="J107" i="32"/>
  <c r="I107" i="32"/>
  <c r="H107" i="32"/>
  <c r="G107" i="32"/>
  <c r="F107" i="32"/>
  <c r="E107" i="32"/>
  <c r="D107" i="32"/>
  <c r="C107" i="32"/>
  <c r="BO106" i="32"/>
  <c r="BN106" i="32"/>
  <c r="BM106" i="32"/>
  <c r="BL106" i="32"/>
  <c r="BK106" i="32"/>
  <c r="BJ106" i="32"/>
  <c r="BI106" i="32"/>
  <c r="BH106" i="32"/>
  <c r="BG106" i="32"/>
  <c r="BF106" i="32"/>
  <c r="BE106" i="32"/>
  <c r="BD106" i="32"/>
  <c r="BC106" i="32"/>
  <c r="BB106" i="32"/>
  <c r="BA106" i="32"/>
  <c r="AZ106" i="32"/>
  <c r="AY106" i="32"/>
  <c r="AX106" i="32"/>
  <c r="AW106" i="32"/>
  <c r="AV106" i="32"/>
  <c r="AU106" i="32"/>
  <c r="AT106" i="32"/>
  <c r="AS106" i="32"/>
  <c r="AR106" i="32"/>
  <c r="AQ106" i="32"/>
  <c r="AP106" i="32"/>
  <c r="AO106" i="32"/>
  <c r="AN106" i="32"/>
  <c r="AM106" i="32"/>
  <c r="AL106" i="32"/>
  <c r="AK106" i="32"/>
  <c r="AJ106" i="32"/>
  <c r="AI106" i="32"/>
  <c r="AH106" i="32"/>
  <c r="AG106" i="32"/>
  <c r="AF106" i="32"/>
  <c r="AE106" i="32"/>
  <c r="AD106" i="32"/>
  <c r="AC106" i="32"/>
  <c r="AB106" i="32"/>
  <c r="AA106" i="32"/>
  <c r="Z106" i="32"/>
  <c r="Y106" i="32"/>
  <c r="X106" i="32"/>
  <c r="W106" i="32"/>
  <c r="V106" i="32"/>
  <c r="U106" i="32"/>
  <c r="T106" i="32"/>
  <c r="S106" i="32"/>
  <c r="R106" i="32"/>
  <c r="Q106" i="32"/>
  <c r="P106" i="32"/>
  <c r="O106" i="32"/>
  <c r="N106" i="32"/>
  <c r="M106" i="32"/>
  <c r="L106" i="32"/>
  <c r="K106" i="32"/>
  <c r="J106" i="32"/>
  <c r="I106" i="32"/>
  <c r="H106" i="32"/>
  <c r="G106" i="32"/>
  <c r="F106" i="32"/>
  <c r="E106" i="32"/>
  <c r="D106" i="32"/>
  <c r="C106" i="32"/>
  <c r="BO105" i="32"/>
  <c r="BN105" i="32"/>
  <c r="BM105" i="32"/>
  <c r="BL105" i="32"/>
  <c r="BK105" i="32"/>
  <c r="BJ105" i="32"/>
  <c r="BI105" i="32"/>
  <c r="BH105" i="32"/>
  <c r="BG105" i="32"/>
  <c r="BF105" i="32"/>
  <c r="BE105" i="32"/>
  <c r="BD105" i="32"/>
  <c r="BC105" i="32"/>
  <c r="BB105" i="32"/>
  <c r="BA105" i="32"/>
  <c r="AZ105" i="32"/>
  <c r="AY105" i="32"/>
  <c r="AX105" i="32"/>
  <c r="AW105" i="32"/>
  <c r="AV105" i="32"/>
  <c r="AU105" i="32"/>
  <c r="AT105" i="32"/>
  <c r="AS105" i="32"/>
  <c r="AR105" i="32"/>
  <c r="AQ105" i="32"/>
  <c r="AP105" i="32"/>
  <c r="AO105" i="32"/>
  <c r="AN105" i="32"/>
  <c r="AM105" i="32"/>
  <c r="AL105" i="32"/>
  <c r="AK105" i="32"/>
  <c r="AJ105" i="32"/>
  <c r="AI105" i="32"/>
  <c r="AH105" i="32"/>
  <c r="AG105" i="32"/>
  <c r="AF105" i="32"/>
  <c r="AE105" i="32"/>
  <c r="AD105" i="32"/>
  <c r="AC105" i="32"/>
  <c r="AB105" i="32"/>
  <c r="AA105" i="32"/>
  <c r="Z105" i="32"/>
  <c r="Y105" i="32"/>
  <c r="X105" i="32"/>
  <c r="W105" i="32"/>
  <c r="V105" i="32"/>
  <c r="U105" i="32"/>
  <c r="T105" i="32"/>
  <c r="S105" i="32"/>
  <c r="R105" i="32"/>
  <c r="Q105" i="32"/>
  <c r="P105" i="32"/>
  <c r="O105" i="32"/>
  <c r="N105" i="32"/>
  <c r="M105" i="32"/>
  <c r="L105" i="32"/>
  <c r="K105" i="32"/>
  <c r="J105" i="32"/>
  <c r="I105" i="32"/>
  <c r="H105" i="32"/>
  <c r="G105" i="32"/>
  <c r="F105" i="32"/>
  <c r="E105" i="32"/>
  <c r="D105" i="32"/>
  <c r="C105" i="32"/>
  <c r="BO98" i="32"/>
  <c r="BO146" i="32" s="1"/>
  <c r="BN98" i="32"/>
  <c r="BM98" i="32"/>
  <c r="BL98" i="32"/>
  <c r="BK98" i="32"/>
  <c r="BJ98" i="32"/>
  <c r="BI98" i="32"/>
  <c r="BH98" i="32"/>
  <c r="BG98" i="32"/>
  <c r="BF98" i="32"/>
  <c r="BE98" i="32"/>
  <c r="BD98" i="32"/>
  <c r="BC98" i="32"/>
  <c r="BB98" i="32"/>
  <c r="BA98" i="32"/>
  <c r="AZ98" i="32"/>
  <c r="AY98" i="32"/>
  <c r="AX98" i="32"/>
  <c r="AW98" i="32"/>
  <c r="AV98" i="32"/>
  <c r="AU98" i="32"/>
  <c r="AT98" i="32"/>
  <c r="AS98" i="32"/>
  <c r="AR98" i="32"/>
  <c r="AQ98" i="32"/>
  <c r="AP98" i="32"/>
  <c r="AO98" i="32"/>
  <c r="AN98" i="32"/>
  <c r="AM98" i="32"/>
  <c r="AL98" i="32"/>
  <c r="AK98" i="32"/>
  <c r="AJ98" i="32"/>
  <c r="AI98" i="32"/>
  <c r="AH98" i="32"/>
  <c r="AG98" i="32"/>
  <c r="AF98" i="32"/>
  <c r="AE98" i="32"/>
  <c r="AD98" i="32"/>
  <c r="AC98" i="32"/>
  <c r="AB98" i="32"/>
  <c r="AA98" i="32"/>
  <c r="Z98" i="32"/>
  <c r="Y98" i="32"/>
  <c r="X98" i="32"/>
  <c r="W98" i="32"/>
  <c r="V98" i="32"/>
  <c r="V146" i="32" s="1"/>
  <c r="U98" i="32"/>
  <c r="U146" i="32" s="1"/>
  <c r="T98" i="32"/>
  <c r="S98" i="32"/>
  <c r="R98" i="32"/>
  <c r="Q98" i="32"/>
  <c r="P98" i="32"/>
  <c r="O98" i="32"/>
  <c r="N98" i="32"/>
  <c r="N146" i="32" s="1"/>
  <c r="M98" i="32"/>
  <c r="M146" i="32" s="1"/>
  <c r="L98" i="32"/>
  <c r="K98" i="32"/>
  <c r="J98" i="32"/>
  <c r="I98" i="32"/>
  <c r="H98" i="32"/>
  <c r="G98" i="32"/>
  <c r="F98" i="32"/>
  <c r="F146" i="32" s="1"/>
  <c r="E98" i="32"/>
  <c r="E146" i="32" s="1"/>
  <c r="D98" i="32"/>
  <c r="C98" i="32"/>
  <c r="BO86" i="32"/>
  <c r="BN86" i="32"/>
  <c r="BM86" i="32"/>
  <c r="BL86" i="32"/>
  <c r="BL134" i="32" s="1"/>
  <c r="BK86" i="32"/>
  <c r="BK134" i="32" s="1"/>
  <c r="BJ86" i="32"/>
  <c r="BJ134" i="32" s="1"/>
  <c r="BI86" i="32"/>
  <c r="BI134" i="32" s="1"/>
  <c r="BH86" i="32"/>
  <c r="BG86" i="32"/>
  <c r="BF86" i="32"/>
  <c r="BE86" i="32"/>
  <c r="BD86" i="32"/>
  <c r="BD134" i="32" s="1"/>
  <c r="BC86" i="32"/>
  <c r="BC134" i="32" s="1"/>
  <c r="BB86" i="32"/>
  <c r="BB134" i="32" s="1"/>
  <c r="BA86" i="32"/>
  <c r="BA134" i="32" s="1"/>
  <c r="AZ86" i="32"/>
  <c r="AY86" i="32"/>
  <c r="AX86" i="32"/>
  <c r="AW86" i="32"/>
  <c r="AV86" i="32"/>
  <c r="AV134" i="32" s="1"/>
  <c r="AU86" i="32"/>
  <c r="AU134" i="32" s="1"/>
  <c r="AT86" i="32"/>
  <c r="AT134" i="32" s="1"/>
  <c r="AS86" i="32"/>
  <c r="AS134" i="32" s="1"/>
  <c r="AR86" i="32"/>
  <c r="AQ86" i="32"/>
  <c r="AP86" i="32"/>
  <c r="AO86" i="32"/>
  <c r="AN86" i="32"/>
  <c r="AM86" i="32"/>
  <c r="AL86" i="32"/>
  <c r="AK86" i="32"/>
  <c r="AJ86" i="32"/>
  <c r="AI86" i="32"/>
  <c r="AH86" i="32"/>
  <c r="AG86" i="32"/>
  <c r="AF86" i="32"/>
  <c r="AF134" i="32" s="1"/>
  <c r="AE86" i="32"/>
  <c r="AE134" i="32" s="1"/>
  <c r="AD86" i="32"/>
  <c r="AC86" i="32"/>
  <c r="AB86" i="32"/>
  <c r="AA86" i="32"/>
  <c r="Z86" i="32"/>
  <c r="Y86" i="32"/>
  <c r="X86" i="32"/>
  <c r="X134" i="32" s="1"/>
  <c r="W86" i="32"/>
  <c r="W134" i="32" s="1"/>
  <c r="V86" i="32"/>
  <c r="V134" i="32" s="1"/>
  <c r="U86" i="32"/>
  <c r="U134" i="32" s="1"/>
  <c r="T86" i="32"/>
  <c r="S86" i="32"/>
  <c r="R86" i="32"/>
  <c r="Q86" i="32"/>
  <c r="P86" i="32"/>
  <c r="P134" i="32" s="1"/>
  <c r="O86" i="32"/>
  <c r="O134" i="32" s="1"/>
  <c r="N86" i="32"/>
  <c r="N134" i="32" s="1"/>
  <c r="M86" i="32"/>
  <c r="M134" i="32" s="1"/>
  <c r="L86" i="32"/>
  <c r="K86" i="32"/>
  <c r="J86" i="32"/>
  <c r="I86" i="32"/>
  <c r="H86" i="32"/>
  <c r="H134" i="32" s="1"/>
  <c r="G86" i="32"/>
  <c r="G134" i="32" s="1"/>
  <c r="F86" i="32"/>
  <c r="F134" i="32" s="1"/>
  <c r="E86" i="32"/>
  <c r="E134" i="32" s="1"/>
  <c r="D86" i="32"/>
  <c r="C86" i="32"/>
  <c r="BO77" i="32"/>
  <c r="BN77" i="32"/>
  <c r="BM77" i="32"/>
  <c r="BM125" i="32" s="1"/>
  <c r="BL77" i="32"/>
  <c r="BL125" i="32" s="1"/>
  <c r="BK77" i="32"/>
  <c r="BK125" i="32" s="1"/>
  <c r="BJ77" i="32"/>
  <c r="BJ125" i="32" s="1"/>
  <c r="BI77" i="32"/>
  <c r="BI125" i="32" s="1"/>
  <c r="BH77" i="32"/>
  <c r="BG77" i="32"/>
  <c r="BF77" i="32"/>
  <c r="BE77" i="32"/>
  <c r="BE125" i="32" s="1"/>
  <c r="BD77" i="32"/>
  <c r="BD125" i="32" s="1"/>
  <c r="BC77" i="32"/>
  <c r="BC125" i="32" s="1"/>
  <c r="BB77" i="32"/>
  <c r="BB125" i="32" s="1"/>
  <c r="BA77" i="32"/>
  <c r="BA125" i="32" s="1"/>
  <c r="AZ77" i="32"/>
  <c r="AY77" i="32"/>
  <c r="AX77" i="32"/>
  <c r="AW77" i="32"/>
  <c r="AW125" i="32" s="1"/>
  <c r="AV77" i="32"/>
  <c r="AV125" i="32" s="1"/>
  <c r="AU77" i="32"/>
  <c r="AU125" i="32" s="1"/>
  <c r="AT77" i="32"/>
  <c r="AT125" i="32" s="1"/>
  <c r="AS77" i="32"/>
  <c r="AS125" i="32" s="1"/>
  <c r="AR77" i="32"/>
  <c r="AQ77" i="32"/>
  <c r="AP77" i="32"/>
  <c r="AO77" i="32"/>
  <c r="AO125" i="32" s="1"/>
  <c r="AN77" i="32"/>
  <c r="AN125" i="32" s="1"/>
  <c r="AM77" i="32"/>
  <c r="AM125" i="32" s="1"/>
  <c r="AL77" i="32"/>
  <c r="AL125" i="32" s="1"/>
  <c r="AK77" i="32"/>
  <c r="AK125" i="32" s="1"/>
  <c r="AJ77" i="32"/>
  <c r="AI77" i="32"/>
  <c r="AH77" i="32"/>
  <c r="AG77" i="32"/>
  <c r="AG125" i="32" s="1"/>
  <c r="AF77" i="32"/>
  <c r="AF125" i="32" s="1"/>
  <c r="AE77" i="32"/>
  <c r="AE125" i="32" s="1"/>
  <c r="AD77" i="32"/>
  <c r="AD125" i="32" s="1"/>
  <c r="AC77" i="32"/>
  <c r="AC125" i="32" s="1"/>
  <c r="AB77" i="32"/>
  <c r="AA77" i="32"/>
  <c r="Z77" i="32"/>
  <c r="Y77" i="32"/>
  <c r="Y125" i="32" s="1"/>
  <c r="X77" i="32"/>
  <c r="X125" i="32" s="1"/>
  <c r="W77" i="32"/>
  <c r="W125" i="32" s="1"/>
  <c r="V77" i="32"/>
  <c r="V125" i="32" s="1"/>
  <c r="U77" i="32"/>
  <c r="U125" i="32" s="1"/>
  <c r="T77" i="32"/>
  <c r="S77" i="32"/>
  <c r="R77" i="32"/>
  <c r="Q77" i="32"/>
  <c r="Q125" i="32" s="1"/>
  <c r="P77" i="32"/>
  <c r="P125" i="32" s="1"/>
  <c r="O77" i="32"/>
  <c r="O125" i="32" s="1"/>
  <c r="N77" i="32"/>
  <c r="N125" i="32" s="1"/>
  <c r="M77" i="32"/>
  <c r="M125" i="32" s="1"/>
  <c r="L77" i="32"/>
  <c r="K77" i="32"/>
  <c r="J77" i="32"/>
  <c r="I77" i="32"/>
  <c r="I125" i="32" s="1"/>
  <c r="H77" i="32"/>
  <c r="H125" i="32" s="1"/>
  <c r="G77" i="32"/>
  <c r="G125" i="32" s="1"/>
  <c r="F77" i="32"/>
  <c r="F125" i="32" s="1"/>
  <c r="E77" i="32"/>
  <c r="E125" i="32" s="1"/>
  <c r="D77" i="32"/>
  <c r="C77" i="32"/>
  <c r="BO68" i="32"/>
  <c r="BN68" i="32"/>
  <c r="BN116" i="32" s="1"/>
  <c r="BM68" i="32"/>
  <c r="BL68" i="32"/>
  <c r="BL116" i="32" s="1"/>
  <c r="BK68" i="32"/>
  <c r="BJ68" i="32"/>
  <c r="BJ116" i="32" s="1"/>
  <c r="BI68" i="32"/>
  <c r="BH68" i="32"/>
  <c r="BG68" i="32"/>
  <c r="BF68" i="32"/>
  <c r="BE68" i="32"/>
  <c r="BD68" i="32"/>
  <c r="BD116" i="32" s="1"/>
  <c r="BC68" i="32"/>
  <c r="BB68" i="32"/>
  <c r="BB116" i="32" s="1"/>
  <c r="BA68" i="32"/>
  <c r="AZ68" i="32"/>
  <c r="AY68" i="32"/>
  <c r="AX68" i="32"/>
  <c r="AW68" i="32"/>
  <c r="AV68" i="32"/>
  <c r="AV116" i="32" s="1"/>
  <c r="AU68" i="32"/>
  <c r="AT68" i="32"/>
  <c r="AT116" i="32" s="1"/>
  <c r="AS68" i="32"/>
  <c r="AR68" i="32"/>
  <c r="AQ68" i="32"/>
  <c r="AP68" i="32"/>
  <c r="AO68" i="32"/>
  <c r="AN68" i="32"/>
  <c r="AN116" i="32" s="1"/>
  <c r="AM68" i="32"/>
  <c r="AL68" i="32"/>
  <c r="AL116" i="32" s="1"/>
  <c r="AK68" i="32"/>
  <c r="AJ68" i="32"/>
  <c r="AI68" i="32"/>
  <c r="AH68" i="32"/>
  <c r="AH116" i="32" s="1"/>
  <c r="AG68" i="32"/>
  <c r="AF68" i="32"/>
  <c r="AE68" i="32"/>
  <c r="AD68" i="32"/>
  <c r="AC68" i="32"/>
  <c r="AB68" i="32"/>
  <c r="AA68" i="32"/>
  <c r="Z68" i="32"/>
  <c r="Y68" i="32"/>
  <c r="X68" i="32"/>
  <c r="W68" i="32"/>
  <c r="V68" i="32"/>
  <c r="U68" i="32"/>
  <c r="T68" i="32"/>
  <c r="S68" i="32"/>
  <c r="R68" i="32"/>
  <c r="Q68" i="32"/>
  <c r="P68" i="32"/>
  <c r="O68" i="32"/>
  <c r="N68" i="32"/>
  <c r="M68" i="32"/>
  <c r="L68" i="32"/>
  <c r="K68" i="32"/>
  <c r="J68" i="32"/>
  <c r="I68" i="32"/>
  <c r="H68" i="32"/>
  <c r="G68" i="32"/>
  <c r="F68" i="32"/>
  <c r="E68" i="32"/>
  <c r="D68" i="32"/>
  <c r="C68" i="32"/>
  <c r="BO56" i="32"/>
  <c r="BN56" i="32"/>
  <c r="BM56" i="32"/>
  <c r="BL56" i="32"/>
  <c r="BK56" i="32"/>
  <c r="BJ56" i="32"/>
  <c r="BI56" i="32"/>
  <c r="BH56" i="32"/>
  <c r="BG56" i="32"/>
  <c r="BF56" i="32"/>
  <c r="BE56" i="32"/>
  <c r="BD56" i="32"/>
  <c r="BC56" i="32"/>
  <c r="BB56" i="32"/>
  <c r="BA56" i="32"/>
  <c r="AZ56" i="32"/>
  <c r="AY56" i="32"/>
  <c r="AX56" i="32"/>
  <c r="AW56" i="32"/>
  <c r="AV56" i="32"/>
  <c r="AU56" i="32"/>
  <c r="AT56" i="32"/>
  <c r="AS56" i="32"/>
  <c r="AR56" i="32"/>
  <c r="AQ56" i="32"/>
  <c r="AP56" i="32"/>
  <c r="AO56" i="32"/>
  <c r="AN56" i="32"/>
  <c r="AM56" i="32"/>
  <c r="AL56" i="32"/>
  <c r="AK56" i="32"/>
  <c r="AJ56" i="32"/>
  <c r="AI56" i="32"/>
  <c r="AH56" i="32"/>
  <c r="AG56" i="32"/>
  <c r="AF56" i="32"/>
  <c r="AE56" i="32"/>
  <c r="AD56" i="32"/>
  <c r="AC56" i="32"/>
  <c r="AB56" i="32"/>
  <c r="AA56" i="32"/>
  <c r="Z56" i="32"/>
  <c r="Y56" i="32"/>
  <c r="X56" i="32"/>
  <c r="W56" i="32"/>
  <c r="V56" i="32"/>
  <c r="U56" i="32"/>
  <c r="T56" i="32"/>
  <c r="S56" i="32"/>
  <c r="R56" i="32"/>
  <c r="Q56" i="32"/>
  <c r="P56" i="32"/>
  <c r="O56" i="32"/>
  <c r="N56" i="32"/>
  <c r="M56" i="32"/>
  <c r="L56" i="32"/>
  <c r="K56" i="32"/>
  <c r="J56" i="32"/>
  <c r="I56" i="32"/>
  <c r="H56" i="32"/>
  <c r="G56" i="32"/>
  <c r="F56" i="32"/>
  <c r="E56" i="32"/>
  <c r="D56" i="32"/>
  <c r="C56" i="32"/>
  <c r="BO50" i="32"/>
  <c r="BN50" i="32"/>
  <c r="BM50" i="32"/>
  <c r="BL50" i="32"/>
  <c r="BK50" i="32"/>
  <c r="BJ50" i="32"/>
  <c r="BI50" i="32"/>
  <c r="BH50" i="32"/>
  <c r="BG50" i="32"/>
  <c r="BF50" i="32"/>
  <c r="BE50" i="32"/>
  <c r="BD50" i="32"/>
  <c r="BC50" i="32"/>
  <c r="BB50" i="32"/>
  <c r="BA50" i="32"/>
  <c r="AZ50" i="32"/>
  <c r="AY50" i="32"/>
  <c r="AX50" i="32"/>
  <c r="AW50" i="32"/>
  <c r="AV50" i="32"/>
  <c r="AU50" i="32"/>
  <c r="AT50" i="32"/>
  <c r="AS50" i="32"/>
  <c r="AR50" i="32"/>
  <c r="AQ50" i="32"/>
  <c r="AP50" i="32"/>
  <c r="AO50" i="32"/>
  <c r="AN50" i="32"/>
  <c r="AM50" i="32"/>
  <c r="AL50" i="32"/>
  <c r="AK50" i="32"/>
  <c r="AJ50" i="32"/>
  <c r="AI50" i="32"/>
  <c r="AH50" i="32"/>
  <c r="AG50" i="32"/>
  <c r="AF50" i="32"/>
  <c r="AE50" i="32"/>
  <c r="AD50" i="32"/>
  <c r="AC50" i="32"/>
  <c r="AB50" i="32"/>
  <c r="AA50" i="32"/>
  <c r="Z50" i="32"/>
  <c r="Y50" i="32"/>
  <c r="X50" i="32"/>
  <c r="W50" i="32"/>
  <c r="V50" i="32"/>
  <c r="U50" i="32"/>
  <c r="T50" i="32"/>
  <c r="S50" i="32"/>
  <c r="R50" i="32"/>
  <c r="Q50" i="32"/>
  <c r="P50" i="32"/>
  <c r="O50" i="32"/>
  <c r="N50" i="32"/>
  <c r="M50" i="32"/>
  <c r="L50" i="32"/>
  <c r="K50" i="32"/>
  <c r="J50" i="32"/>
  <c r="I50" i="32"/>
  <c r="H50" i="32"/>
  <c r="G50" i="32"/>
  <c r="F50" i="32"/>
  <c r="E50" i="32"/>
  <c r="D50" i="32"/>
  <c r="C50" i="32"/>
  <c r="BO38" i="32"/>
  <c r="BN38" i="32"/>
  <c r="BM38" i="32"/>
  <c r="BL38" i="32"/>
  <c r="BK38" i="32"/>
  <c r="BJ38" i="32"/>
  <c r="BI38" i="32"/>
  <c r="BH38" i="32"/>
  <c r="BG38" i="32"/>
  <c r="BF38" i="32"/>
  <c r="BE38" i="32"/>
  <c r="BD38" i="32"/>
  <c r="BC38" i="32"/>
  <c r="BB38" i="32"/>
  <c r="BA38" i="32"/>
  <c r="AZ38" i="32"/>
  <c r="AY38" i="32"/>
  <c r="AX38" i="32"/>
  <c r="AW38" i="32"/>
  <c r="AV38" i="32"/>
  <c r="AU38" i="32"/>
  <c r="AT38" i="32"/>
  <c r="AS38" i="32"/>
  <c r="AR38" i="32"/>
  <c r="AQ38" i="32"/>
  <c r="AP38" i="32"/>
  <c r="AO38" i="32"/>
  <c r="AN38" i="32"/>
  <c r="AM38" i="32"/>
  <c r="AL38" i="32"/>
  <c r="AK38" i="32"/>
  <c r="AJ38" i="32"/>
  <c r="AI38" i="32"/>
  <c r="AH38" i="32"/>
  <c r="AG38" i="32"/>
  <c r="AF38" i="32"/>
  <c r="AE38" i="32"/>
  <c r="AD38" i="32"/>
  <c r="AC38" i="32"/>
  <c r="AB38" i="32"/>
  <c r="AA38" i="32"/>
  <c r="Z38" i="32"/>
  <c r="Y38" i="32"/>
  <c r="X38" i="32"/>
  <c r="W38" i="32"/>
  <c r="V38" i="32"/>
  <c r="U38" i="32"/>
  <c r="T38" i="32"/>
  <c r="S38" i="32"/>
  <c r="R38" i="32"/>
  <c r="Q38" i="32"/>
  <c r="P38" i="32"/>
  <c r="O38" i="32"/>
  <c r="N38" i="32"/>
  <c r="M38" i="32"/>
  <c r="L38" i="32"/>
  <c r="K38" i="32"/>
  <c r="J38" i="32"/>
  <c r="I38" i="32"/>
  <c r="H38" i="32"/>
  <c r="G38" i="32"/>
  <c r="F38" i="32"/>
  <c r="E38" i="32"/>
  <c r="D38" i="32"/>
  <c r="C38" i="32"/>
  <c r="BO29" i="32"/>
  <c r="BN29" i="32"/>
  <c r="BM29" i="32"/>
  <c r="BL29" i="32"/>
  <c r="BK29" i="32"/>
  <c r="BJ29" i="32"/>
  <c r="BI29" i="32"/>
  <c r="BH29" i="32"/>
  <c r="BG29" i="32"/>
  <c r="BF29" i="32"/>
  <c r="BE29" i="32"/>
  <c r="BD29" i="32"/>
  <c r="BC29" i="32"/>
  <c r="BB29" i="32"/>
  <c r="BA29" i="32"/>
  <c r="AZ29" i="32"/>
  <c r="AY29" i="32"/>
  <c r="AX29" i="32"/>
  <c r="AW29" i="32"/>
  <c r="AV29" i="32"/>
  <c r="AU29" i="32"/>
  <c r="AT29" i="32"/>
  <c r="AS29" i="32"/>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9" i="32"/>
  <c r="C29" i="32"/>
  <c r="BO20" i="32"/>
  <c r="BN20" i="32"/>
  <c r="BM20" i="32"/>
  <c r="BL20" i="32"/>
  <c r="BK20" i="32"/>
  <c r="BJ20" i="32"/>
  <c r="BI20" i="32"/>
  <c r="BH20" i="32"/>
  <c r="BG20" i="32"/>
  <c r="BF20" i="32"/>
  <c r="BE20" i="32"/>
  <c r="BD20" i="32"/>
  <c r="BC20" i="32"/>
  <c r="BB20" i="32"/>
  <c r="BA20" i="32"/>
  <c r="AZ20" i="32"/>
  <c r="AY20" i="32"/>
  <c r="AX20" i="32"/>
  <c r="AW20" i="32"/>
  <c r="AV20" i="32"/>
  <c r="AU20" i="32"/>
  <c r="AT20" i="32"/>
  <c r="AS20" i="32"/>
  <c r="AR20" i="32"/>
  <c r="AQ20" i="32"/>
  <c r="AP20" i="32"/>
  <c r="AO20" i="32"/>
  <c r="AN20" i="32"/>
  <c r="AM20" i="32"/>
  <c r="AL20" i="32"/>
  <c r="AK20" i="32"/>
  <c r="AJ20" i="32"/>
  <c r="AI20" i="32"/>
  <c r="AH20" i="32"/>
  <c r="AG20" i="32"/>
  <c r="AF20" i="32"/>
  <c r="AE20" i="32"/>
  <c r="AD20" i="32"/>
  <c r="AC20" i="32"/>
  <c r="AB20" i="32"/>
  <c r="AA20" i="32"/>
  <c r="Z20" i="32"/>
  <c r="Y20" i="32"/>
  <c r="X20" i="32"/>
  <c r="W20" i="32"/>
  <c r="V20" i="32"/>
  <c r="U20" i="32"/>
  <c r="T20" i="32"/>
  <c r="S20" i="32"/>
  <c r="R20" i="32"/>
  <c r="Q20" i="32"/>
  <c r="P20" i="32"/>
  <c r="O20" i="32"/>
  <c r="N20" i="32"/>
  <c r="M20" i="32"/>
  <c r="L20" i="32"/>
  <c r="K20" i="32"/>
  <c r="J20" i="32"/>
  <c r="I20" i="32"/>
  <c r="H20" i="32"/>
  <c r="G20" i="32"/>
  <c r="F20" i="32"/>
  <c r="E20" i="32"/>
  <c r="D20" i="32"/>
  <c r="C20" i="32"/>
  <c r="BO8" i="32"/>
  <c r="BN8" i="32"/>
  <c r="BM8" i="32"/>
  <c r="BL8" i="32"/>
  <c r="BK8" i="32"/>
  <c r="BJ8" i="32"/>
  <c r="BI8" i="32"/>
  <c r="BH8" i="32"/>
  <c r="BG8" i="32"/>
  <c r="BF8" i="32"/>
  <c r="BE8" i="32"/>
  <c r="BD8" i="32"/>
  <c r="BC8" i="32"/>
  <c r="BB8" i="32"/>
  <c r="BA8" i="32"/>
  <c r="AZ8" i="32"/>
  <c r="AY8" i="32"/>
  <c r="AX8" i="32"/>
  <c r="AW8" i="32"/>
  <c r="AV8" i="32"/>
  <c r="AU8" i="32"/>
  <c r="AT8" i="32"/>
  <c r="AS8" i="32"/>
  <c r="AR8" i="32"/>
  <c r="AQ8" i="32"/>
  <c r="AP8" i="32"/>
  <c r="AO8" i="32"/>
  <c r="AN8" i="32"/>
  <c r="AM8" i="32"/>
  <c r="AL8" i="32"/>
  <c r="AK8" i="32"/>
  <c r="AJ8" i="32"/>
  <c r="AI8" i="32"/>
  <c r="AH8" i="32"/>
  <c r="AG8" i="32"/>
  <c r="AF8" i="32"/>
  <c r="AE8" i="32"/>
  <c r="AD8" i="32"/>
  <c r="AC8" i="32"/>
  <c r="AB8" i="32"/>
  <c r="AA8" i="32"/>
  <c r="Z8" i="32"/>
  <c r="Y8" i="32"/>
  <c r="X8" i="32"/>
  <c r="W8" i="32"/>
  <c r="V8" i="32"/>
  <c r="U8" i="32"/>
  <c r="T8" i="32"/>
  <c r="S8" i="32"/>
  <c r="R8" i="32"/>
  <c r="Q8" i="32"/>
  <c r="P8" i="32"/>
  <c r="O8" i="32"/>
  <c r="N8" i="32"/>
  <c r="M8" i="32"/>
  <c r="L8" i="32"/>
  <c r="K8" i="32"/>
  <c r="J8" i="32"/>
  <c r="I8" i="32"/>
  <c r="H8" i="32"/>
  <c r="G8" i="32"/>
  <c r="F8" i="32"/>
  <c r="E8" i="32"/>
  <c r="D8" i="32"/>
  <c r="C8" i="32"/>
  <c r="AF116" i="32" l="1"/>
  <c r="AD116" i="32"/>
  <c r="X116" i="32"/>
  <c r="V116" i="32"/>
  <c r="P116" i="32"/>
  <c r="N116" i="32"/>
  <c r="J116" i="32"/>
  <c r="H116" i="32"/>
  <c r="F116" i="32"/>
  <c r="BN104" i="32"/>
  <c r="BM104" i="32"/>
  <c r="BK104" i="32"/>
  <c r="BF104" i="32"/>
  <c r="BE104" i="32"/>
  <c r="BC104" i="32"/>
  <c r="AX104" i="32"/>
  <c r="AW104" i="32"/>
  <c r="AU104" i="32"/>
  <c r="AP104" i="32"/>
  <c r="AO104" i="32"/>
  <c r="AN104" i="32"/>
  <c r="AM104" i="32"/>
  <c r="AH104" i="32"/>
  <c r="AG104" i="32"/>
  <c r="AE104" i="32"/>
  <c r="Z104" i="32"/>
  <c r="Y104" i="32"/>
  <c r="W104" i="32"/>
  <c r="R104" i="32"/>
  <c r="Q104" i="32"/>
  <c r="O104" i="32"/>
  <c r="J104" i="32"/>
  <c r="I104" i="32"/>
  <c r="G104" i="32"/>
  <c r="AX7" i="32"/>
  <c r="AX52" i="32" s="1"/>
  <c r="BN151" i="32"/>
  <c r="G7" i="32"/>
  <c r="G52" i="32" s="1"/>
  <c r="O7" i="32"/>
  <c r="O52" i="32" s="1"/>
  <c r="W7" i="32"/>
  <c r="W52" i="32" s="1"/>
  <c r="AE7" i="32"/>
  <c r="AM7" i="32"/>
  <c r="AU7" i="32"/>
  <c r="AU52" i="32" s="1"/>
  <c r="BC7" i="32"/>
  <c r="BC52" i="32" s="1"/>
  <c r="BK7" i="32"/>
  <c r="BK52" i="32" s="1"/>
  <c r="F151" i="32"/>
  <c r="F196" i="32" s="1"/>
  <c r="N151" i="32"/>
  <c r="N196" i="32" s="1"/>
  <c r="V151" i="32"/>
  <c r="V196" i="32" s="1"/>
  <c r="AL151" i="32"/>
  <c r="BB151" i="32"/>
  <c r="BB196" i="32" s="1"/>
  <c r="BJ151" i="32"/>
  <c r="BJ196" i="32" s="1"/>
  <c r="BF7" i="32"/>
  <c r="BN7" i="32"/>
  <c r="BN52" i="32" s="1"/>
  <c r="E7" i="32"/>
  <c r="E52" i="32" s="1"/>
  <c r="M7" i="32"/>
  <c r="M52" i="32" s="1"/>
  <c r="U7" i="32"/>
  <c r="U52" i="32" s="1"/>
  <c r="AC7" i="32"/>
  <c r="AK7" i="32"/>
  <c r="AK52" i="32" s="1"/>
  <c r="AS7" i="32"/>
  <c r="BA7" i="32"/>
  <c r="BI7" i="32"/>
  <c r="F7" i="32"/>
  <c r="F52" i="32" s="1"/>
  <c r="Z151" i="32"/>
  <c r="Z196" i="32" s="1"/>
  <c r="AH151" i="32"/>
  <c r="AH196" i="32" s="1"/>
  <c r="AP151" i="32"/>
  <c r="AX151" i="32"/>
  <c r="BF151" i="32"/>
  <c r="BF196" i="32" s="1"/>
  <c r="U151" i="32"/>
  <c r="BI151" i="32"/>
  <c r="BF52" i="32"/>
  <c r="D7" i="32"/>
  <c r="D52" i="32" s="1"/>
  <c r="L7" i="32"/>
  <c r="L52" i="32" s="1"/>
  <c r="T7" i="32"/>
  <c r="T52" i="32" s="1"/>
  <c r="AB7" i="32"/>
  <c r="AJ7" i="32"/>
  <c r="AJ52" i="32" s="1"/>
  <c r="AR7" i="32"/>
  <c r="AR52" i="32" s="1"/>
  <c r="AZ7" i="32"/>
  <c r="AZ52" i="32" s="1"/>
  <c r="BH7" i="32"/>
  <c r="BH52" i="32" s="1"/>
  <c r="W55" i="32"/>
  <c r="W100" i="32" s="1"/>
  <c r="I151" i="32"/>
  <c r="I196" i="32" s="1"/>
  <c r="Q151" i="32"/>
  <c r="Q196" i="32" s="1"/>
  <c r="Y151" i="32"/>
  <c r="AG151" i="32"/>
  <c r="AG196" i="32" s="1"/>
  <c r="AO151" i="32"/>
  <c r="AO196" i="32" s="1"/>
  <c r="AW151" i="32"/>
  <c r="AW196" i="32" s="1"/>
  <c r="BE151" i="32"/>
  <c r="BE196" i="32" s="1"/>
  <c r="BM151" i="32"/>
  <c r="BM196" i="32" s="1"/>
  <c r="C42" i="34"/>
  <c r="J151" i="32"/>
  <c r="J196" i="32" s="1"/>
  <c r="R151" i="32"/>
  <c r="BJ7" i="32"/>
  <c r="BJ52" i="32" s="1"/>
  <c r="G55" i="32"/>
  <c r="G100" i="32" s="1"/>
  <c r="O55" i="32"/>
  <c r="O100" i="32" s="1"/>
  <c r="AU55" i="32"/>
  <c r="AU100" i="32" s="1"/>
  <c r="BC55" i="32"/>
  <c r="BC100" i="32" s="1"/>
  <c r="BK55" i="32"/>
  <c r="BK100" i="32" s="1"/>
  <c r="I7" i="32"/>
  <c r="I52" i="32" s="1"/>
  <c r="BE7" i="32"/>
  <c r="BE52" i="32" s="1"/>
  <c r="C55" i="32"/>
  <c r="C100" i="32" s="1"/>
  <c r="K55" i="32"/>
  <c r="K100" i="32" s="1"/>
  <c r="S55" i="32"/>
  <c r="S100" i="32" s="1"/>
  <c r="AA55" i="32"/>
  <c r="AA100" i="32" s="1"/>
  <c r="AI55" i="32"/>
  <c r="AI100" i="32" s="1"/>
  <c r="AQ55" i="32"/>
  <c r="AQ100" i="32" s="1"/>
  <c r="AY55" i="32"/>
  <c r="AY100" i="32" s="1"/>
  <c r="BG55" i="32"/>
  <c r="BO55" i="32"/>
  <c r="BO100" i="32" s="1"/>
  <c r="AI7" i="32"/>
  <c r="AI52" i="32" s="1"/>
  <c r="AC55" i="32"/>
  <c r="AC100" i="32" s="1"/>
  <c r="BI55" i="32"/>
  <c r="BI100" i="32" s="1"/>
  <c r="H151" i="32"/>
  <c r="H196" i="32" s="1"/>
  <c r="I116" i="32"/>
  <c r="Q116" i="32"/>
  <c r="Y116" i="32"/>
  <c r="AG116" i="32"/>
  <c r="AO116" i="32"/>
  <c r="AW116" i="32"/>
  <c r="BE116" i="32"/>
  <c r="BM116" i="32"/>
  <c r="W116" i="32"/>
  <c r="AE116" i="32"/>
  <c r="AM116" i="32"/>
  <c r="J7" i="32"/>
  <c r="J52" i="32" s="1"/>
  <c r="R7" i="32"/>
  <c r="R52" i="32" s="1"/>
  <c r="Z7" i="32"/>
  <c r="Z52" i="32" s="1"/>
  <c r="AH7" i="32"/>
  <c r="AH52" i="32" s="1"/>
  <c r="AP7" i="32"/>
  <c r="AP52" i="32" s="1"/>
  <c r="H7" i="32"/>
  <c r="H52" i="32" s="1"/>
  <c r="P7" i="32"/>
  <c r="P52" i="32" s="1"/>
  <c r="X7" i="32"/>
  <c r="X52" i="32" s="1"/>
  <c r="AV7" i="32"/>
  <c r="AV52" i="32" s="1"/>
  <c r="BD7" i="32"/>
  <c r="BD52" i="32" s="1"/>
  <c r="C7" i="32"/>
  <c r="C52" i="32" s="1"/>
  <c r="K7" i="32"/>
  <c r="K52" i="32" s="1"/>
  <c r="S7" i="32"/>
  <c r="S52" i="32" s="1"/>
  <c r="AA7" i="32"/>
  <c r="AA52" i="32" s="1"/>
  <c r="AQ7" i="32"/>
  <c r="AQ52" i="32" s="1"/>
  <c r="AY7" i="32"/>
  <c r="AY52" i="32" s="1"/>
  <c r="BG7" i="32"/>
  <c r="BG52" i="32" s="1"/>
  <c r="BO7" i="32"/>
  <c r="BO52" i="32" s="1"/>
  <c r="AD151" i="32"/>
  <c r="AD196" i="32" s="1"/>
  <c r="AT151" i="32"/>
  <c r="AT196" i="32" s="1"/>
  <c r="C146" i="32"/>
  <c r="K146" i="32"/>
  <c r="S146" i="32"/>
  <c r="AM55" i="32"/>
  <c r="AM100" i="32" s="1"/>
  <c r="N7" i="32"/>
  <c r="N52" i="32" s="1"/>
  <c r="BN55" i="32"/>
  <c r="AF7" i="32"/>
  <c r="AF52" i="32" s="1"/>
  <c r="AN7" i="32"/>
  <c r="AN52" i="32" s="1"/>
  <c r="BL7" i="32"/>
  <c r="BL52" i="32" s="1"/>
  <c r="E104" i="32"/>
  <c r="BI104" i="32"/>
  <c r="R134" i="32"/>
  <c r="Z134" i="32"/>
  <c r="AP134" i="32"/>
  <c r="AX134" i="32"/>
  <c r="BF134" i="32"/>
  <c r="BN134" i="32"/>
  <c r="I146" i="32"/>
  <c r="Q146" i="32"/>
  <c r="U104" i="32"/>
  <c r="AK104" i="32"/>
  <c r="BA104" i="32"/>
  <c r="J134" i="32"/>
  <c r="C116" i="32"/>
  <c r="K116" i="32"/>
  <c r="S116" i="32"/>
  <c r="AA116" i="32"/>
  <c r="AI116" i="32"/>
  <c r="AQ116" i="32"/>
  <c r="AY116" i="32"/>
  <c r="BG116" i="32"/>
  <c r="BO116" i="32"/>
  <c r="J125" i="32"/>
  <c r="R125" i="32"/>
  <c r="Z125" i="32"/>
  <c r="AH125" i="32"/>
  <c r="AP125" i="32"/>
  <c r="AX125" i="32"/>
  <c r="BF125" i="32"/>
  <c r="BN125" i="32"/>
  <c r="I134" i="32"/>
  <c r="Q134" i="32"/>
  <c r="Y134" i="32"/>
  <c r="AO134" i="32"/>
  <c r="AW134" i="32"/>
  <c r="BE134" i="32"/>
  <c r="BM134" i="32"/>
  <c r="H146" i="32"/>
  <c r="P146" i="32"/>
  <c r="Q7" i="32"/>
  <c r="Q52" i="32" s="1"/>
  <c r="Y7" i="32"/>
  <c r="Y52" i="32" s="1"/>
  <c r="AG7" i="32"/>
  <c r="AG52" i="32" s="1"/>
  <c r="AO7" i="32"/>
  <c r="AO52" i="32" s="1"/>
  <c r="AW7" i="32"/>
  <c r="AW52" i="32" s="1"/>
  <c r="BM7" i="32"/>
  <c r="BM52" i="32" s="1"/>
  <c r="AE52" i="32"/>
  <c r="AM52" i="32"/>
  <c r="E55" i="32"/>
  <c r="E100" i="32" s="1"/>
  <c r="BG100" i="32"/>
  <c r="R116" i="32"/>
  <c r="R55" i="32"/>
  <c r="Z55" i="32"/>
  <c r="Z100" i="32" s="1"/>
  <c r="Z116" i="32"/>
  <c r="AP55" i="32"/>
  <c r="AP100" i="32" s="1"/>
  <c r="AP116" i="32"/>
  <c r="AX55" i="32"/>
  <c r="AX100" i="32" s="1"/>
  <c r="AX116" i="32"/>
  <c r="BF55" i="32"/>
  <c r="BF100" i="32" s="1"/>
  <c r="BF116" i="32"/>
  <c r="U196" i="32"/>
  <c r="U55" i="32"/>
  <c r="U100" i="32" s="1"/>
  <c r="AC104" i="32"/>
  <c r="R196" i="32"/>
  <c r="M104" i="32"/>
  <c r="M55" i="32"/>
  <c r="M100" i="32" s="1"/>
  <c r="AS104" i="32"/>
  <c r="AS55" i="32"/>
  <c r="AS100" i="32" s="1"/>
  <c r="AH134" i="32"/>
  <c r="BA52" i="32"/>
  <c r="Y196" i="32"/>
  <c r="P196" i="32"/>
  <c r="X196" i="32"/>
  <c r="BD196" i="32"/>
  <c r="AC52" i="32"/>
  <c r="AS52" i="32"/>
  <c r="BI52" i="32"/>
  <c r="AV196" i="32"/>
  <c r="AK55" i="32"/>
  <c r="AK100" i="32" s="1"/>
  <c r="BL196" i="32"/>
  <c r="AB52" i="32"/>
  <c r="H55" i="32"/>
  <c r="H100" i="32" s="1"/>
  <c r="H104" i="32"/>
  <c r="P55" i="32"/>
  <c r="P100" i="32" s="1"/>
  <c r="P104" i="32"/>
  <c r="BN196" i="32"/>
  <c r="AP196" i="32"/>
  <c r="AX196" i="32"/>
  <c r="BA55" i="32"/>
  <c r="BA100" i="32" s="1"/>
  <c r="F55" i="32"/>
  <c r="F100" i="32" s="1"/>
  <c r="N55" i="32"/>
  <c r="N100" i="32" s="1"/>
  <c r="V55" i="32"/>
  <c r="V100" i="32" s="1"/>
  <c r="AD55" i="32"/>
  <c r="AL55" i="32"/>
  <c r="AT55" i="32"/>
  <c r="AT100" i="32" s="1"/>
  <c r="BB55" i="32"/>
  <c r="BJ55" i="32"/>
  <c r="AD104" i="32"/>
  <c r="BJ104" i="32"/>
  <c r="O116" i="32"/>
  <c r="AU116" i="32"/>
  <c r="D116" i="32"/>
  <c r="L116" i="32"/>
  <c r="T116" i="32"/>
  <c r="AB116" i="32"/>
  <c r="AJ116" i="32"/>
  <c r="AR116" i="32"/>
  <c r="AZ116" i="32"/>
  <c r="BH116" i="32"/>
  <c r="C125" i="32"/>
  <c r="K125" i="32"/>
  <c r="S125" i="32"/>
  <c r="AA125" i="32"/>
  <c r="AI125" i="32"/>
  <c r="AQ125" i="32"/>
  <c r="AY125" i="32"/>
  <c r="BG125" i="32"/>
  <c r="BO125" i="32"/>
  <c r="BM146" i="32"/>
  <c r="E116" i="32"/>
  <c r="M116" i="32"/>
  <c r="U116" i="32"/>
  <c r="AC116" i="32"/>
  <c r="AK116" i="32"/>
  <c r="AS151" i="32"/>
  <c r="BA116" i="32"/>
  <c r="BI116" i="32"/>
  <c r="D125" i="32"/>
  <c r="L125" i="32"/>
  <c r="T125" i="32"/>
  <c r="AB125" i="32"/>
  <c r="AJ125" i="32"/>
  <c r="AR125" i="32"/>
  <c r="AZ125" i="32"/>
  <c r="BH125" i="32"/>
  <c r="C134" i="32"/>
  <c r="K134" i="32"/>
  <c r="S134" i="32"/>
  <c r="AA134" i="32"/>
  <c r="AI134" i="32"/>
  <c r="AQ134" i="32"/>
  <c r="AY134" i="32"/>
  <c r="BG134" i="32"/>
  <c r="BO134" i="32"/>
  <c r="J146" i="32"/>
  <c r="R146" i="32"/>
  <c r="BN146" i="32"/>
  <c r="X55" i="32"/>
  <c r="X100" i="32" s="1"/>
  <c r="AF55" i="32"/>
  <c r="AF100" i="32" s="1"/>
  <c r="AN55" i="32"/>
  <c r="AN103" i="32" s="1"/>
  <c r="AV55" i="32"/>
  <c r="AV100" i="32" s="1"/>
  <c r="BD55" i="32"/>
  <c r="BL55" i="32"/>
  <c r="V104" i="32"/>
  <c r="AF104" i="32"/>
  <c r="BB104" i="32"/>
  <c r="BL104" i="32"/>
  <c r="G116" i="32"/>
  <c r="G151" i="32"/>
  <c r="O151" i="32"/>
  <c r="W151" i="32"/>
  <c r="AE151" i="32"/>
  <c r="AE196" i="32" s="1"/>
  <c r="AM151" i="32"/>
  <c r="AU151" i="32"/>
  <c r="BC151" i="32"/>
  <c r="BK151" i="32"/>
  <c r="D134" i="32"/>
  <c r="L134" i="32"/>
  <c r="T134" i="32"/>
  <c r="AB134" i="32"/>
  <c r="AJ134" i="32"/>
  <c r="AR134" i="32"/>
  <c r="AZ134" i="32"/>
  <c r="BH134" i="32"/>
  <c r="D146" i="32"/>
  <c r="L146" i="32"/>
  <c r="T146" i="32"/>
  <c r="N104" i="32"/>
  <c r="X104" i="32"/>
  <c r="AT104" i="32"/>
  <c r="BD104" i="32"/>
  <c r="BK116" i="32"/>
  <c r="AL196" i="32"/>
  <c r="D55" i="32"/>
  <c r="D100" i="32" s="1"/>
  <c r="L55" i="32"/>
  <c r="L100" i="32" s="1"/>
  <c r="T55" i="32"/>
  <c r="T100" i="32" s="1"/>
  <c r="AB55" i="32"/>
  <c r="AB100" i="32" s="1"/>
  <c r="AJ55" i="32"/>
  <c r="AJ100" i="32" s="1"/>
  <c r="AR55" i="32"/>
  <c r="AR100" i="32" s="1"/>
  <c r="AZ55" i="32"/>
  <c r="AZ100" i="32" s="1"/>
  <c r="BH55" i="32"/>
  <c r="BH100" i="32" s="1"/>
  <c r="AG134" i="32"/>
  <c r="F104" i="32"/>
  <c r="AL104" i="32"/>
  <c r="AV104" i="32"/>
  <c r="BC116" i="32"/>
  <c r="C151" i="32"/>
  <c r="K151" i="32"/>
  <c r="S151" i="32"/>
  <c r="AA151" i="32"/>
  <c r="AI151" i="32"/>
  <c r="AQ151" i="32"/>
  <c r="AY151" i="32"/>
  <c r="BG151" i="32"/>
  <c r="BO151" i="32"/>
  <c r="AF196" i="32"/>
  <c r="AN196" i="32"/>
  <c r="G146" i="32"/>
  <c r="O146" i="32"/>
  <c r="AL134" i="32"/>
  <c r="AC134" i="32"/>
  <c r="AM134" i="32"/>
  <c r="AD134" i="32"/>
  <c r="AK134" i="32"/>
  <c r="AN134" i="32"/>
  <c r="AK151" i="32"/>
  <c r="M151" i="32"/>
  <c r="BA151" i="32"/>
  <c r="AC151" i="32"/>
  <c r="E151" i="32"/>
  <c r="AS116" i="32"/>
  <c r="D151" i="32"/>
  <c r="L151" i="32"/>
  <c r="T151" i="32"/>
  <c r="AB151" i="32"/>
  <c r="AJ151" i="32"/>
  <c r="AR151" i="32"/>
  <c r="AZ151" i="32"/>
  <c r="BH151" i="32"/>
  <c r="C104" i="32"/>
  <c r="K104" i="32"/>
  <c r="S104" i="32"/>
  <c r="AA104" i="32"/>
  <c r="AI104" i="32"/>
  <c r="AQ104" i="32"/>
  <c r="AY104" i="32"/>
  <c r="BG104" i="32"/>
  <c r="BO104" i="32"/>
  <c r="D104" i="32"/>
  <c r="L104" i="32"/>
  <c r="T104" i="32"/>
  <c r="AB104" i="32"/>
  <c r="AJ104" i="32"/>
  <c r="AR104" i="32"/>
  <c r="AZ104" i="32"/>
  <c r="BH104" i="32"/>
  <c r="AE55" i="32"/>
  <c r="AE100" i="32" s="1"/>
  <c r="AH55" i="32"/>
  <c r="J55" i="32"/>
  <c r="J100" i="32" s="1"/>
  <c r="I55" i="32"/>
  <c r="I100" i="32" s="1"/>
  <c r="Q55" i="32"/>
  <c r="Q100" i="32" s="1"/>
  <c r="Y55" i="32"/>
  <c r="Y100" i="32" s="1"/>
  <c r="AG55" i="32"/>
  <c r="AO55" i="32"/>
  <c r="AO100" i="32" s="1"/>
  <c r="AW55" i="32"/>
  <c r="BE55" i="32"/>
  <c r="BE100" i="32" s="1"/>
  <c r="BM55" i="32"/>
  <c r="BM100" i="32" s="1"/>
  <c r="V7" i="32"/>
  <c r="V52" i="32" s="1"/>
  <c r="AD7" i="32"/>
  <c r="AD52" i="32" s="1"/>
  <c r="AL7" i="32"/>
  <c r="AL52" i="32" s="1"/>
  <c r="AT7" i="32"/>
  <c r="AT52" i="32" s="1"/>
  <c r="BB7" i="32"/>
  <c r="BB52" i="32" s="1"/>
  <c r="BN103" i="32" l="1"/>
  <c r="AL103" i="32"/>
  <c r="AG103" i="32"/>
  <c r="BI103" i="32"/>
  <c r="BI196" i="32"/>
  <c r="AK103" i="32"/>
  <c r="AC103" i="32"/>
  <c r="AG100" i="32"/>
  <c r="AH103" i="32"/>
  <c r="AM103" i="32"/>
  <c r="BF103" i="32"/>
  <c r="V103" i="32"/>
  <c r="H103" i="32"/>
  <c r="AN100" i="32"/>
  <c r="C43" i="34"/>
  <c r="AM196" i="32"/>
  <c r="BN100" i="32"/>
  <c r="BN148" i="32" s="1"/>
  <c r="AD103" i="32"/>
  <c r="BM148" i="32"/>
  <c r="P103" i="32"/>
  <c r="AL100" i="32"/>
  <c r="AD100" i="32"/>
  <c r="AP103" i="32"/>
  <c r="AS103" i="32"/>
  <c r="AS196" i="32"/>
  <c r="BJ100" i="32"/>
  <c r="BJ103" i="32"/>
  <c r="AF103" i="32"/>
  <c r="AK196" i="32"/>
  <c r="AE103" i="32"/>
  <c r="BB103" i="32"/>
  <c r="BB100" i="32"/>
  <c r="AO103" i="32"/>
  <c r="AT103" i="32"/>
  <c r="N103" i="32"/>
  <c r="R100" i="32"/>
  <c r="R103" i="32"/>
  <c r="AB103" i="32"/>
  <c r="AB196" i="32"/>
  <c r="M103" i="32"/>
  <c r="M196" i="32"/>
  <c r="AI103" i="32"/>
  <c r="AI196" i="32"/>
  <c r="T103" i="32"/>
  <c r="T196" i="32"/>
  <c r="AA103" i="32"/>
  <c r="AA196" i="32"/>
  <c r="AW103" i="32"/>
  <c r="AW100" i="32"/>
  <c r="L103" i="32"/>
  <c r="L196" i="32"/>
  <c r="S103" i="32"/>
  <c r="S196" i="32"/>
  <c r="D103" i="32"/>
  <c r="D196" i="32"/>
  <c r="K103" i="32"/>
  <c r="K196" i="32"/>
  <c r="BH103" i="32"/>
  <c r="BH196" i="32"/>
  <c r="BO103" i="32"/>
  <c r="BO196" i="32"/>
  <c r="BO148" i="32" s="1"/>
  <c r="C103" i="32"/>
  <c r="C196" i="32"/>
  <c r="AZ103" i="32"/>
  <c r="AZ196" i="32"/>
  <c r="E103" i="32"/>
  <c r="E196" i="32"/>
  <c r="BG103" i="32"/>
  <c r="BG196" i="32"/>
  <c r="AR103" i="32"/>
  <c r="AR196" i="32"/>
  <c r="AY103" i="32"/>
  <c r="AY196" i="32"/>
  <c r="AJ103" i="32"/>
  <c r="AJ196" i="32"/>
  <c r="BA103" i="32"/>
  <c r="BA196" i="32"/>
  <c r="AQ103" i="32"/>
  <c r="AQ196" i="32"/>
  <c r="AC196" i="32"/>
  <c r="W103" i="32"/>
  <c r="W196" i="32"/>
  <c r="AX103" i="32"/>
  <c r="AV103" i="32"/>
  <c r="X103" i="32"/>
  <c r="O103" i="32"/>
  <c r="O196" i="32"/>
  <c r="BM103" i="32"/>
  <c r="F103" i="32"/>
  <c r="G103" i="32"/>
  <c r="G196" i="32"/>
  <c r="BL103" i="32"/>
  <c r="BL100" i="32"/>
  <c r="AH100" i="32"/>
  <c r="U103" i="32"/>
  <c r="BK103" i="32"/>
  <c r="BK196" i="32"/>
  <c r="BD103" i="32"/>
  <c r="BD100" i="32"/>
  <c r="BE103" i="32"/>
  <c r="BC103" i="32"/>
  <c r="BC196" i="32"/>
  <c r="I103" i="32"/>
  <c r="Z103" i="32"/>
  <c r="Y103" i="32"/>
  <c r="J103" i="32"/>
  <c r="AU103" i="32"/>
  <c r="AU196" i="32"/>
  <c r="Q103" i="32"/>
  <c r="BO54" i="21" l="1"/>
  <c r="BO49" i="21"/>
  <c r="B51" i="16" l="1"/>
  <c r="B50" i="16" l="1"/>
  <c r="B49" i="16"/>
  <c r="B48" i="16"/>
  <c r="B47" i="16"/>
  <c r="B46" i="16"/>
  <c r="B45" i="16"/>
  <c r="B44" i="16"/>
  <c r="B15" i="13"/>
  <c r="B21" i="13"/>
  <c r="AU18" i="13" l="1"/>
  <c r="Z43" i="35" l="1"/>
  <c r="Y43" i="35"/>
  <c r="X43" i="35"/>
  <c r="W43" i="35"/>
  <c r="V43" i="35"/>
  <c r="U43" i="35"/>
  <c r="T43" i="35"/>
  <c r="S43" i="35"/>
  <c r="R43" i="35"/>
  <c r="Q43" i="35"/>
  <c r="P43" i="35"/>
  <c r="O43" i="35"/>
  <c r="N43" i="35"/>
  <c r="M43" i="35"/>
  <c r="L43" i="35"/>
  <c r="K43" i="35"/>
  <c r="J43" i="35"/>
  <c r="I43" i="35"/>
  <c r="H43" i="35"/>
  <c r="G43" i="35"/>
  <c r="AY54" i="21" l="1"/>
  <c r="BM150" i="32" l="1"/>
  <c r="BL150" i="32"/>
  <c r="BK150" i="32"/>
  <c r="BJ150" i="32"/>
  <c r="BI150" i="32"/>
  <c r="BH150" i="32"/>
  <c r="BG150" i="32"/>
  <c r="BF150" i="32"/>
  <c r="BE150" i="32"/>
  <c r="BD150" i="32"/>
  <c r="BC150" i="32"/>
  <c r="BB150" i="32"/>
  <c r="BA150" i="32"/>
  <c r="AZ150" i="32"/>
  <c r="AY150" i="32"/>
  <c r="AX150" i="32"/>
  <c r="AW150" i="32"/>
  <c r="AV150" i="32"/>
  <c r="AU150" i="32"/>
  <c r="AT150" i="32"/>
  <c r="AS150" i="32"/>
  <c r="AR150" i="32"/>
  <c r="AQ150" i="32"/>
  <c r="AP150" i="32"/>
  <c r="AO150" i="32"/>
  <c r="AN150" i="32"/>
  <c r="AM150" i="32"/>
  <c r="AL150" i="32"/>
  <c r="AK150" i="32"/>
  <c r="AJ150" i="32"/>
  <c r="AI150" i="32"/>
  <c r="AH150" i="32"/>
  <c r="AG150" i="32"/>
  <c r="AF150" i="32"/>
  <c r="AE150" i="32"/>
  <c r="AD150" i="32"/>
  <c r="AC150" i="32"/>
  <c r="AB150" i="32"/>
  <c r="AA150" i="32"/>
  <c r="Z150" i="32"/>
  <c r="Y150" i="32"/>
  <c r="X150" i="32"/>
  <c r="W150" i="32"/>
  <c r="V150" i="32"/>
  <c r="U150" i="32"/>
  <c r="T150" i="32"/>
  <c r="S150" i="32"/>
  <c r="R150" i="32"/>
  <c r="Q150" i="32"/>
  <c r="P150" i="32"/>
  <c r="O150" i="32"/>
  <c r="N150" i="32"/>
  <c r="M150" i="32"/>
  <c r="L150" i="32"/>
  <c r="K150" i="32"/>
  <c r="J150" i="32"/>
  <c r="I150" i="32"/>
  <c r="H150" i="32"/>
  <c r="G150" i="32"/>
  <c r="F150" i="32"/>
  <c r="E150" i="32"/>
  <c r="D150" i="32"/>
  <c r="C150" i="32"/>
  <c r="BM54" i="21" l="1"/>
  <c r="BL54" i="21"/>
  <c r="BK54" i="21"/>
  <c r="BJ54" i="21"/>
  <c r="BI54" i="21"/>
  <c r="BH54" i="21"/>
  <c r="BG54" i="21"/>
  <c r="BF54" i="21"/>
  <c r="BE54" i="21"/>
  <c r="BD54" i="21"/>
  <c r="BC54" i="21"/>
  <c r="BB54" i="21"/>
  <c r="BA54" i="21"/>
  <c r="AZ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BM102" i="32"/>
  <c r="BL102" i="32"/>
  <c r="BK102" i="32"/>
  <c r="BJ102" i="32"/>
  <c r="BI102" i="32"/>
  <c r="BH102" i="32"/>
  <c r="BG102" i="32"/>
  <c r="BF102" i="32"/>
  <c r="BE102" i="32"/>
  <c r="BD102" i="32"/>
  <c r="BC102" i="32"/>
  <c r="BB102" i="32"/>
  <c r="BA102" i="32"/>
  <c r="AZ102" i="32"/>
  <c r="AY102" i="32"/>
  <c r="AX102" i="32"/>
  <c r="AW102" i="32"/>
  <c r="AV102" i="32"/>
  <c r="AU102" i="32"/>
  <c r="AT102" i="32"/>
  <c r="AS102" i="32"/>
  <c r="AR102" i="32"/>
  <c r="AQ102" i="32"/>
  <c r="AP102" i="32"/>
  <c r="AO102" i="32"/>
  <c r="AN102" i="32"/>
  <c r="AM102" i="32"/>
  <c r="AL102" i="32"/>
  <c r="AK102" i="32"/>
  <c r="AJ102" i="32"/>
  <c r="AI102" i="32"/>
  <c r="AH102" i="32"/>
  <c r="AG102" i="32"/>
  <c r="AF102" i="32"/>
  <c r="AE102" i="32"/>
  <c r="AD102" i="32"/>
  <c r="AC102" i="32"/>
  <c r="AB102" i="32"/>
  <c r="AA102" i="32"/>
  <c r="Z102" i="32"/>
  <c r="Y102" i="32"/>
  <c r="X102" i="32"/>
  <c r="W102" i="32"/>
  <c r="V102" i="32"/>
  <c r="U102" i="32"/>
  <c r="T102" i="32"/>
  <c r="S102" i="32"/>
  <c r="R102" i="32"/>
  <c r="Q102" i="32"/>
  <c r="P102" i="32"/>
  <c r="O102" i="32"/>
  <c r="N102" i="32"/>
  <c r="M102" i="32"/>
  <c r="L102" i="32"/>
  <c r="K102" i="32"/>
  <c r="J102" i="32"/>
  <c r="I102" i="32"/>
  <c r="H102" i="32"/>
  <c r="G102" i="32"/>
  <c r="F102" i="32"/>
  <c r="E102" i="32"/>
  <c r="D102" i="32"/>
  <c r="C102" i="32"/>
  <c r="BM54" i="32"/>
  <c r="BL54" i="32"/>
  <c r="BK54" i="32"/>
  <c r="BJ54" i="32"/>
  <c r="BI54" i="32"/>
  <c r="BH54" i="32"/>
  <c r="BG54" i="32"/>
  <c r="BF54" i="32"/>
  <c r="BE54" i="32"/>
  <c r="BD54" i="32"/>
  <c r="BC54" i="32"/>
  <c r="BB54" i="32"/>
  <c r="BA54" i="32"/>
  <c r="AZ54" i="32"/>
  <c r="AY54" i="32"/>
  <c r="AX54" i="32"/>
  <c r="AW54" i="32"/>
  <c r="AV54" i="32"/>
  <c r="AU54" i="32"/>
  <c r="AT54" i="32"/>
  <c r="AS54" i="32"/>
  <c r="AR54" i="32"/>
  <c r="AQ54" i="32"/>
  <c r="AP54" i="32"/>
  <c r="AO54" i="32"/>
  <c r="AN54" i="32"/>
  <c r="AM54" i="32"/>
  <c r="AL54" i="32"/>
  <c r="AK54" i="32"/>
  <c r="AJ54" i="32"/>
  <c r="AI54" i="32"/>
  <c r="AH54" i="32"/>
  <c r="AG54" i="32"/>
  <c r="AF54" i="32"/>
  <c r="AE54" i="32"/>
  <c r="AD54" i="32"/>
  <c r="AC54" i="32"/>
  <c r="AB54" i="32"/>
  <c r="AA54" i="32"/>
  <c r="Z54" i="32"/>
  <c r="Y54" i="32"/>
  <c r="X54" i="32"/>
  <c r="W54" i="32"/>
  <c r="V54" i="32"/>
  <c r="U54" i="32"/>
  <c r="T54" i="32"/>
  <c r="S54" i="32"/>
  <c r="R54" i="32"/>
  <c r="Q54" i="32"/>
  <c r="P54" i="32"/>
  <c r="O54" i="32"/>
  <c r="N54" i="32"/>
  <c r="M54" i="32"/>
  <c r="L54" i="32"/>
  <c r="K54" i="32"/>
  <c r="J54" i="32"/>
  <c r="I54" i="32"/>
  <c r="H54" i="32"/>
  <c r="G54" i="32"/>
  <c r="F54" i="32"/>
  <c r="E54" i="32"/>
  <c r="D54" i="32"/>
  <c r="C54" i="32"/>
  <c r="AI7" i="13" l="1"/>
  <c r="AI18" i="13"/>
  <c r="AI29" i="13"/>
  <c r="AI36" i="13"/>
  <c r="AI53" i="13"/>
  <c r="AI35" i="13" l="1"/>
  <c r="AI6" i="13"/>
  <c r="AI66" i="13" l="1"/>
  <c r="B44" i="35" l="1"/>
  <c r="B43" i="35"/>
  <c r="B42" i="35"/>
  <c r="B41" i="35"/>
  <c r="B40" i="35"/>
  <c r="B39" i="35"/>
  <c r="B38" i="35"/>
  <c r="Z37" i="35"/>
  <c r="Y37" i="35"/>
  <c r="X37" i="35"/>
  <c r="W37" i="35"/>
  <c r="V37" i="35"/>
  <c r="U37" i="35"/>
  <c r="T37" i="35"/>
  <c r="S37" i="35"/>
  <c r="R37" i="35"/>
  <c r="Q37" i="35"/>
  <c r="P37" i="35"/>
  <c r="O37" i="35"/>
  <c r="N37" i="35"/>
  <c r="M37" i="35"/>
  <c r="L37" i="35"/>
  <c r="K37" i="35"/>
  <c r="J37" i="35"/>
  <c r="I37" i="35"/>
  <c r="H37" i="35"/>
  <c r="G37" i="35"/>
  <c r="B37" i="35"/>
  <c r="B36" i="35"/>
  <c r="B35" i="35"/>
  <c r="B34" i="35"/>
  <c r="B33" i="35"/>
  <c r="B32" i="35"/>
  <c r="B31" i="35"/>
  <c r="B30" i="35"/>
  <c r="B29" i="35"/>
  <c r="B28" i="35"/>
  <c r="B27" i="35"/>
  <c r="B26" i="35"/>
  <c r="B25" i="35"/>
  <c r="B24" i="35"/>
  <c r="B23" i="35"/>
  <c r="B22" i="35"/>
  <c r="B21" i="35"/>
  <c r="B20" i="35"/>
  <c r="B19" i="35"/>
  <c r="B18" i="35"/>
  <c r="B17" i="35"/>
  <c r="B16" i="35"/>
  <c r="B15" i="35"/>
  <c r="B14" i="35"/>
  <c r="B13" i="35"/>
  <c r="B12" i="35"/>
  <c r="B11" i="35"/>
  <c r="B10" i="35"/>
  <c r="B9" i="35"/>
  <c r="B8" i="35"/>
  <c r="B7" i="35"/>
  <c r="B6" i="35"/>
  <c r="B5" i="35"/>
  <c r="B44" i="34" l="1"/>
  <c r="B43" i="34"/>
  <c r="B42" i="34"/>
  <c r="B41" i="34"/>
  <c r="B39" i="34"/>
  <c r="B38" i="34"/>
  <c r="B37" i="34"/>
  <c r="B36" i="34"/>
  <c r="B35" i="34"/>
  <c r="B34"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6" i="34"/>
  <c r="B5" i="34"/>
  <c r="BA24" i="16" l="1"/>
  <c r="BB24" i="16"/>
  <c r="BC24" i="16"/>
  <c r="BF24" i="16"/>
  <c r="BG24" i="16"/>
  <c r="BD24" i="16"/>
  <c r="BH24" i="16"/>
  <c r="B68" i="16" l="1"/>
  <c r="B67" i="16"/>
  <c r="B66" i="16"/>
  <c r="B65" i="16"/>
  <c r="B64" i="16"/>
  <c r="B20" i="28" l="1"/>
  <c r="BK146" i="32"/>
  <c r="BJ146" i="32"/>
  <c r="BL146" i="32"/>
  <c r="BI146" i="32"/>
  <c r="BH146" i="32"/>
  <c r="BG146" i="32"/>
  <c r="B33" i="16" l="1"/>
  <c r="BL148" i="32" l="1"/>
  <c r="BH148" i="32"/>
  <c r="BK148" i="32"/>
  <c r="BI148" i="32"/>
  <c r="BJ148" i="32"/>
  <c r="BG148" i="32"/>
  <c r="B54" i="32"/>
  <c r="B101" i="32"/>
  <c r="B150" i="32" l="1"/>
  <c r="B102" i="32"/>
  <c r="B6" i="32"/>
  <c r="BF101" i="32" l="1"/>
  <c r="AS53" i="13" l="1"/>
  <c r="AR53" i="13"/>
  <c r="AQ53" i="13"/>
  <c r="AP53" i="13"/>
  <c r="AO53" i="13"/>
  <c r="AN53" i="13"/>
  <c r="AM53" i="13"/>
  <c r="AL53" i="13"/>
  <c r="AK53" i="13"/>
  <c r="AJ53" i="13"/>
  <c r="AH53" i="13"/>
  <c r="AG53" i="13"/>
  <c r="AF53" i="13"/>
  <c r="AE53" i="13"/>
  <c r="AD53" i="13"/>
  <c r="AC53" i="13"/>
  <c r="AB53" i="13"/>
  <c r="AA53" i="13"/>
  <c r="Z53" i="13"/>
  <c r="Y53" i="13"/>
  <c r="X53" i="13"/>
  <c r="W53" i="13"/>
  <c r="V53" i="13"/>
  <c r="U53" i="13"/>
  <c r="T53" i="13"/>
  <c r="AS36" i="13"/>
  <c r="AR36" i="13"/>
  <c r="AQ36" i="13"/>
  <c r="AP36" i="13"/>
  <c r="AO36" i="13"/>
  <c r="AN36" i="13"/>
  <c r="AM36" i="13"/>
  <c r="AL36" i="13"/>
  <c r="AK36" i="13"/>
  <c r="AJ36" i="13"/>
  <c r="AH36" i="13"/>
  <c r="AG36" i="13"/>
  <c r="AF36" i="13"/>
  <c r="AE36" i="13"/>
  <c r="AD36" i="13"/>
  <c r="AC36" i="13"/>
  <c r="AB36" i="13"/>
  <c r="AA36" i="13"/>
  <c r="Z36" i="13"/>
  <c r="Y36" i="13"/>
  <c r="X36" i="13"/>
  <c r="W36" i="13"/>
  <c r="V36" i="13"/>
  <c r="U36" i="13"/>
  <c r="T36" i="13"/>
  <c r="AS29" i="13"/>
  <c r="AR29" i="13"/>
  <c r="AQ29" i="13"/>
  <c r="AP29" i="13"/>
  <c r="AO29" i="13"/>
  <c r="AN29" i="13"/>
  <c r="AM29" i="13"/>
  <c r="AL29" i="13"/>
  <c r="AK29" i="13"/>
  <c r="AJ29" i="13"/>
  <c r="AH29" i="13"/>
  <c r="AG29" i="13"/>
  <c r="AF29" i="13"/>
  <c r="AE29" i="13"/>
  <c r="AD29" i="13"/>
  <c r="AC29" i="13"/>
  <c r="AB29" i="13"/>
  <c r="AA29" i="13"/>
  <c r="Z29" i="13"/>
  <c r="Y29" i="13"/>
  <c r="X29" i="13"/>
  <c r="W29" i="13"/>
  <c r="V29" i="13"/>
  <c r="U29" i="13"/>
  <c r="T29" i="13"/>
  <c r="AS18" i="13"/>
  <c r="AR18" i="13"/>
  <c r="AQ18" i="13"/>
  <c r="AP18" i="13"/>
  <c r="AO18" i="13"/>
  <c r="AN18" i="13"/>
  <c r="AM18" i="13"/>
  <c r="AL18" i="13"/>
  <c r="AK18" i="13"/>
  <c r="AJ18" i="13"/>
  <c r="AH18" i="13"/>
  <c r="AG18" i="13"/>
  <c r="AF18" i="13"/>
  <c r="AE18" i="13"/>
  <c r="AD18" i="13"/>
  <c r="AC18" i="13"/>
  <c r="AB18" i="13"/>
  <c r="AA18" i="13"/>
  <c r="Z18" i="13"/>
  <c r="Y18" i="13"/>
  <c r="X18" i="13"/>
  <c r="W18" i="13"/>
  <c r="V18" i="13"/>
  <c r="U18" i="13"/>
  <c r="T18" i="13"/>
  <c r="AS7" i="13"/>
  <c r="AR7" i="13"/>
  <c r="AQ7" i="13"/>
  <c r="AP7" i="13"/>
  <c r="AO7" i="13"/>
  <c r="AN7" i="13"/>
  <c r="AM7" i="13"/>
  <c r="AL7" i="13"/>
  <c r="AK7" i="13"/>
  <c r="AJ7" i="13"/>
  <c r="AH7" i="13"/>
  <c r="AG7" i="13"/>
  <c r="AF7" i="13"/>
  <c r="AE7" i="13"/>
  <c r="AD7" i="13"/>
  <c r="AC7" i="13"/>
  <c r="AB7" i="13"/>
  <c r="AA7" i="13"/>
  <c r="Z7" i="13"/>
  <c r="Y7" i="13"/>
  <c r="X7" i="13"/>
  <c r="W7" i="13"/>
  <c r="V7" i="13"/>
  <c r="U7" i="13"/>
  <c r="T7" i="13"/>
  <c r="AF52" i="31"/>
  <c r="AE52" i="31"/>
  <c r="AD52" i="31"/>
  <c r="AC52" i="31"/>
  <c r="AB52" i="31"/>
  <c r="AA52" i="31"/>
  <c r="Z52" i="31"/>
  <c r="Y52" i="31"/>
  <c r="X52" i="31"/>
  <c r="W52" i="31"/>
  <c r="V52" i="31"/>
  <c r="U52" i="31"/>
  <c r="T52" i="31"/>
  <c r="S52" i="31"/>
  <c r="R52" i="31"/>
  <c r="Q52" i="31"/>
  <c r="P52" i="31"/>
  <c r="O52" i="31"/>
  <c r="AF35" i="31"/>
  <c r="AE35" i="31"/>
  <c r="AD35" i="31"/>
  <c r="AC35" i="31"/>
  <c r="AB35" i="31"/>
  <c r="AB34" i="31" s="1"/>
  <c r="AA35" i="31"/>
  <c r="Z35" i="31"/>
  <c r="Y35" i="31"/>
  <c r="X35" i="31"/>
  <c r="W35" i="31"/>
  <c r="V35" i="31"/>
  <c r="U35" i="31"/>
  <c r="T35" i="31"/>
  <c r="S35" i="31"/>
  <c r="R35" i="31"/>
  <c r="Q35" i="31"/>
  <c r="P35" i="31"/>
  <c r="O35" i="31"/>
  <c r="AF28" i="31"/>
  <c r="AE28" i="31"/>
  <c r="AD28" i="31"/>
  <c r="AC28" i="31"/>
  <c r="AB28" i="31"/>
  <c r="AA28" i="31"/>
  <c r="Z28" i="31"/>
  <c r="Y28" i="31"/>
  <c r="X28" i="31"/>
  <c r="W28" i="31"/>
  <c r="V28" i="31"/>
  <c r="U28" i="31"/>
  <c r="T28" i="31"/>
  <c r="S28" i="31"/>
  <c r="R28" i="31"/>
  <c r="Q28" i="31"/>
  <c r="P28" i="31"/>
  <c r="O28" i="31"/>
  <c r="AF7" i="31"/>
  <c r="AE7" i="31"/>
  <c r="AD7" i="31"/>
  <c r="AC7" i="31"/>
  <c r="AB7" i="31"/>
  <c r="AA7" i="31"/>
  <c r="Z7" i="31"/>
  <c r="Y7" i="31"/>
  <c r="X7" i="31"/>
  <c r="W7" i="31"/>
  <c r="V7" i="31"/>
  <c r="U7" i="31"/>
  <c r="T7" i="31"/>
  <c r="S7" i="31"/>
  <c r="R7" i="31"/>
  <c r="Q7" i="31"/>
  <c r="P7" i="31"/>
  <c r="O7" i="31"/>
  <c r="W6" i="13" l="1"/>
  <c r="Y35" i="13"/>
  <c r="O34" i="31"/>
  <c r="V34" i="31"/>
  <c r="W34" i="31"/>
  <c r="Z34" i="31"/>
  <c r="AJ35" i="13"/>
  <c r="T34" i="31"/>
  <c r="AG35" i="13"/>
  <c r="Z6" i="13"/>
  <c r="AL35" i="13"/>
  <c r="AM6" i="13"/>
  <c r="AN6" i="13"/>
  <c r="AD34" i="31"/>
  <c r="Z35" i="13"/>
  <c r="AH35" i="13"/>
  <c r="W35" i="13"/>
  <c r="AE35" i="13"/>
  <c r="AM35" i="13"/>
  <c r="X6" i="13"/>
  <c r="X35" i="13"/>
  <c r="AF35" i="13"/>
  <c r="AO35" i="13"/>
  <c r="AA6" i="13"/>
  <c r="AQ6" i="13"/>
  <c r="AF6" i="13"/>
  <c r="T35" i="13"/>
  <c r="AB35" i="13"/>
  <c r="Y6" i="13"/>
  <c r="AG6" i="13"/>
  <c r="AO6" i="13"/>
  <c r="U35" i="13"/>
  <c r="AC35" i="13"/>
  <c r="AK35" i="13"/>
  <c r="AR35" i="13"/>
  <c r="AP35" i="13"/>
  <c r="AA35" i="13"/>
  <c r="AQ35" i="13"/>
  <c r="AN35" i="13"/>
  <c r="S34" i="31"/>
  <c r="AA34" i="31"/>
  <c r="P34" i="31"/>
  <c r="X34" i="31"/>
  <c r="Q34" i="31"/>
  <c r="Y34" i="31"/>
  <c r="AF34" i="31"/>
  <c r="AE6" i="13"/>
  <c r="U34" i="31"/>
  <c r="AC34" i="31"/>
  <c r="R34" i="31"/>
  <c r="AH6" i="13"/>
  <c r="AP6" i="13"/>
  <c r="V35" i="13"/>
  <c r="AD35" i="13"/>
  <c r="AS35" i="13"/>
  <c r="T6" i="13"/>
  <c r="AB6" i="13"/>
  <c r="AJ6" i="13"/>
  <c r="U6" i="13"/>
  <c r="AC6" i="13"/>
  <c r="AK6" i="13"/>
  <c r="AR6" i="13"/>
  <c r="V6" i="13"/>
  <c r="AD6" i="13"/>
  <c r="AL6" i="13"/>
  <c r="AS6" i="13"/>
  <c r="AE34" i="31"/>
  <c r="W66" i="13" l="1"/>
  <c r="Y66" i="13"/>
  <c r="AG66" i="13"/>
  <c r="Z66" i="13"/>
  <c r="AJ66" i="13"/>
  <c r="AC66" i="13"/>
  <c r="T66" i="13"/>
  <c r="AH66" i="13"/>
  <c r="AK66" i="13"/>
  <c r="U66" i="13"/>
  <c r="AL66" i="13"/>
  <c r="X66" i="13"/>
  <c r="AM66" i="13"/>
  <c r="AR66" i="13"/>
  <c r="AE66" i="13"/>
  <c r="AD66" i="13"/>
  <c r="AB66" i="13"/>
  <c r="AF66" i="13"/>
  <c r="AO66" i="13"/>
  <c r="AQ66" i="13"/>
  <c r="AP66" i="13"/>
  <c r="AA66" i="13"/>
  <c r="AN66" i="13"/>
  <c r="AS66" i="13"/>
  <c r="V66" i="13"/>
  <c r="BF146" i="32" l="1"/>
  <c r="BE146" i="32"/>
  <c r="BD146" i="32"/>
  <c r="BC146" i="32"/>
  <c r="BB146" i="32"/>
  <c r="BA146" i="32"/>
  <c r="AZ146" i="32"/>
  <c r="AY146" i="32"/>
  <c r="AX146" i="32"/>
  <c r="AW146" i="32"/>
  <c r="AV146" i="32"/>
  <c r="AU146" i="32"/>
  <c r="AT146" i="32"/>
  <c r="AS146" i="32"/>
  <c r="AR146" i="32"/>
  <c r="AQ146" i="32"/>
  <c r="AP146" i="32"/>
  <c r="AO146" i="32"/>
  <c r="AN146" i="32"/>
  <c r="AM146" i="32"/>
  <c r="AL146" i="32"/>
  <c r="AK146" i="32"/>
  <c r="AJ146" i="32"/>
  <c r="AI146" i="32"/>
  <c r="AH146" i="32"/>
  <c r="AG146" i="32"/>
  <c r="AF146" i="32"/>
  <c r="AE146" i="32"/>
  <c r="AD146" i="32"/>
  <c r="AC146" i="32"/>
  <c r="AB146" i="32"/>
  <c r="AA146" i="32"/>
  <c r="Z146" i="32"/>
  <c r="Y146" i="32"/>
  <c r="X146" i="32"/>
  <c r="W146" i="32"/>
  <c r="C148" i="32" l="1"/>
  <c r="AA148" i="32"/>
  <c r="E148" i="32"/>
  <c r="M148" i="32"/>
  <c r="U148" i="32"/>
  <c r="AC148" i="32"/>
  <c r="AS148" i="32"/>
  <c r="K148" i="32"/>
  <c r="L148" i="32"/>
  <c r="F148" i="32"/>
  <c r="N148" i="32"/>
  <c r="AD148" i="32"/>
  <c r="AL148" i="32"/>
  <c r="AT148" i="32"/>
  <c r="G148" i="32"/>
  <c r="O148" i="32"/>
  <c r="W148" i="32"/>
  <c r="AE148" i="32"/>
  <c r="AM148" i="32"/>
  <c r="H148" i="32"/>
  <c r="P148" i="32"/>
  <c r="X148" i="32"/>
  <c r="AF148" i="32"/>
  <c r="AN148" i="32"/>
  <c r="I148" i="32"/>
  <c r="Q148" i="32"/>
  <c r="Y148" i="32"/>
  <c r="AO148" i="32"/>
  <c r="BE148" i="32"/>
  <c r="Z148" i="32"/>
  <c r="AH148" i="32"/>
  <c r="BJ101" i="32"/>
  <c r="AK148" i="32" l="1"/>
  <c r="AU148" i="32"/>
  <c r="AV148" i="32"/>
  <c r="AW148" i="32"/>
  <c r="AY148" i="32"/>
  <c r="AZ148" i="32"/>
  <c r="BA148" i="32"/>
  <c r="BB148" i="32"/>
  <c r="BC148" i="32"/>
  <c r="BD148" i="32"/>
  <c r="BF148" i="32"/>
  <c r="T148" i="32"/>
  <c r="D148" i="32"/>
  <c r="AX148" i="32"/>
  <c r="AB148" i="32"/>
  <c r="R148" i="32"/>
  <c r="J148" i="32"/>
  <c r="AQ148" i="32"/>
  <c r="AG148" i="32"/>
  <c r="V148" i="32"/>
  <c r="AJ148" i="32"/>
  <c r="AR148" i="32"/>
  <c r="AI148" i="32"/>
  <c r="AP148" i="32"/>
  <c r="S148" i="32"/>
  <c r="B63" i="31" l="1"/>
  <c r="B50" i="31"/>
  <c r="B64" i="13"/>
  <c r="B51" i="13"/>
  <c r="D5" i="28" l="1"/>
  <c r="C5" i="28"/>
  <c r="B5" i="28"/>
  <c r="B58" i="21"/>
  <c r="B57" i="21"/>
  <c r="B55" i="21"/>
  <c r="B54" i="21"/>
  <c r="B49" i="21"/>
  <c r="B37" i="21"/>
  <c r="B19" i="21"/>
  <c r="B7" i="21"/>
  <c r="B6" i="21"/>
  <c r="B5" i="21"/>
  <c r="B50" i="32"/>
  <c r="B38" i="32"/>
  <c r="B20" i="32"/>
  <c r="B8" i="32"/>
  <c r="B7" i="32"/>
  <c r="B194" i="32"/>
  <c r="B182" i="32"/>
  <c r="B164" i="32"/>
  <c r="B152" i="32"/>
  <c r="B151" i="32"/>
  <c r="B146" i="32"/>
  <c r="B134" i="32"/>
  <c r="B116" i="32"/>
  <c r="B104" i="32"/>
  <c r="B103" i="32"/>
  <c r="B98" i="32"/>
  <c r="B86" i="32"/>
  <c r="B68" i="32"/>
  <c r="B56" i="32"/>
  <c r="B55" i="32"/>
  <c r="B5" i="32"/>
  <c r="B65" i="31"/>
  <c r="B64" i="31"/>
  <c r="B62" i="31"/>
  <c r="B61" i="31"/>
  <c r="B60" i="31"/>
  <c r="B59" i="31"/>
  <c r="B58" i="31"/>
  <c r="B57" i="31"/>
  <c r="B56" i="31"/>
  <c r="B55" i="31"/>
  <c r="B54" i="31"/>
  <c r="B53" i="31"/>
  <c r="B52" i="31"/>
  <c r="B51" i="31"/>
  <c r="B49" i="31"/>
  <c r="B48" i="31"/>
  <c r="B47" i="31"/>
  <c r="B46" i="31"/>
  <c r="B45" i="31"/>
  <c r="B44" i="31"/>
  <c r="B43" i="31"/>
  <c r="B42" i="31"/>
  <c r="B41" i="31"/>
  <c r="B40" i="31"/>
  <c r="B39" i="31"/>
  <c r="B38" i="31"/>
  <c r="B37" i="31"/>
  <c r="B36" i="31"/>
  <c r="B35" i="31"/>
  <c r="B34" i="31"/>
  <c r="B33" i="31"/>
  <c r="B32" i="31"/>
  <c r="B31" i="31"/>
  <c r="B30" i="31"/>
  <c r="B29" i="31"/>
  <c r="B28" i="31"/>
  <c r="B26" i="31"/>
  <c r="B25" i="31"/>
  <c r="B24" i="31"/>
  <c r="B23" i="31"/>
  <c r="B22" i="31"/>
  <c r="B21" i="31"/>
  <c r="B20" i="31"/>
  <c r="B19" i="31"/>
  <c r="B18" i="31"/>
  <c r="B17" i="31"/>
  <c r="B15" i="31"/>
  <c r="B14" i="31"/>
  <c r="B13" i="31"/>
  <c r="B12" i="31"/>
  <c r="B11" i="31"/>
  <c r="B10" i="31"/>
  <c r="B9" i="31"/>
  <c r="B8" i="31"/>
  <c r="B7" i="31"/>
  <c r="B6" i="31"/>
  <c r="B5" i="31"/>
  <c r="B66" i="13"/>
  <c r="B65" i="13"/>
  <c r="B63" i="13"/>
  <c r="B62" i="13"/>
  <c r="B61" i="13"/>
  <c r="B60" i="13"/>
  <c r="B59" i="13"/>
  <c r="B58" i="13"/>
  <c r="B57" i="13"/>
  <c r="B56" i="13"/>
  <c r="B55" i="13"/>
  <c r="B54" i="13"/>
  <c r="B53" i="13"/>
  <c r="B52" i="13"/>
  <c r="B50" i="13"/>
  <c r="B49" i="13"/>
  <c r="B48" i="13"/>
  <c r="B47" i="13"/>
  <c r="B46" i="13"/>
  <c r="B45" i="13"/>
  <c r="B44" i="13"/>
  <c r="B43" i="13"/>
  <c r="B42" i="13"/>
  <c r="B41" i="13"/>
  <c r="B40" i="13"/>
  <c r="B39" i="13"/>
  <c r="B38" i="13"/>
  <c r="B37" i="13"/>
  <c r="B36" i="13"/>
  <c r="B35" i="13"/>
  <c r="B34" i="13"/>
  <c r="B33" i="13"/>
  <c r="B32" i="13"/>
  <c r="B31" i="13"/>
  <c r="B30" i="13"/>
  <c r="B29" i="13"/>
  <c r="B27" i="13"/>
  <c r="B26" i="13"/>
  <c r="B25" i="13"/>
  <c r="B24" i="13"/>
  <c r="B23" i="13"/>
  <c r="B22" i="13"/>
  <c r="B20" i="13"/>
  <c r="B19" i="13"/>
  <c r="B18" i="13"/>
  <c r="B17" i="13"/>
  <c r="B14" i="13"/>
  <c r="B13" i="13"/>
  <c r="B12" i="13"/>
  <c r="B11" i="13"/>
  <c r="B10" i="13"/>
  <c r="B9" i="13"/>
  <c r="B8" i="13"/>
  <c r="B7" i="13"/>
  <c r="B6" i="13"/>
  <c r="B5" i="13"/>
  <c r="B63" i="16"/>
  <c r="B62" i="16"/>
  <c r="B60" i="16"/>
  <c r="B59" i="16"/>
  <c r="B57" i="16"/>
  <c r="B56" i="16"/>
  <c r="B53" i="16"/>
  <c r="B42" i="16"/>
  <c r="B41" i="16"/>
  <c r="B40" i="16"/>
  <c r="B39" i="16"/>
  <c r="B38" i="16"/>
  <c r="B37" i="16"/>
  <c r="B36" i="16"/>
  <c r="B35" i="16"/>
  <c r="B20" i="16"/>
  <c r="B18" i="16"/>
  <c r="B17" i="16"/>
  <c r="B16" i="16"/>
  <c r="B15" i="16"/>
  <c r="B14" i="16"/>
  <c r="B13" i="16"/>
  <c r="B12" i="16"/>
  <c r="B11" i="16"/>
  <c r="B10" i="16"/>
  <c r="B9" i="16"/>
  <c r="B8" i="16"/>
  <c r="B7" i="16"/>
  <c r="B6" i="16"/>
  <c r="B5" i="16"/>
  <c r="AI28" i="31" l="1"/>
  <c r="AI7" i="31"/>
  <c r="AI35" i="31"/>
  <c r="AI52" i="31"/>
  <c r="AI34" i="31" l="1"/>
  <c r="A34" i="16" l="1"/>
  <c r="AI18" i="31" l="1"/>
  <c r="AI6" i="31" l="1"/>
  <c r="AI65" i="31" l="1"/>
  <c r="O18" i="31" l="1"/>
  <c r="O6" i="31" s="1"/>
  <c r="O65" i="31" s="1"/>
  <c r="Y18" i="31"/>
  <c r="Y6" i="31" s="1"/>
  <c r="Y65" i="31" s="1"/>
  <c r="W18" i="31"/>
  <c r="W6" i="31" s="1"/>
  <c r="W65" i="31" s="1"/>
  <c r="Q18" i="31"/>
  <c r="Q6" i="31" s="1"/>
  <c r="Q65" i="31" s="1"/>
  <c r="T18" i="31"/>
  <c r="T6" i="31" s="1"/>
  <c r="T65" i="31" s="1"/>
  <c r="S18" i="31"/>
  <c r="S6" i="31" s="1"/>
  <c r="S65" i="31" s="1"/>
  <c r="AC18" i="31"/>
  <c r="AC6" i="31" s="1"/>
  <c r="AC65" i="31" s="1"/>
  <c r="U18" i="31"/>
  <c r="U6" i="31" s="1"/>
  <c r="U65" i="31" s="1"/>
  <c r="P18" i="31"/>
  <c r="P6" i="31" s="1"/>
  <c r="P65" i="31" s="1"/>
  <c r="AE18" i="31"/>
  <c r="X18" i="31"/>
  <c r="X6" i="31" s="1"/>
  <c r="X65" i="31" s="1"/>
  <c r="R18" i="31"/>
  <c r="R6" i="31" s="1"/>
  <c r="R65" i="31" s="1"/>
  <c r="AA18" i="31"/>
  <c r="AA6" i="31" s="1"/>
  <c r="AA65" i="31" s="1"/>
  <c r="AB18" i="31"/>
  <c r="AB6" i="31" s="1"/>
  <c r="AB65" i="31" s="1"/>
  <c r="V18" i="31"/>
  <c r="V6" i="31" s="1"/>
  <c r="V65" i="31" s="1"/>
  <c r="AF18" i="31"/>
  <c r="AD18" i="31"/>
  <c r="AD6" i="31" s="1"/>
  <c r="AD65" i="31" s="1"/>
  <c r="Z18" i="31"/>
  <c r="Z6" i="31" s="1"/>
  <c r="Z65" i="31" s="1"/>
  <c r="AE6" i="31" l="1"/>
  <c r="AF6" i="31"/>
  <c r="AF65" i="31" l="1"/>
  <c r="AE65" i="31"/>
  <c r="BX132" i="32" l="1"/>
  <c r="BX50" i="32"/>
  <c r="BX126" i="32"/>
  <c r="BX8" i="32"/>
  <c r="BX120" i="32"/>
  <c r="BX20" i="32"/>
  <c r="BX7" i="32" l="1"/>
  <c r="BX38" i="32" l="1"/>
  <c r="BX164" i="32" l="1"/>
  <c r="BX152" i="32"/>
  <c r="BX194" i="32"/>
  <c r="BX151" i="32" l="1"/>
  <c r="BX29" i="32" l="1"/>
  <c r="BX52" i="32" s="1"/>
  <c r="BX131" i="32" l="1"/>
  <c r="BX127" i="32"/>
  <c r="BX173" i="32"/>
  <c r="BX77" i="32"/>
  <c r="BX130" i="32"/>
  <c r="BX129" i="32"/>
  <c r="BX125" i="32" l="1"/>
  <c r="BX86" i="32" l="1"/>
  <c r="BX135" i="32" l="1"/>
  <c r="BX182" i="32"/>
  <c r="BX134" i="32" l="1"/>
  <c r="BX196" i="32"/>
  <c r="BX98" i="32" l="1"/>
  <c r="BX146" i="32" s="1"/>
  <c r="BX147" i="32"/>
  <c r="BX68" i="32"/>
  <c r="BX117" i="32"/>
  <c r="BX121" i="32"/>
  <c r="BX114" i="32"/>
  <c r="BX56" i="32"/>
  <c r="BX104" i="32" s="1"/>
  <c r="BX110" i="32"/>
  <c r="BX115" i="32"/>
  <c r="BX118" i="32"/>
  <c r="BX124" i="32"/>
  <c r="BX55" i="32" l="1"/>
  <c r="BX116" i="32"/>
  <c r="BX100" i="32" l="1"/>
  <c r="BX148" i="32" s="1"/>
  <c r="BX103" i="32"/>
</calcChain>
</file>

<file path=xl/sharedStrings.xml><?xml version="1.0" encoding="utf-8"?>
<sst xmlns="http://schemas.openxmlformats.org/spreadsheetml/2006/main" count="3082" uniqueCount="338">
  <si>
    <t>Faria Lima Financial Center</t>
  </si>
  <si>
    <t>Faria Lima Square</t>
  </si>
  <si>
    <t>JK Financial Center</t>
  </si>
  <si>
    <t>Corporate Park</t>
  </si>
  <si>
    <t>JK1455</t>
  </si>
  <si>
    <t>Londres Financial Center</t>
  </si>
  <si>
    <t>Nova São Paulo</t>
  </si>
  <si>
    <t>Verbo Divino</t>
  </si>
  <si>
    <t>Cenesp</t>
  </si>
  <si>
    <t>Brasilio Machado</t>
  </si>
  <si>
    <t>Leblon Corporate</t>
  </si>
  <si>
    <t>Suarez Trade</t>
  </si>
  <si>
    <t>Shopping D</t>
  </si>
  <si>
    <t>Parque Shopping Belém</t>
  </si>
  <si>
    <t>Total</t>
  </si>
  <si>
    <t>Shopping Centers</t>
  </si>
  <si>
    <t>Shopping Metropolitano Barra</t>
  </si>
  <si>
    <t>Tietê Plaza Shopping</t>
  </si>
  <si>
    <t>-</t>
  </si>
  <si>
    <t>Thera Corporate</t>
  </si>
  <si>
    <t>Shopping Cidade São Paulo</t>
  </si>
  <si>
    <t>Parque Industrial Cajamar III</t>
  </si>
  <si>
    <t>Parque Industrial Caxias</t>
  </si>
  <si>
    <t>Shopping Cerrado</t>
  </si>
  <si>
    <t>Parque Industrial Castelo 46</t>
  </si>
  <si>
    <t>ITM</t>
  </si>
  <si>
    <t xml:space="preserve"> </t>
  </si>
  <si>
    <t>Miss Silvia Morizono</t>
  </si>
  <si>
    <t>CEO - Torre Norte</t>
  </si>
  <si>
    <t>Centro Empresarial Faria Lima</t>
  </si>
  <si>
    <t>Grand Plaza Shopping</t>
  </si>
  <si>
    <t>Shopping Estação BH</t>
  </si>
  <si>
    <t>Parque Industrial Tamboré</t>
  </si>
  <si>
    <t>JK 1455</t>
  </si>
  <si>
    <t>Parque Industrial Cajamar</t>
  </si>
  <si>
    <t>Parque Industrial Jordanesia</t>
  </si>
  <si>
    <t>Parque Industrial Tonolli</t>
  </si>
  <si>
    <t>Parque Industrial Rio Guandú</t>
  </si>
  <si>
    <t>Parque Industrial Cajamar II</t>
  </si>
  <si>
    <t>Parque Industrial Dutra</t>
  </si>
  <si>
    <t>X</t>
  </si>
  <si>
    <t>English</t>
  </si>
  <si>
    <t>Portuguese</t>
  </si>
  <si>
    <t>1T19</t>
  </si>
  <si>
    <t>2T19</t>
  </si>
  <si>
    <t>Birmann 10</t>
  </si>
  <si>
    <t>3T19</t>
  </si>
  <si>
    <t>4T19</t>
  </si>
  <si>
    <t>JK Torre D</t>
  </si>
  <si>
    <t>JK Torre E</t>
  </si>
  <si>
    <t>1T20</t>
  </si>
  <si>
    <t>4T18</t>
  </si>
  <si>
    <t>3T18</t>
  </si>
  <si>
    <t>2T18</t>
  </si>
  <si>
    <t>1T18</t>
  </si>
  <si>
    <t>1T17</t>
  </si>
  <si>
    <t>2T17</t>
  </si>
  <si>
    <t>3T17</t>
  </si>
  <si>
    <t>4T17</t>
  </si>
  <si>
    <t>1T16</t>
  </si>
  <si>
    <t>2T16</t>
  </si>
  <si>
    <t>3T16</t>
  </si>
  <si>
    <t>4T16</t>
  </si>
  <si>
    <t>2T20</t>
  </si>
  <si>
    <t>3T20</t>
  </si>
  <si>
    <t>4T20</t>
  </si>
  <si>
    <t>4T15</t>
  </si>
  <si>
    <t>3T15</t>
  </si>
  <si>
    <t>2T15</t>
  </si>
  <si>
    <t>1T15</t>
  </si>
  <si>
    <t>4T14</t>
  </si>
  <si>
    <t>3T14</t>
  </si>
  <si>
    <t>2T14</t>
  </si>
  <si>
    <t>1T14</t>
  </si>
  <si>
    <t>4T13</t>
  </si>
  <si>
    <t>3T13</t>
  </si>
  <si>
    <t>2T13</t>
  </si>
  <si>
    <t>1T13</t>
  </si>
  <si>
    <t>1T12</t>
  </si>
  <si>
    <t>2T12</t>
  </si>
  <si>
    <t>3T12</t>
  </si>
  <si>
    <t>4T12</t>
  </si>
  <si>
    <t>1T08</t>
  </si>
  <si>
    <t>2T08</t>
  </si>
  <si>
    <t>3T08</t>
  </si>
  <si>
    <t>4T08</t>
  </si>
  <si>
    <t>1T09</t>
  </si>
  <si>
    <t>2T09</t>
  </si>
  <si>
    <t>3T09</t>
  </si>
  <si>
    <t>4T09</t>
  </si>
  <si>
    <t>1T10</t>
  </si>
  <si>
    <t>2T10</t>
  </si>
  <si>
    <t>3T10</t>
  </si>
  <si>
    <t>4T10</t>
  </si>
  <si>
    <t>1T11</t>
  </si>
  <si>
    <t>2T11</t>
  </si>
  <si>
    <t>3T11</t>
  </si>
  <si>
    <t>4T11</t>
  </si>
  <si>
    <t>1T21</t>
  </si>
  <si>
    <t>2T21</t>
  </si>
  <si>
    <t>Receita Líquida</t>
  </si>
  <si>
    <t>Custo de locação, vendas e serviços prestados</t>
  </si>
  <si>
    <t>Lucro Bruto</t>
  </si>
  <si>
    <t>Margem Bruta</t>
  </si>
  <si>
    <t>Despesas/ Receitas Operacionais</t>
  </si>
  <si>
    <t>Plano de Opções</t>
  </si>
  <si>
    <t>Amortização de Ágios e outros resultados em investimentos</t>
  </si>
  <si>
    <t>Outras receitas (despesas) operacionais líquidas</t>
  </si>
  <si>
    <t>Lucro antes do Resultado Financeiro</t>
  </si>
  <si>
    <t>Diferidos</t>
  </si>
  <si>
    <t>Correntes</t>
  </si>
  <si>
    <t>Margem Líquida</t>
  </si>
  <si>
    <t>Lucro Líquido por ação</t>
  </si>
  <si>
    <t>3T21</t>
  </si>
  <si>
    <t>4T21</t>
  </si>
  <si>
    <t>ATIVOS</t>
  </si>
  <si>
    <t>Total Circulante</t>
  </si>
  <si>
    <t>Realizável a longo prazo</t>
  </si>
  <si>
    <t>Passivo Circulante</t>
  </si>
  <si>
    <t>CDU a apropriar</t>
  </si>
  <si>
    <t>Exigível a longo prazo</t>
  </si>
  <si>
    <t>Participação de não controladores</t>
  </si>
  <si>
    <t>Patrimônio Líquido</t>
  </si>
  <si>
    <t>Total de Passivos e Patrimônio Líquido</t>
  </si>
  <si>
    <t>Instrumento Financeiro Derivativo</t>
  </si>
  <si>
    <t>1T22</t>
  </si>
  <si>
    <t>Receita Bruta</t>
  </si>
  <si>
    <t>Prestação de Serviços + Estacionamento</t>
  </si>
  <si>
    <t>Vendas e Incorporação</t>
  </si>
  <si>
    <t>Deduções da Receita Bruta</t>
  </si>
  <si>
    <t>Custo Edifícios Corporativos</t>
  </si>
  <si>
    <t>Custo Shopping Centers</t>
  </si>
  <si>
    <t>Custo Estacionamento</t>
  </si>
  <si>
    <t>Custo de Vendas de Propriedades</t>
  </si>
  <si>
    <t>Despesas Comerciais</t>
  </si>
  <si>
    <t>Despesas Gerais e Administrativas</t>
  </si>
  <si>
    <t>Despesas com Remuneração da administração</t>
  </si>
  <si>
    <t>Despesas com Participação de empregados e administradores</t>
  </si>
  <si>
    <t>Resultados de Equivalência patrimonial</t>
  </si>
  <si>
    <t>Despesas Financeiras</t>
  </si>
  <si>
    <t>Receita Financeira</t>
  </si>
  <si>
    <t>Lucro/ Prejuízo do Período</t>
  </si>
  <si>
    <t>(+) IRPJ e CSSL</t>
  </si>
  <si>
    <t>EBITDA</t>
  </si>
  <si>
    <t>EBITDA Ajustado</t>
  </si>
  <si>
    <t>FFO</t>
  </si>
  <si>
    <t>FFO Ajustado</t>
  </si>
  <si>
    <t>Financiamentos e Empréstimos</t>
  </si>
  <si>
    <t>Debêntures e Notas Promissórias</t>
  </si>
  <si>
    <t>Caixa, Investimento e Valores Imobiliários</t>
  </si>
  <si>
    <t>Dívida Líquida Total/ EBITDA UDM</t>
  </si>
  <si>
    <t>Área Privativa SPE - Edifícios</t>
  </si>
  <si>
    <t>Área Privativa SYN - Edifícios</t>
  </si>
  <si>
    <t>Área Privativa SPE - Shoppings</t>
  </si>
  <si>
    <t>Área Privativa SYN - Shoppings</t>
  </si>
  <si>
    <t>Ativo circulante - Caixa e equivalentes de caixa</t>
  </si>
  <si>
    <t>Ativo circulante - Títulos e valores mobiliários e derivativos</t>
  </si>
  <si>
    <t>Ativo circulante - Contas a receber</t>
  </si>
  <si>
    <t>Ativo circulante - Estoques</t>
  </si>
  <si>
    <t>Ativo circulante - Impostos a compensar</t>
  </si>
  <si>
    <t>Ativo circulante - Adiantamento a fornecedores</t>
  </si>
  <si>
    <t>Ativo circulante - Dividendos a receber</t>
  </si>
  <si>
    <t>Ativo circulante - Ativo disponível para venda</t>
  </si>
  <si>
    <t>Ativo circulante - Demais contas a receber</t>
  </si>
  <si>
    <t>Ativo circulante - Instrumento Financeiro Derivativo</t>
  </si>
  <si>
    <t>Ativo não circulante - Contas a receber</t>
  </si>
  <si>
    <t>Ativo não circulante - Estoques</t>
  </si>
  <si>
    <t>Ativo não circulante - Adiantamento para futuro aumento de capital</t>
  </si>
  <si>
    <t>Ativo não circulante - Conta corrente com parceiros nos empreendimentos</t>
  </si>
  <si>
    <t>Ativo não circulante - Impostos a compensar</t>
  </si>
  <si>
    <t>Ativo não circulante - Depósitos judiciais</t>
  </si>
  <si>
    <t>Ativo não circulante - Demais contas a receber</t>
  </si>
  <si>
    <t>Ativo não circulante - Investimentos</t>
  </si>
  <si>
    <t>Ativo não circulante - Propriedades para investimento</t>
  </si>
  <si>
    <t>Ativo não circulante - Imobilizado</t>
  </si>
  <si>
    <t>Ativo não circulante - Intangíveis</t>
  </si>
  <si>
    <t>Ativo não circulante - Mútuo a receber</t>
  </si>
  <si>
    <t>Ativo não circulante - Outros</t>
  </si>
  <si>
    <t>Passivo circulante - Empréstimos e financiamentos</t>
  </si>
  <si>
    <t>Passivo circulante - Debêntures</t>
  </si>
  <si>
    <t>Passivo circulante - Fornecedores</t>
  </si>
  <si>
    <t>Passivo circulante - Impostos e contribuições a recolher</t>
  </si>
  <si>
    <t>Passivo circulante - Débitos com partes relacionadas nos empreendimentos</t>
  </si>
  <si>
    <t>Passivo circulante - Impostos e contribuições diferidos</t>
  </si>
  <si>
    <t>Passivo circulante - Adiantamentos de clientes</t>
  </si>
  <si>
    <t>Passivo circulante - Adiantamentos de clientes - permuta</t>
  </si>
  <si>
    <t>Passivo circulante - Partes relacionadas</t>
  </si>
  <si>
    <t>Passivo circulante - Receita res-sperata a apropriar</t>
  </si>
  <si>
    <t>Passivo circulante - Dividendos a pagar</t>
  </si>
  <si>
    <t>Passivo circulante - Demais contas a pagar</t>
  </si>
  <si>
    <t>Passivo circulante - Notas promissórias</t>
  </si>
  <si>
    <t>Passivo não circulante - Empréstimos e financiamentos</t>
  </si>
  <si>
    <t>Passivo não circulante - Debêntures</t>
  </si>
  <si>
    <t>Passivo não circulante - Obrigações por aquisição de imóvel</t>
  </si>
  <si>
    <t>Passivo não circulante - Impostos e contribuições diferidos</t>
  </si>
  <si>
    <t>Passivo não circulante - Receita res-sperata a apropriar</t>
  </si>
  <si>
    <t>Passivo não circulante - Demais contas a pagar</t>
  </si>
  <si>
    <t>Passivo não circulante - Provisões para riscos trabalhistas, fiscais e cíveis</t>
  </si>
  <si>
    <t>Passivo não circulante - Adiantamento de clientes</t>
  </si>
  <si>
    <t>Passivo não circulante - Notas promissórias</t>
  </si>
  <si>
    <t>Área Privativa Total - CEO</t>
  </si>
  <si>
    <t>Área Privativa Total - JKD</t>
  </si>
  <si>
    <t>Área Privativa Total - JKE</t>
  </si>
  <si>
    <t>Área Privativa Total - NSP</t>
  </si>
  <si>
    <t>Área Privativa Total - VBD</t>
  </si>
  <si>
    <t>Área Privativa Total - ITM</t>
  </si>
  <si>
    <t>Área Privativa Total - BRM</t>
  </si>
  <si>
    <t>Área Privativa Total - LBL</t>
  </si>
  <si>
    <t>Área Privativa Total - SRT</t>
  </si>
  <si>
    <t>Área Privativa Total - B10</t>
  </si>
  <si>
    <t>Área Privativa Total - SHD</t>
  </si>
  <si>
    <t>Área Privativa Total - GPS</t>
  </si>
  <si>
    <t>Área Privativa Total - SMB</t>
  </si>
  <si>
    <t>Área Privativa Total - TPS</t>
  </si>
  <si>
    <t>Área Privativa Total - CSP</t>
  </si>
  <si>
    <t>Área Privativa Total - SCR</t>
  </si>
  <si>
    <t>Área Privativa SPE - CEO</t>
  </si>
  <si>
    <t>Área Privativa SPE - JKD</t>
  </si>
  <si>
    <t>Área Privativa SPE - JKE</t>
  </si>
  <si>
    <t>Área Privativa SPE - NSP</t>
  </si>
  <si>
    <t>Área Privativa SPE - VBD</t>
  </si>
  <si>
    <t>Área Privativa SPE - ITM</t>
  </si>
  <si>
    <t>Área Privativa SPE - BRM</t>
  </si>
  <si>
    <t>Área Privativa SPE - LBL</t>
  </si>
  <si>
    <t>Área Privativa SPE - SRT</t>
  </si>
  <si>
    <t>Área Privativa SPE - B10</t>
  </si>
  <si>
    <t>Área Privativa SPE - SHD</t>
  </si>
  <si>
    <t>Área Privativa SPE - GPS</t>
  </si>
  <si>
    <t>Área Privativa SPE - SMB</t>
  </si>
  <si>
    <t>Área Privativa SPE - TPS</t>
  </si>
  <si>
    <t>Área Privativa SPE - CSP</t>
  </si>
  <si>
    <t>Área Privativa SPE - SCR</t>
  </si>
  <si>
    <t>Participação SYN - CEO</t>
  </si>
  <si>
    <t>Participação SYN - JKD</t>
  </si>
  <si>
    <t>Participação SYN - JKE</t>
  </si>
  <si>
    <t>Participação SYN - NSP</t>
  </si>
  <si>
    <t>Participação SYN - VBD</t>
  </si>
  <si>
    <t>Participação SYN - ITM</t>
  </si>
  <si>
    <t>Participação SYN - BRM</t>
  </si>
  <si>
    <t>Participação SYN - LBL</t>
  </si>
  <si>
    <t>Participação SYN - SRT</t>
  </si>
  <si>
    <t>Participação SYN - B10</t>
  </si>
  <si>
    <t>Participação SYN - SHD</t>
  </si>
  <si>
    <t>Participação SYN - GPS</t>
  </si>
  <si>
    <t>Participação SYN - SMB</t>
  </si>
  <si>
    <t>Participação SYN - TPS</t>
  </si>
  <si>
    <t>Participação SYN - CSP</t>
  </si>
  <si>
    <t>Participação SYN - SCR</t>
  </si>
  <si>
    <t>Área Privativa SYN - CEO</t>
  </si>
  <si>
    <t>Área Privativa SYN - JKD</t>
  </si>
  <si>
    <t>Área Privativa SYN - JKE</t>
  </si>
  <si>
    <t>Área Privativa SYN - NSP</t>
  </si>
  <si>
    <t>Área Privativa SYN - VBD</t>
  </si>
  <si>
    <t>Área Privativa SYN - ITM</t>
  </si>
  <si>
    <t>Área Privativa SYN - BRM</t>
  </si>
  <si>
    <t>Área Privativa SYN - LBL</t>
  </si>
  <si>
    <t>Área Privativa SYN - SRT</t>
  </si>
  <si>
    <t>Área Privativa SYN - B10</t>
  </si>
  <si>
    <t>Área Privativa SYN - SHD</t>
  </si>
  <si>
    <t>Área Privativa SYN - GPS</t>
  </si>
  <si>
    <t>Área Privativa SYN - SMB</t>
  </si>
  <si>
    <t>Área Privativa SYN - TPS</t>
  </si>
  <si>
    <t>Área Privativa SYN - CSP</t>
  </si>
  <si>
    <t>Área Privativa SYN - SCR</t>
  </si>
  <si>
    <t>2T22</t>
  </si>
  <si>
    <t>3T22</t>
  </si>
  <si>
    <t>Receita Edifícios Corporativos</t>
  </si>
  <si>
    <t>Receita Shopping Centers</t>
  </si>
  <si>
    <t>Receita Centros de Distribução</t>
  </si>
  <si>
    <t>Receita de Outros Empreendimentos</t>
  </si>
  <si>
    <t>Lucro Líquido do Exercício</t>
  </si>
  <si>
    <t>4T22</t>
  </si>
  <si>
    <t>2022</t>
  </si>
  <si>
    <t>Vendas Total</t>
  </si>
  <si>
    <t>SSS (%)</t>
  </si>
  <si>
    <t>Passivo circulante - Passivo de arrendamento</t>
  </si>
  <si>
    <t>Passivo não circulante - Passivo de arrendamento</t>
  </si>
  <si>
    <t>Lucro Antes da Participação de Minoritários</t>
  </si>
  <si>
    <t>Participação dos não controladores</t>
  </si>
  <si>
    <t>2021</t>
  </si>
  <si>
    <t>2020</t>
  </si>
  <si>
    <t>2019</t>
  </si>
  <si>
    <t>Custo Prestação de Serviços (ex Estacionamento)</t>
  </si>
  <si>
    <t>1T23</t>
  </si>
  <si>
    <t>Passivo circulante - Contas a pagar por aquisição de imóveis</t>
  </si>
  <si>
    <t>Total (ex ITM)</t>
  </si>
  <si>
    <t>2T23</t>
  </si>
  <si>
    <t>NOI TOTAL</t>
  </si>
  <si>
    <t>3T23</t>
  </si>
  <si>
    <t>Margem NOI (%)</t>
  </si>
  <si>
    <t>Margem EBITDA (%)</t>
  </si>
  <si>
    <t>Margem FFO (%)</t>
  </si>
  <si>
    <t>Margem Líquida (%)</t>
  </si>
  <si>
    <t>EBITDA (R mil)</t>
  </si>
  <si>
    <t>EBITDA Ajustado (R mil)</t>
  </si>
  <si>
    <t>Lucro/Prejuízo do Período (R mil)</t>
  </si>
  <si>
    <t>FFO (R mil)</t>
  </si>
  <si>
    <t>FFO Ajustado (R mil)</t>
  </si>
  <si>
    <t>Receita Bruta (R mil)</t>
  </si>
  <si>
    <t>Receita Líquida (R mil)</t>
  </si>
  <si>
    <t>NOI (R mil) ¹</t>
  </si>
  <si>
    <t>Grand Plaza ¹</t>
  </si>
  <si>
    <t>¹ Após a cisão parcial do Fundo de Investimento Imobiliário Grand Plaza Shopping, em dezembro de 2022, a SYN passou a deter 100% de um novo fundo, o Fundo de Investimento Imobiliário Grand Plaza II, que possui 61,41% do imóvel. Portanto, a partir de Janeiro/2023, a consolidação do FII Grand Plaza II representa apenas a parcela do imóvel detida pelo novo FII.</t>
  </si>
  <si>
    <t>¹ After the partial spin-off of the Grand Plaza Shopping Real Estate Investment Fund, in December 2022, SYN now holds 100% of a new fund, the Grand Plaza II Real Estate Investment Fund, which owns 61.41% of the property. Therefore, as of January/2023, the consolidation of the Grand Plaza II Fund represents only the portion of the property held by the new fund.</t>
  </si>
  <si>
    <t>X ¹</t>
  </si>
  <si>
    <t xml:space="preserve">X </t>
  </si>
  <si>
    <t>SSR (%)</t>
  </si>
  <si>
    <t>Custo de Ocupação / Vendas (%)</t>
  </si>
  <si>
    <t>Ocupação Física Shopping Centers</t>
  </si>
  <si>
    <t>Ocupação Financeira Shoppings</t>
  </si>
  <si>
    <t>Inadimplência Líquida (%)</t>
  </si>
  <si>
    <t>Turnover (%)</t>
  </si>
  <si>
    <t>4T23</t>
  </si>
  <si>
    <t>2023</t>
  </si>
  <si>
    <t>CLD</t>
  </si>
  <si>
    <t>Área Privativa Total - CLD</t>
  </si>
  <si>
    <t>Área Privativa SPE - CLD</t>
  </si>
  <si>
    <t>Área Privativa SYN - CLD</t>
  </si>
  <si>
    <t>1T24</t>
  </si>
  <si>
    <t>Ativo não circulante - Ativos disponíveis para venda</t>
  </si>
  <si>
    <t>2T24</t>
  </si>
  <si>
    <t/>
  </si>
  <si>
    <t>Brasílio Machado</t>
  </si>
  <si>
    <t>Endividamento</t>
  </si>
  <si>
    <t>Disponibilidades</t>
  </si>
  <si>
    <t>Dívida Líquida Total</t>
  </si>
  <si>
    <t>Ocupação Física Edifícios Ex-ITM</t>
  </si>
  <si>
    <t>Ocupação Financeira Edifícios Ex-ITM</t>
  </si>
  <si>
    <t>3T24</t>
  </si>
  <si>
    <t>Custo Galpões</t>
  </si>
  <si>
    <t>4T24</t>
  </si>
  <si>
    <t>Ativo não circulante - Títulos e valores mobiliários</t>
  </si>
  <si>
    <t>1T25</t>
  </si>
  <si>
    <t>2T25</t>
  </si>
  <si>
    <t>3T25</t>
  </si>
  <si>
    <t>4T25</t>
  </si>
  <si>
    <t>1T26</t>
  </si>
  <si>
    <t>2T26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</si>
</sst>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2">
    <numFmt numFmtId="41" formatCode="_-* #,##0_-;\-* #,##0_-;_-* &quot;-&quot;_-;_-@_-"/>
    <numFmt numFmtId="44" formatCode="_-&quot;R$&quot;\ * #,##0.00_-;\-&quot;R$&quot;\ * #,##0.00_-;_-&quot;R$&quot;\ * &quot;-&quot;??_-;_-@_-"/>
    <numFmt numFmtId="43" formatCode="_-* #,##0.00_-;\-* #,##0.00_-;_-* &quot;-&quot;??_-;_-@_-"/>
    <numFmt numFmtId="164" formatCode="_(* #,##0.0_);_(* \(#,##0.0\);_(* &quot;-&quot;?_);_(@_)"/>
    <numFmt numFmtId="165" formatCode="_(* #,##0.00_);_(* \(#,##0.00\);_(* &quot;-&quot;??_);_(@_)"/>
    <numFmt numFmtId="166" formatCode="0.0%"/>
    <numFmt numFmtId="167" formatCode="_(&quot;R$ &quot;* #,##0.00_);_(&quot;R$ &quot;* \(#,##0.00\);_(&quot;R$ &quot;* &quot;-&quot;??_);_(@_)"/>
    <numFmt numFmtId="168" formatCode="#,##0_);\(#,##0\);0_)"/>
    <numFmt numFmtId="169" formatCode="#,##0_);\(#,##0\);0_);@"/>
    <numFmt numFmtId="170" formatCode="_([$€]* #,##0.0_);_([$€]* \(#,##0.0\);_([$€]* &quot;-&quot;??_);_(@_)"/>
    <numFmt numFmtId="171" formatCode="\£\ #,##0_);[Red]\(\£\ #,##0\)"/>
    <numFmt numFmtId="172" formatCode="\¥\ #,##0_);[Red]\(\¥\ #,##0\)"/>
    <numFmt numFmtId="173" formatCode="\•\ \ @"/>
    <numFmt numFmtId="174" formatCode="0.000_)"/>
    <numFmt numFmtId="175" formatCode="#,##0_%_);\(#,##0\)_%;#,##0_%_);@_%_)"/>
    <numFmt numFmtId="176" formatCode="#,##0_%_);\(#,##0\)_%;**;@_%_)"/>
    <numFmt numFmtId="177" formatCode="#,##0.00_%_);\(#,##0.00\)_%;#,##0.00_%_);@_%_)"/>
    <numFmt numFmtId="178" formatCode="#,##0.00_%_);\(#,##0.00\)_%;**;@_%_)"/>
    <numFmt numFmtId="179" formatCode="&quot;R$ &quot;#,##0_%_);\(&quot;R$ &quot;#,##0\)_%;&quot;R$ &quot;#,##0_%_);@_%_)"/>
    <numFmt numFmtId="180" formatCode="&quot;R$ &quot;#,##0.00_%_);\(&quot;R$ &quot;#,##0.00\)_%;&quot;R$ &quot;#,##0.00_%_);@_%_)"/>
    <numFmt numFmtId="181" formatCode="&quot;R$ &quot;#,##0.00_%_);\(&quot;R$ &quot;#,##0.00\)_%;**;@_%_)"/>
    <numFmt numFmtId="182" formatCode="\ \ _•\–\ \ \ \ @"/>
    <numFmt numFmtId="183" formatCode="m/d/yy_%_)"/>
    <numFmt numFmtId="184" formatCode="m/d/yy_%_);;**"/>
    <numFmt numFmtId="185" formatCode="0_%_);\(0\)_%;0_%_);@_%_)"/>
    <numFmt numFmtId="186" formatCode="0.0\%_);\(0.0\%\);0.0\%_);@_%_)"/>
    <numFmt numFmtId="187" formatCode="_(&quot;R$&quot;* #,##0.00_);_(&quot;R$&quot;* \(#,##0.00\);_(&quot;R$&quot;* &quot;-&quot;??_);_(@_)"/>
    <numFmt numFmtId="188" formatCode="0.0\x_)_);&quot;NM&quot;_x_)_);0.0\x_)_);@_%_)"/>
    <numFmt numFmtId="189" formatCode="0.00_)"/>
    <numFmt numFmtId="190" formatCode="#\ #/#"/>
    <numFmt numFmtId="191" formatCode="0.0"/>
    <numFmt numFmtId="192" formatCode="0.0000"/>
    <numFmt numFmtId="193" formatCode="0.00000"/>
    <numFmt numFmtId="194" formatCode="_(* #,##0_);_(* \(#,##0\);_(* &quot;-&quot;?_);_(@_)"/>
    <numFmt numFmtId="195" formatCode="_([$€]* #,##0.00_);_([$€]* \(#,##0.00\);_([$€]* &quot;-&quot;??_);_(@_)"/>
    <numFmt numFmtId="196" formatCode="_(&quot;$&quot;* #,##0.00_);_(&quot;$&quot;* \(#,##0.00\);_(&quot;$&quot;* &quot;-&quot;??_);_(@_)"/>
    <numFmt numFmtId="197" formatCode="_(* #,##0.000_);_(* \(#,##0.000\);_(* &quot;-&quot;?_);_(@_)"/>
    <numFmt numFmtId="198" formatCode="_(* #,##0_);_(* \(#,##0\);_(* &quot;-&quot;_);_(@_)"/>
    <numFmt numFmtId="199" formatCode="General_)"/>
    <numFmt numFmtId="200" formatCode="#,##0.00\ &quot;m³/d&quot;"/>
    <numFmt numFmtId="201" formatCode="dd/mm/yy;@"/>
    <numFmt numFmtId="202" formatCode="_-* #,##0.0_-;\-* #,##0.0_-;_-* &quot;-&quot;??_-;_-@_-"/>
    <numFmt numFmtId="203" formatCode="&quot;$&quot;#,##0_%_);\(&quot;$&quot;#,##0\)_%;&quot;$&quot;#,##0_%_);@_%_)"/>
    <numFmt numFmtId="204" formatCode="&quot;$&quot;#,##0.00_%_);\(&quot;$&quot;#,##0.00\)_%;&quot;$&quot;#,##0.00_%_);@_%_)"/>
    <numFmt numFmtId="205" formatCode="&quot;$&quot;#,##0.00_%_);\(&quot;$&quot;#,##0.00\)_%;**;@_%_)"/>
    <numFmt numFmtId="206" formatCode="#."/>
    <numFmt numFmtId="207" formatCode="m\o\n\th\ d\,\ \y\y\y\y"/>
    <numFmt numFmtId="208" formatCode="_ [$€]\ * #,##0.00_ ;_ [$€]\ * \-#,##0.00_ ;_ [$€]\ * &quot;-&quot;??_ ;_ @_ "/>
    <numFmt numFmtId="209" formatCode="_-[$€]\ * #,##0.00_-;\-[$€]\ * #,##0.00_-;_-[$€]\ * &quot;-&quot;??_-;_-@_-"/>
    <numFmt numFmtId="210" formatCode="_([$€-2]* #,##0.00_);_([$€-2]* \(#,##0.00\);_([$€-2]* &quot;-&quot;??_)"/>
    <numFmt numFmtId="211" formatCode="_-[$€]\ * #,##0.00_-;\-[$€]\ * #,##0.00_-;_-[$€]\ * \-??_-;_-@_-"/>
    <numFmt numFmtId="212" formatCode="#,#00"/>
    <numFmt numFmtId="213" formatCode="#,"/>
    <numFmt numFmtId="214" formatCode="_-* #,##0.0000_-;\-* #,##0.0000_-;_-* &quot;-&quot;??_-;_-@_-"/>
    <numFmt numFmtId="215" formatCode="_-* #,##0.00\ &quot;Kč&quot;_-;\-* #,##0.00\ &quot;Kč&quot;_-;_-* &quot;-&quot;??\ &quot;Kč&quot;_-;_-@_-"/>
    <numFmt numFmtId="216" formatCode="_-* #,##0.00\ _€_-;\-* #,##0.00\ _€_-;_-* &quot;-&quot;??\ _€_-;_-@_-"/>
    <numFmt numFmtId="217" formatCode="#,##0&quot; m3&quot;"/>
    <numFmt numFmtId="218" formatCode="#,##0&quot; tonne&quot;"/>
    <numFmt numFmtId="219" formatCode="0.000%"/>
    <numFmt numFmtId="220" formatCode="\$#,##0\ ;\(\$#,##0\)"/>
    <numFmt numFmtId="221" formatCode="#,##0.0&quot; m3&quot;"/>
    <numFmt numFmtId="222" formatCode="#,##0.0&quot; MJ/kg&quot;"/>
    <numFmt numFmtId="223" formatCode="_(* #,##0\x_);_(* \(#,##0\x\);_(* &quot;0x&quot;_);_(@_)"/>
    <numFmt numFmtId="224" formatCode="_(* #,##0.0\x_);_(* \(#,##0.0\x\);_(* &quot;0,0x&quot;_);_(@_)"/>
    <numFmt numFmtId="225" formatCode="_(* #,##0.00\x_);_(* \(#,##0.00\x\);_(* &quot;0,00x&quot;_);_(@_)"/>
    <numFmt numFmtId="226" formatCode="#.##000"/>
    <numFmt numFmtId="227" formatCode="_(* #,##0_);_(* \(#,##0\);_(* &quot;0&quot;_);_(@_)"/>
    <numFmt numFmtId="228" formatCode="_(* #,##0.0_);_(* \(#,##0.0\);_(* &quot;0,0&quot;_);_(@_)"/>
    <numFmt numFmtId="229" formatCode="_(* #,##0.00_);_(* \(#,##0.00\);_(* &quot;0,00&quot;_);_(@_)"/>
    <numFmt numFmtId="230" formatCode="_(* #,##0%_);_(* \(#,##0%\);_(* &quot;0%&quot;??_);_(@_)"/>
    <numFmt numFmtId="231" formatCode="_(* #,##0.0%_);_(* \(#,##0.0%\);_(* &quot;0,0%&quot;_);_(@_)"/>
    <numFmt numFmtId="232" formatCode="_(* #,##0.00000_);_(* \(#,##0.00000\);_(* &quot;-&quot;??_);_(@_)"/>
    <numFmt numFmtId="233" formatCode="_-* #,##0_-;\-* #,##0_-;_-* &quot;-&quot;??_-;_-@_-"/>
    <numFmt numFmtId="234" formatCode="_ * #,##0.00_ ;_ * \-#,##0.00_ ;_ * &quot;-&quot;??_ ;_ @_ "/>
    <numFmt numFmtId="235" formatCode="#.##0,"/>
    <numFmt numFmtId="236" formatCode="[$-416]mmm\-yy;@"/>
    <numFmt numFmtId="237" formatCode="0.00\x_)_);&quot;NM&quot;_x_)_);0.00\x_)_);@_%_)"/>
    <numFmt numFmtId="238" formatCode="_(* #,##0.000000_);_(* \(#,##0.000000\);_(* &quot;-&quot;?_);_(@_)"/>
    <numFmt numFmtId="239" formatCode="_-* #,##0.0_-;\-* #,##0.0_-;_-* &quot;-&quot;?_-;_-@_-"/>
    <numFmt numFmtId="240" formatCode="_(* #,##0.00_);_(* \(#,##0.00\);_(* &quot;-&quot;?_);_(@_)"/>
    <numFmt numFmtId="241" formatCode="_-* #,##0.0000_-;\-* #,##0.0000_-;_-* &quot;-&quot;?_-;_-@_-"/>
    <numFmt numFmtId="242" formatCode="0.00\x"/>
  </numFmts>
  <fonts count="163">
    <font>
      <sz val="11"/>
      <color theme="1"/>
      <name val="Calibri"/>
      <family val="2"/>
      <scheme val="minor"/>
    </font>
    <font>
      <sz val="11"/>
      <color indexed="8"/>
      <name val="Calibri"/>
      <family val="2"/>
    </font>
    <font>
      <sz val="11"/>
      <color indexed="8"/>
      <name val="Calibri"/>
      <family val="2"/>
    </font>
    <font>
      <sz val="10"/>
      <name val="Arial"/>
      <family val="2"/>
    </font>
    <font>
      <sz val="10"/>
      <name val="Verdana"/>
      <family val="2"/>
    </font>
    <font>
      <sz val="8"/>
      <name val="Arial"/>
      <family val="2"/>
    </font>
    <font>
      <sz val="10"/>
      <name val="Times New Roman"/>
      <family val="1"/>
    </font>
    <font>
      <sz val="9"/>
      <name val="Times New Roman"/>
      <family val="1"/>
    </font>
    <font>
      <sz val="11"/>
      <color indexed="9"/>
      <name val="Calibri"/>
      <family val="2"/>
    </font>
    <font>
      <sz val="11"/>
      <color indexed="17"/>
      <name val="Calibri"/>
      <family val="2"/>
    </font>
    <font>
      <b/>
      <sz val="11"/>
      <color indexed="9"/>
      <name val="Calibri"/>
      <family val="2"/>
    </font>
    <font>
      <sz val="11"/>
      <color indexed="5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name val="Calibri"/>
      <family val="2"/>
    </font>
    <font>
      <sz val="10"/>
      <name val="Arial"/>
      <family val="2"/>
    </font>
    <font>
      <sz val="12"/>
      <name val="Times New Roman"/>
      <family val="1"/>
    </font>
    <font>
      <b/>
      <sz val="12"/>
      <name val="Times New Roman"/>
      <family val="1"/>
    </font>
    <font>
      <sz val="11"/>
      <name val="Times"/>
      <family val="1"/>
    </font>
    <font>
      <sz val="8"/>
      <name val="Palatino"/>
      <family val="1"/>
    </font>
    <font>
      <sz val="8"/>
      <color indexed="16"/>
      <name val="Palatino"/>
      <family val="1"/>
    </font>
    <font>
      <u/>
      <sz val="10"/>
      <color indexed="14"/>
      <name val="MS Sans Serif"/>
      <family val="2"/>
    </font>
    <font>
      <sz val="7"/>
      <name val="Palatino"/>
      <family val="1"/>
    </font>
    <font>
      <sz val="6"/>
      <color indexed="16"/>
      <name val="Palatino"/>
      <family val="1"/>
    </font>
    <font>
      <sz val="18"/>
      <name val="Helvetica-Black"/>
    </font>
    <font>
      <i/>
      <sz val="14"/>
      <name val="Palatino"/>
      <family val="1"/>
    </font>
    <font>
      <sz val="12"/>
      <name val="Arial"/>
      <family val="2"/>
    </font>
    <font>
      <b/>
      <i/>
      <sz val="16"/>
      <name val="Helv"/>
    </font>
    <font>
      <sz val="10"/>
      <color indexed="16"/>
      <name val="Helvetica-Black"/>
    </font>
    <font>
      <sz val="10"/>
      <name val="SansSerif"/>
      <charset val="2"/>
    </font>
    <font>
      <sz val="8"/>
      <name val="Times New Roman"/>
      <family val="1"/>
    </font>
    <font>
      <sz val="10"/>
      <name val="MS Sans Serif"/>
      <family val="2"/>
    </font>
    <font>
      <b/>
      <sz val="9"/>
      <name val="Palatino"/>
      <family val="1"/>
    </font>
    <font>
      <sz val="9"/>
      <color indexed="21"/>
      <name val="Helvetica-Black"/>
    </font>
    <font>
      <sz val="9"/>
      <name val="Helvetica-Black"/>
    </font>
    <font>
      <sz val="11"/>
      <name val="Times New Roman"/>
      <family val="1"/>
    </font>
    <font>
      <sz val="11"/>
      <color indexed="16"/>
      <name val="Calibri"/>
      <family val="2"/>
    </font>
    <font>
      <b/>
      <sz val="11"/>
      <color indexed="53"/>
      <name val="Calibri"/>
      <family val="2"/>
    </font>
    <font>
      <b/>
      <sz val="15"/>
      <color indexed="62"/>
      <name val="Calibri"/>
      <family val="2"/>
    </font>
    <font>
      <b/>
      <sz val="11"/>
      <color indexed="62"/>
      <name val="Calibri"/>
      <family val="2"/>
    </font>
    <font>
      <sz val="11"/>
      <color indexed="53"/>
      <name val="Calibri"/>
      <family val="2"/>
    </font>
    <font>
      <sz val="11"/>
      <color indexed="19"/>
      <name val="Calibri"/>
      <family val="2"/>
    </font>
    <font>
      <b/>
      <sz val="18"/>
      <color indexed="62"/>
      <name val="Cambria"/>
      <family val="1"/>
    </font>
    <font>
      <sz val="11"/>
      <color indexed="8"/>
      <name val="Calibri"/>
      <family val="2"/>
    </font>
    <font>
      <b/>
      <sz val="11"/>
      <color indexed="9"/>
      <name val="Calibri"/>
      <family val="2"/>
    </font>
    <font>
      <sz val="10"/>
      <color indexed="8"/>
      <name val="Calibri"/>
      <family val="2"/>
    </font>
    <font>
      <b/>
      <sz val="11"/>
      <color indexed="8"/>
      <name val="Calibri"/>
      <family val="2"/>
    </font>
    <font>
      <sz val="11"/>
      <name val="Calibri"/>
      <family val="2"/>
    </font>
    <font>
      <b/>
      <sz val="11"/>
      <name val="Calibri"/>
      <family val="2"/>
    </font>
    <font>
      <sz val="11"/>
      <color indexed="62"/>
      <name val="Calibri"/>
      <family val="2"/>
    </font>
    <font>
      <b/>
      <sz val="13"/>
      <color indexed="62"/>
      <name val="Calibri"/>
      <family val="2"/>
    </font>
    <font>
      <sz val="11"/>
      <color indexed="8"/>
      <name val="Calibri"/>
      <family val="2"/>
    </font>
    <font>
      <sz val="11"/>
      <name val="Calibri"/>
      <family val="2"/>
    </font>
    <font>
      <i/>
      <sz val="11"/>
      <name val="Calibri"/>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sz val="10"/>
      <color theme="1"/>
      <name val="Calibri"/>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0"/>
      <name val="Arial"/>
      <family val="2"/>
    </font>
    <font>
      <sz val="10"/>
      <name val="Arial"/>
      <family val="2"/>
    </font>
    <font>
      <b/>
      <sz val="12"/>
      <name val="Arial"/>
      <family val="2"/>
    </font>
    <font>
      <i/>
      <sz val="8"/>
      <name val="Arial"/>
      <family val="2"/>
    </font>
    <font>
      <sz val="11"/>
      <name val="Century Gothic"/>
      <family val="2"/>
    </font>
    <font>
      <sz val="12"/>
      <name val="Helv"/>
    </font>
    <font>
      <sz val="10"/>
      <name val="Geneva"/>
    </font>
    <font>
      <b/>
      <sz val="10"/>
      <color indexed="18"/>
      <name val="Arial"/>
      <family val="2"/>
    </font>
    <font>
      <sz val="8"/>
      <color indexed="12"/>
      <name val="Helv"/>
    </font>
    <font>
      <sz val="10"/>
      <color indexed="8"/>
      <name val="Arial"/>
      <family val="2"/>
    </font>
    <font>
      <sz val="10"/>
      <color indexed="12"/>
      <name val="Arial"/>
      <family val="2"/>
    </font>
    <font>
      <sz val="7"/>
      <name val="Times New Roman"/>
      <family val="1"/>
    </font>
    <font>
      <b/>
      <sz val="1"/>
      <color indexed="8"/>
      <name val="Courier"/>
      <family val="3"/>
    </font>
    <font>
      <b/>
      <sz val="18"/>
      <color indexed="24"/>
      <name val="Arial"/>
      <family val="2"/>
    </font>
    <font>
      <b/>
      <sz val="12"/>
      <color indexed="24"/>
      <name val="Arial"/>
      <family val="2"/>
    </font>
    <font>
      <b/>
      <sz val="11"/>
      <color indexed="52"/>
      <name val="Calibri"/>
      <family val="2"/>
    </font>
    <font>
      <b/>
      <sz val="9"/>
      <color indexed="52"/>
      <name val="Arial"/>
      <family val="2"/>
    </font>
    <font>
      <b/>
      <sz val="11"/>
      <color indexed="51"/>
      <name val="Calibri"/>
      <family val="2"/>
    </font>
    <font>
      <sz val="11"/>
      <color indexed="51"/>
      <name val="Calibri"/>
      <family val="2"/>
    </font>
    <font>
      <sz val="11"/>
      <name val="Tms Rmn"/>
      <family val="1"/>
    </font>
    <font>
      <sz val="10"/>
      <color theme="1"/>
      <name val="Calibri"/>
      <family val="2"/>
      <scheme val="minor"/>
    </font>
    <font>
      <sz val="10"/>
      <color indexed="22"/>
      <name val="MS Sans Serif"/>
      <family val="2"/>
    </font>
    <font>
      <sz val="1"/>
      <color indexed="16"/>
      <name val="Courier"/>
      <family val="3"/>
    </font>
    <font>
      <sz val="1"/>
      <color indexed="8"/>
      <name val="Courier"/>
      <family val="3"/>
    </font>
    <font>
      <sz val="11"/>
      <color indexed="61"/>
      <name val="Calibri"/>
      <family val="2"/>
    </font>
    <font>
      <sz val="10"/>
      <color theme="1"/>
      <name val="Verdana"/>
      <family val="2"/>
    </font>
    <font>
      <sz val="10"/>
      <color indexed="17"/>
      <name val="Arial"/>
      <family val="2"/>
    </font>
    <font>
      <b/>
      <sz val="11"/>
      <color indexed="56"/>
      <name val="Arial"/>
      <family val="2"/>
    </font>
    <font>
      <u/>
      <sz val="7.5"/>
      <color indexed="12"/>
      <name val="Arial"/>
      <family val="2"/>
    </font>
    <font>
      <u/>
      <sz val="10"/>
      <color indexed="12"/>
      <name val="Arial"/>
      <family val="2"/>
    </font>
    <font>
      <u/>
      <sz val="7.5"/>
      <color theme="10"/>
      <name val="Arial"/>
      <family val="2"/>
    </font>
    <font>
      <i/>
      <sz val="9"/>
      <color indexed="54"/>
      <name val="Arial Narrow"/>
      <family val="2"/>
    </font>
    <font>
      <sz val="10"/>
      <name val="Courier"/>
      <family val="3"/>
    </font>
    <font>
      <sz val="9"/>
      <color indexed="62"/>
      <name val="Arial"/>
      <family val="2"/>
    </font>
    <font>
      <sz val="8"/>
      <color indexed="8"/>
      <name val="Helv"/>
    </font>
    <font>
      <sz val="10"/>
      <name val="Arial CE"/>
      <charset val="238"/>
    </font>
    <font>
      <sz val="10"/>
      <color indexed="20"/>
      <name val="Times New Roman"/>
      <family val="1"/>
    </font>
    <font>
      <sz val="10"/>
      <color indexed="8"/>
      <name val="MS Sans Serif"/>
      <family val="2"/>
    </font>
    <font>
      <sz val="10"/>
      <color indexed="8"/>
      <name val="Verdana"/>
      <family val="2"/>
    </font>
    <font>
      <sz val="7.9"/>
      <color indexed="8"/>
      <name val="Courier New"/>
      <family val="3"/>
    </font>
    <font>
      <sz val="10"/>
      <color indexed="24"/>
      <name val="Arial"/>
      <family val="2"/>
    </font>
    <font>
      <sz val="11"/>
      <color indexed="59"/>
      <name val="Calibri"/>
      <family val="2"/>
    </font>
    <font>
      <sz val="12"/>
      <name val="SWISS"/>
    </font>
    <font>
      <sz val="11"/>
      <color rgb="FF000000"/>
      <name val="Calibri"/>
      <family val="2"/>
    </font>
    <font>
      <sz val="10"/>
      <color indexed="0"/>
      <name val="Arial"/>
      <family val="2"/>
    </font>
    <font>
      <sz val="11"/>
      <color indexed="8"/>
      <name val="Calibri"/>
      <family val="2"/>
      <scheme val="minor"/>
    </font>
    <font>
      <sz val="10"/>
      <color theme="1"/>
      <name val="Arial"/>
      <family val="2"/>
    </font>
    <font>
      <sz val="11"/>
      <color theme="1"/>
      <name val="Arial"/>
      <family val="2"/>
    </font>
    <font>
      <sz val="11"/>
      <color rgb="FF000000"/>
      <name val="Calibri"/>
      <family val="2"/>
      <scheme val="minor"/>
    </font>
    <font>
      <sz val="10"/>
      <name val="굴림"/>
      <family val="3"/>
      <charset val="129"/>
    </font>
    <font>
      <sz val="9"/>
      <color indexed="8"/>
      <name val="Arial"/>
      <family val="2"/>
    </font>
    <font>
      <b/>
      <sz val="9"/>
      <color indexed="63"/>
      <name val="Arial"/>
      <family val="2"/>
    </font>
    <font>
      <sz val="10"/>
      <color indexed="10"/>
      <name val="Arial"/>
      <family val="2"/>
    </font>
    <font>
      <sz val="10"/>
      <color indexed="10"/>
      <name val="MS Sans Serif"/>
      <family val="2"/>
    </font>
    <font>
      <b/>
      <sz val="8"/>
      <color indexed="8"/>
      <name val="Arial"/>
      <family val="2"/>
    </font>
    <font>
      <sz val="7"/>
      <color indexed="8"/>
      <name val="Arial"/>
      <family val="2"/>
    </font>
    <font>
      <sz val="8"/>
      <color indexed="8"/>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
      <color indexed="18"/>
      <name val="Courier"/>
      <family val="3"/>
    </font>
    <font>
      <b/>
      <sz val="18"/>
      <color indexed="56"/>
      <name val="Cambria"/>
      <family val="2"/>
    </font>
    <font>
      <b/>
      <sz val="15"/>
      <color indexed="61"/>
      <name val="Calibri"/>
      <family val="2"/>
    </font>
    <font>
      <b/>
      <sz val="13"/>
      <color indexed="61"/>
      <name val="Calibri"/>
      <family val="2"/>
    </font>
    <font>
      <b/>
      <sz val="11"/>
      <color indexed="61"/>
      <name val="Calibri"/>
      <family val="2"/>
    </font>
    <font>
      <b/>
      <sz val="18"/>
      <color indexed="61"/>
      <name val="Cambria"/>
      <family val="2"/>
    </font>
    <font>
      <b/>
      <sz val="1"/>
      <color indexed="16"/>
      <name val="Courier"/>
      <family val="3"/>
    </font>
    <font>
      <b/>
      <sz val="12"/>
      <color indexed="10"/>
      <name val="Arial"/>
      <family val="2"/>
    </font>
    <font>
      <sz val="8"/>
      <name val="Helv"/>
    </font>
    <font>
      <sz val="10"/>
      <name val="Arial"/>
      <family val="2"/>
    </font>
    <font>
      <sz val="10"/>
      <color indexed="49"/>
      <name val="Calibri"/>
      <family val="2"/>
    </font>
    <font>
      <b/>
      <sz val="11"/>
      <color indexed="22"/>
      <name val="Calibri"/>
      <family val="2"/>
    </font>
    <font>
      <b/>
      <sz val="18"/>
      <color indexed="62"/>
      <name val="Cambria"/>
      <family val="2"/>
    </font>
    <font>
      <sz val="10"/>
      <color theme="3" tint="0.34998626667073579"/>
      <name val="Calibri"/>
      <family val="2"/>
      <scheme val="minor"/>
    </font>
    <font>
      <sz val="14"/>
      <color theme="1" tint="0.499984740745262"/>
      <name val="Calibri"/>
      <family val="2"/>
      <scheme val="minor"/>
    </font>
    <font>
      <sz val="10"/>
      <name val="Arial"/>
      <family val="2"/>
    </font>
    <font>
      <sz val="8"/>
      <name val="Calibri"/>
      <family val="2"/>
    </font>
    <font>
      <sz val="10"/>
      <name val="Arial"/>
      <family val="2"/>
    </font>
    <font>
      <sz val="8"/>
      <name val="Calibri"/>
      <family val="2"/>
      <scheme val="minor"/>
    </font>
    <font>
      <b/>
      <sz val="11"/>
      <color theme="0"/>
      <name val="Calibri"/>
      <family val="2"/>
    </font>
    <font>
      <sz val="8"/>
      <color rgb="FF000000"/>
      <name val="Segoe UI"/>
      <family val="2"/>
    </font>
    <font>
      <sz val="11"/>
      <name val="Calibri"/>
      <family val="2"/>
      <scheme val="minor"/>
    </font>
    <font>
      <sz val="8"/>
      <color theme="1"/>
      <name val="Calibri"/>
      <family val="2"/>
      <scheme val="minor"/>
    </font>
  </fonts>
  <fills count="87">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16"/>
        <bgColor indexed="64"/>
      </patternFill>
    </fill>
    <fill>
      <patternFill patternType="solid">
        <fgColor indexed="8"/>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499984740745262"/>
        <bgColor indexed="64"/>
      </patternFill>
    </fill>
    <fill>
      <patternFill patternType="solid">
        <fgColor theme="0"/>
        <bgColor indexed="64"/>
      </patternFill>
    </fill>
    <fill>
      <patternFill patternType="solid">
        <fgColor indexed="26"/>
      </patternFill>
    </fill>
    <fill>
      <patternFill patternType="solid">
        <fgColor indexed="22"/>
      </patternFill>
    </fill>
    <fill>
      <patternFill patternType="solid">
        <fgColor indexed="48"/>
      </patternFill>
    </fill>
    <fill>
      <patternFill patternType="solid">
        <fgColor indexed="9"/>
      </patternFill>
    </fill>
    <fill>
      <patternFill patternType="solid">
        <fgColor indexed="63"/>
      </patternFill>
    </fill>
    <fill>
      <patternFill patternType="gray0625"/>
    </fill>
    <fill>
      <patternFill patternType="solid">
        <fgColor indexed="56"/>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40"/>
      </patternFill>
    </fill>
    <fill>
      <patternFill patternType="solid">
        <fgColor indexed="41"/>
        <bgColor indexed="64"/>
      </patternFill>
    </fill>
    <fill>
      <patternFill patternType="solid">
        <fgColor indexed="15"/>
      </patternFill>
    </fill>
    <fill>
      <patternFill patternType="solid">
        <fgColor indexed="54"/>
      </patternFill>
    </fill>
    <fill>
      <patternFill patternType="solid">
        <fgColor theme="1" tint="4.9989318521683403E-2"/>
        <bgColor indexed="64"/>
      </patternFill>
    </fill>
  </fills>
  <borders count="68">
    <border>
      <left/>
      <right/>
      <top/>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dotted">
        <color indexed="64"/>
      </bottom>
      <diagonal/>
    </border>
    <border>
      <left style="thin">
        <color indexed="64"/>
      </left>
      <right style="medium">
        <color indexed="64"/>
      </right>
      <top/>
      <bottom/>
      <diagonal/>
    </border>
    <border>
      <left/>
      <right/>
      <top/>
      <bottom style="thick">
        <color indexed="54"/>
      </bottom>
      <diagonal/>
    </border>
    <border>
      <left/>
      <right/>
      <top/>
      <bottom style="thick">
        <color indexed="4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thin">
        <color indexed="55"/>
      </left>
      <right style="thin">
        <color indexed="55"/>
      </right>
      <top style="thin">
        <color indexed="55"/>
      </top>
      <bottom style="thin">
        <color indexed="55"/>
      </bottom>
      <diagonal/>
    </border>
    <border>
      <left/>
      <right/>
      <top/>
      <bottom style="thin">
        <color indexed="5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bottom/>
      <diagonal/>
    </border>
    <border>
      <left style="double">
        <color indexed="64"/>
      </left>
      <right/>
      <top style="double">
        <color indexed="64"/>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2"/>
      </left>
      <right style="double">
        <color indexed="62"/>
      </right>
      <top style="double">
        <color indexed="62"/>
      </top>
      <bottom style="double">
        <color indexed="62"/>
      </bottom>
      <diagonal/>
    </border>
    <border>
      <left/>
      <right/>
      <top/>
      <bottom style="double">
        <color indexed="51"/>
      </bottom>
      <diagonal/>
    </border>
    <border>
      <left/>
      <right/>
      <top style="thin">
        <color indexed="64"/>
      </top>
      <bottom style="thick">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62"/>
      </left>
      <right style="thin">
        <color indexed="62"/>
      </right>
      <top style="thin">
        <color indexed="62"/>
      </top>
      <bottom style="thin">
        <color indexed="62"/>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indexed="48"/>
      </bottom>
      <diagonal/>
    </border>
    <border>
      <left/>
      <right/>
      <top/>
      <bottom style="medium">
        <color indexed="48"/>
      </bottom>
      <diagonal/>
    </border>
    <border>
      <left style="medium">
        <color indexed="64"/>
      </left>
      <right style="hair">
        <color indexed="64"/>
      </right>
      <top style="hair">
        <color indexed="64"/>
      </top>
      <bottom style="hair">
        <color indexed="64"/>
      </bottom>
      <diagonal/>
    </border>
    <border>
      <left/>
      <right/>
      <top style="thin">
        <color indexed="64"/>
      </top>
      <bottom style="double">
        <color indexed="64"/>
      </bottom>
      <diagonal/>
    </border>
    <border>
      <left/>
      <right/>
      <top style="thin">
        <color indexed="48"/>
      </top>
      <bottom style="double">
        <color indexed="48"/>
      </bottom>
      <diagonal/>
    </border>
    <border>
      <left/>
      <right/>
      <top style="thin">
        <color indexed="62"/>
      </top>
      <bottom style="double">
        <color indexed="62"/>
      </bottom>
      <diagonal/>
    </border>
    <border>
      <left style="thin">
        <color indexed="62"/>
      </left>
      <right style="thin">
        <color indexed="62"/>
      </right>
      <top style="thin">
        <color indexed="62"/>
      </top>
      <bottom style="thin">
        <color indexed="62"/>
      </bottom>
      <diagonal/>
    </border>
    <border>
      <left style="thin">
        <color indexed="48"/>
      </left>
      <right style="thin">
        <color indexed="48"/>
      </right>
      <top style="thin">
        <color indexed="48"/>
      </top>
      <bottom style="thin">
        <color indexed="48"/>
      </bottom>
      <diagonal/>
    </border>
    <border>
      <left/>
      <right/>
      <top style="thin">
        <color indexed="48"/>
      </top>
      <bottom style="double">
        <color indexed="48"/>
      </bottom>
      <diagonal/>
    </border>
    <border>
      <left/>
      <right/>
      <top style="thin">
        <color indexed="62"/>
      </top>
      <bottom style="double">
        <color indexed="62"/>
      </bottom>
      <diagonal/>
    </border>
    <border>
      <left style="thin">
        <color indexed="55"/>
      </left>
      <right style="thin">
        <color indexed="55"/>
      </right>
      <top style="thin">
        <color indexed="55"/>
      </top>
      <bottom style="thin">
        <color indexed="55"/>
      </bottom>
      <diagonal/>
    </border>
    <border>
      <left/>
      <right/>
      <top style="thin">
        <color indexed="64"/>
      </top>
      <bottom style="thin">
        <color indexed="64"/>
      </bottom>
      <diagonal/>
    </border>
    <border>
      <left style="double">
        <color indexed="22"/>
      </left>
      <right style="double">
        <color indexed="22"/>
      </right>
      <top style="double">
        <color indexed="22"/>
      </top>
      <bottom style="double">
        <color indexed="22"/>
      </bottom>
      <diagonal/>
    </border>
    <border>
      <left/>
      <right/>
      <top/>
      <bottom style="thick">
        <color indexed="49"/>
      </bottom>
      <diagonal/>
    </border>
    <border>
      <left/>
      <right/>
      <top/>
      <bottom style="thick">
        <color indexed="63"/>
      </bottom>
      <diagonal/>
    </border>
    <border>
      <left/>
      <right/>
      <top/>
      <bottom style="medium">
        <color indexed="49"/>
      </bottom>
      <diagonal/>
    </border>
    <border>
      <left/>
      <right/>
      <top style="thin">
        <color indexed="49"/>
      </top>
      <bottom style="double">
        <color indexed="49"/>
      </bottom>
      <diagonal/>
    </border>
    <border>
      <left/>
      <right/>
      <top style="thin">
        <color indexed="54"/>
      </top>
      <bottom style="double">
        <color indexed="54"/>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double">
        <color indexed="55"/>
      </top>
      <bottom style="medium">
        <color indexed="55"/>
      </bottom>
      <diagonal/>
    </border>
    <border>
      <left style="thin">
        <color indexed="55"/>
      </left>
      <right style="thin">
        <color indexed="55"/>
      </right>
      <top style="thin">
        <color indexed="55"/>
      </top>
      <bottom/>
      <diagonal/>
    </border>
    <border>
      <left style="thin">
        <color indexed="55"/>
      </left>
      <right style="thin">
        <color indexed="55"/>
      </right>
      <top style="thin">
        <color indexed="55"/>
      </top>
      <bottom style="thin">
        <color theme="0" tint="-0.34998626667073579"/>
      </bottom>
      <diagonal/>
    </border>
  </borders>
  <cellStyleXfs count="33644">
    <xf numFmtId="0" fontId="0" fillId="0" borderId="0"/>
    <xf numFmtId="171" fontId="22" fillId="0" borderId="0" applyFont="0" applyFill="0" applyBorder="0" applyAlignment="0" applyProtection="0"/>
    <xf numFmtId="172" fontId="22" fillId="0" borderId="0" applyFont="0" applyFill="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170" fontId="1" fillId="5" borderId="0" applyNumberFormat="0" applyBorder="0" applyAlignment="0" applyProtection="0"/>
    <xf numFmtId="170" fontId="1" fillId="6" borderId="0" applyNumberFormat="0" applyBorder="0" applyAlignment="0" applyProtection="0"/>
    <xf numFmtId="170" fontId="1" fillId="7" borderId="0" applyNumberFormat="0" applyBorder="0" applyAlignment="0" applyProtection="0"/>
    <xf numFmtId="170" fontId="1" fillId="8" borderId="0" applyNumberFormat="0" applyBorder="0" applyAlignment="0" applyProtection="0"/>
    <xf numFmtId="170" fontId="1" fillId="9" borderId="0" applyNumberFormat="0" applyBorder="0" applyAlignment="0" applyProtection="0"/>
    <xf numFmtId="170" fontId="1" fillId="10"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60" fillId="43" borderId="0" applyNumberFormat="0" applyBorder="0" applyAlignment="0" applyProtection="0"/>
    <xf numFmtId="0" fontId="20" fillId="4"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20" fillId="4" borderId="0" applyNumberFormat="0" applyBorder="0" applyAlignment="0" applyProtection="0"/>
    <xf numFmtId="0" fontId="20" fillId="13" borderId="0" applyNumberFormat="0" applyBorder="0" applyAlignment="0" applyProtection="0"/>
    <xf numFmtId="170" fontId="1" fillId="14" borderId="0" applyNumberFormat="0" applyBorder="0" applyAlignment="0" applyProtection="0"/>
    <xf numFmtId="170" fontId="1" fillId="15" borderId="0" applyNumberFormat="0" applyBorder="0" applyAlignment="0" applyProtection="0"/>
    <xf numFmtId="170" fontId="1" fillId="16" borderId="0" applyNumberFormat="0" applyBorder="0" applyAlignment="0" applyProtection="0"/>
    <xf numFmtId="170" fontId="1" fillId="8" borderId="0" applyNumberFormat="0" applyBorder="0" applyAlignment="0" applyProtection="0"/>
    <xf numFmtId="170" fontId="1" fillId="14" borderId="0" applyNumberFormat="0" applyBorder="0" applyAlignment="0" applyProtection="0"/>
    <xf numFmtId="170" fontId="1" fillId="17" borderId="0" applyNumberFormat="0" applyBorder="0" applyAlignment="0" applyProtection="0"/>
    <xf numFmtId="0" fontId="60" fillId="44"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7" borderId="0" applyNumberFormat="0" applyBorder="0" applyAlignment="0" applyProtection="0"/>
    <xf numFmtId="0" fontId="60" fillId="48" borderId="0" applyNumberFormat="0" applyBorder="0" applyAlignment="0" applyProtection="0"/>
    <xf numFmtId="0" fontId="60" fillId="49"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170" fontId="8" fillId="20" borderId="0" applyNumberFormat="0" applyBorder="0" applyAlignment="0" applyProtection="0"/>
    <xf numFmtId="170" fontId="8" fillId="15" borderId="0" applyNumberFormat="0" applyBorder="0" applyAlignment="0" applyProtection="0"/>
    <xf numFmtId="170" fontId="8" fillId="16" borderId="0" applyNumberFormat="0" applyBorder="0" applyAlignment="0" applyProtection="0"/>
    <xf numFmtId="170" fontId="8" fillId="21" borderId="0" applyNumberFormat="0" applyBorder="0" applyAlignment="0" applyProtection="0"/>
    <xf numFmtId="170" fontId="8" fillId="22" borderId="0" applyNumberFormat="0" applyBorder="0" applyAlignment="0" applyProtection="0"/>
    <xf numFmtId="170" fontId="8" fillId="23"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61" fillId="54" borderId="0" applyNumberFormat="0" applyBorder="0" applyAlignment="0" applyProtection="0"/>
    <xf numFmtId="0" fontId="61" fillId="55"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42" fillId="13" borderId="0" applyNumberFormat="0" applyBorder="0" applyAlignment="0" applyProtection="0"/>
    <xf numFmtId="170" fontId="23" fillId="0" borderId="1" applyNumberFormat="0" applyFill="0" applyAlignment="0" applyProtection="0"/>
    <xf numFmtId="0" fontId="62" fillId="56" borderId="0" applyNumberFormat="0" applyBorder="0" applyAlignment="0" applyProtection="0"/>
    <xf numFmtId="173" fontId="22" fillId="0" borderId="0" applyFont="0" applyFill="0" applyBorder="0" applyAlignment="0" applyProtection="0"/>
    <xf numFmtId="170" fontId="17" fillId="0" borderId="2" applyNumberFormat="0" applyFill="0" applyAlignment="0" applyProtection="0"/>
    <xf numFmtId="170" fontId="18" fillId="0" borderId="3" applyNumberFormat="0" applyFill="0" applyAlignment="0" applyProtection="0"/>
    <xf numFmtId="170" fontId="19" fillId="0" borderId="4" applyNumberFormat="0" applyFill="0" applyAlignment="0" applyProtection="0"/>
    <xf numFmtId="170" fontId="19" fillId="0" borderId="0" applyNumberFormat="0" applyFill="0" applyBorder="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43" fillId="28" borderId="5" applyNumberFormat="0" applyAlignment="0" applyProtection="0"/>
    <xf numFmtId="0" fontId="63" fillId="57" borderId="18" applyNumberFormat="0" applyAlignment="0" applyProtection="0"/>
    <xf numFmtId="0" fontId="64" fillId="58" borderId="19" applyNumberFormat="0" applyAlignment="0" applyProtection="0"/>
    <xf numFmtId="170" fontId="11" fillId="0" borderId="7" applyNumberFormat="0" applyFill="0" applyAlignment="0" applyProtection="0"/>
    <xf numFmtId="0" fontId="65" fillId="0" borderId="20" applyNumberFormat="0" applyFill="0" applyAlignment="0" applyProtection="0"/>
    <xf numFmtId="0" fontId="10" fillId="26" borderId="6" applyNumberFormat="0" applyAlignment="0" applyProtection="0"/>
    <xf numFmtId="174" fontId="24" fillId="0" borderId="0"/>
    <xf numFmtId="174" fontId="24" fillId="0" borderId="0"/>
    <xf numFmtId="174" fontId="24" fillId="0" borderId="0"/>
    <xf numFmtId="174" fontId="24" fillId="0" borderId="0"/>
    <xf numFmtId="174" fontId="24" fillId="0" borderId="0"/>
    <xf numFmtId="174" fontId="24" fillId="0" borderId="0"/>
    <xf numFmtId="174" fontId="24" fillId="0" borderId="0"/>
    <xf numFmtId="174" fontId="24" fillId="0" borderId="0"/>
    <xf numFmtId="192" fontId="3" fillId="0" borderId="0" applyFont="0" applyFill="0" applyBorder="0" applyAlignment="0" applyProtection="0"/>
    <xf numFmtId="175" fontId="25" fillId="0" borderId="0" applyFont="0" applyFill="0" applyBorder="0" applyAlignment="0" applyProtection="0">
      <alignment horizontal="right"/>
    </xf>
    <xf numFmtId="176" fontId="25" fillId="0" borderId="0" applyFont="0" applyFill="0" applyBorder="0" applyAlignment="0" applyProtection="0"/>
    <xf numFmtId="177" fontId="25" fillId="0" borderId="0" applyFont="0" applyFill="0" applyBorder="0" applyAlignment="0" applyProtection="0">
      <alignment horizontal="right"/>
    </xf>
    <xf numFmtId="178" fontId="25" fillId="0" borderId="0" applyFont="0" applyFill="0" applyBorder="0" applyAlignment="0" applyProtection="0"/>
    <xf numFmtId="165" fontId="3" fillId="0" borderId="0" applyFont="0" applyFill="0" applyBorder="0" applyAlignment="0" applyProtection="0"/>
    <xf numFmtId="193" fontId="3" fillId="0" borderId="0" applyFont="0" applyFill="0" applyBorder="0" applyAlignment="0" applyProtection="0"/>
    <xf numFmtId="170" fontId="8" fillId="30" borderId="0" applyNumberFormat="0" applyBorder="0" applyAlignment="0" applyProtection="0"/>
    <xf numFmtId="170" fontId="8" fillId="31" borderId="0" applyNumberFormat="0" applyBorder="0" applyAlignment="0" applyProtection="0"/>
    <xf numFmtId="170" fontId="8" fillId="32" borderId="0" applyNumberFormat="0" applyBorder="0" applyAlignment="0" applyProtection="0"/>
    <xf numFmtId="170" fontId="8" fillId="21" borderId="0" applyNumberFormat="0" applyBorder="0" applyAlignment="0" applyProtection="0"/>
    <xf numFmtId="170" fontId="8" fillId="22" borderId="0" applyNumberFormat="0" applyBorder="0" applyAlignment="0" applyProtection="0"/>
    <xf numFmtId="170" fontId="8" fillId="33" borderId="0" applyNumberFormat="0" applyBorder="0" applyAlignment="0" applyProtection="0"/>
    <xf numFmtId="170" fontId="9" fillId="7" borderId="0" applyNumberFormat="0" applyBorder="0" applyAlignment="0" applyProtection="0"/>
    <xf numFmtId="9" fontId="32" fillId="0" borderId="0" applyFont="0" applyFill="0" applyBorder="0" applyAlignment="0" applyProtection="0"/>
    <xf numFmtId="179" fontId="25" fillId="0" borderId="0" applyFont="0" applyFill="0" applyBorder="0" applyAlignment="0" applyProtection="0">
      <alignment horizontal="right"/>
    </xf>
    <xf numFmtId="180" fontId="25" fillId="0" borderId="0" applyFont="0" applyFill="0" applyBorder="0" applyAlignment="0" applyProtection="0">
      <alignment horizontal="right"/>
    </xf>
    <xf numFmtId="181" fontId="26" fillId="0" borderId="0" applyFont="0" applyFill="0" applyBorder="0" applyAlignment="0" applyProtection="0"/>
    <xf numFmtId="167" fontId="32" fillId="0" borderId="0" applyFont="0" applyFill="0" applyBorder="0" applyAlignment="0" applyProtection="0"/>
    <xf numFmtId="182" fontId="22" fillId="0" borderId="0" applyFont="0" applyFill="0" applyBorder="0" applyAlignment="0" applyProtection="0"/>
    <xf numFmtId="183" fontId="25" fillId="0" borderId="0" applyFont="0" applyFill="0" applyBorder="0" applyAlignment="0" applyProtection="0"/>
    <xf numFmtId="184" fontId="25" fillId="0" borderId="0" applyFont="0" applyFill="0" applyBorder="0" applyAlignment="0" applyProtection="0"/>
    <xf numFmtId="185" fontId="25" fillId="0" borderId="8" applyNumberFormat="0" applyFont="0" applyFill="0" applyAlignment="0" applyProtection="0"/>
    <xf numFmtId="166" fontId="6" fillId="0" borderId="9" applyFill="0" applyBorder="0" applyAlignment="0">
      <alignment horizontal="centerContinuous"/>
    </xf>
    <xf numFmtId="0" fontId="61" fillId="59" borderId="0" applyNumberFormat="0" applyBorder="0" applyAlignment="0" applyProtection="0"/>
    <xf numFmtId="0" fontId="61" fillId="60" borderId="0" applyNumberFormat="0" applyBorder="0" applyAlignment="0" applyProtection="0"/>
    <xf numFmtId="0" fontId="61" fillId="61" borderId="0" applyNumberFormat="0" applyBorder="0" applyAlignment="0" applyProtection="0"/>
    <xf numFmtId="0" fontId="61" fillId="62" borderId="0" applyNumberFormat="0" applyBorder="0" applyAlignment="0" applyProtection="0"/>
    <xf numFmtId="0" fontId="61" fillId="63" borderId="0" applyNumberFormat="0" applyBorder="0" applyAlignment="0" applyProtection="0"/>
    <xf numFmtId="0" fontId="61" fillId="64" borderId="0" applyNumberFormat="0" applyBorder="0" applyAlignment="0" applyProtection="0"/>
    <xf numFmtId="0" fontId="66" fillId="65" borderId="18" applyNumberFormat="0" applyAlignment="0" applyProtection="0"/>
    <xf numFmtId="170" fontId="3" fillId="0" borderId="0" applyFont="0" applyFill="0" applyBorder="0" applyAlignment="0" applyProtection="0"/>
    <xf numFmtId="170" fontId="3" fillId="0" borderId="0" applyFont="0" applyFill="0" applyBorder="0" applyAlignment="0" applyProtection="0"/>
    <xf numFmtId="195" fontId="3" fillId="0" borderId="0" applyFont="0" applyFill="0" applyBorder="0" applyAlignment="0" applyProtection="0"/>
    <xf numFmtId="170" fontId="3" fillId="0" borderId="0" applyFont="0" applyFill="0" applyBorder="0" applyAlignment="0" applyProtection="0"/>
    <xf numFmtId="195" fontId="3" fillId="0" borderId="0" applyFont="0" applyFill="0" applyBorder="0" applyAlignment="0" applyProtection="0"/>
    <xf numFmtId="17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16" fillId="0" borderId="0" applyNumberFormat="0" applyFill="0" applyBorder="0" applyAlignment="0" applyProtection="0"/>
    <xf numFmtId="170" fontId="27" fillId="0" borderId="0" applyNumberFormat="0" applyFill="0" applyBorder="0" applyAlignment="0" applyProtection="0"/>
    <xf numFmtId="170" fontId="28" fillId="0" borderId="0" applyFill="0" applyBorder="0" applyProtection="0">
      <alignment horizontal="left"/>
    </xf>
    <xf numFmtId="0" fontId="9" fillId="12" borderId="0" applyNumberFormat="0" applyBorder="0" applyAlignment="0" applyProtection="0"/>
    <xf numFmtId="186" fontId="25" fillId="0" borderId="0" applyFont="0" applyFill="0" applyBorder="0" applyAlignment="0" applyProtection="0">
      <alignment horizontal="right"/>
    </xf>
    <xf numFmtId="170" fontId="29" fillId="0" borderId="0" applyProtection="0">
      <alignment horizontal="right"/>
    </xf>
    <xf numFmtId="0" fontId="44" fillId="0" borderId="10" applyNumberFormat="0" applyFill="0" applyAlignment="0" applyProtection="0"/>
    <xf numFmtId="170" fontId="30" fillId="0" borderId="0" applyProtection="0">
      <alignment horizontal="left"/>
    </xf>
    <xf numFmtId="0" fontId="56" fillId="0" borderId="11" applyNumberFormat="0" applyFill="0" applyAlignment="0" applyProtection="0"/>
    <xf numFmtId="170" fontId="31" fillId="0" borderId="0" applyProtection="0">
      <alignment horizontal="left"/>
    </xf>
    <xf numFmtId="0" fontId="45" fillId="0" borderId="12" applyNumberFormat="0" applyFill="0" applyAlignment="0" applyProtection="0"/>
    <xf numFmtId="0" fontId="45" fillId="0" borderId="0" applyNumberFormat="0" applyFill="0" applyBorder="0" applyAlignment="0" applyProtection="0"/>
    <xf numFmtId="170" fontId="12" fillId="6" borderId="0" applyNumberFormat="0" applyBorder="0" applyAlignment="0" applyProtection="0"/>
    <xf numFmtId="0" fontId="67" fillId="66" borderId="0" applyNumberFormat="0" applyBorder="0" applyAlignment="0" applyProtection="0"/>
    <xf numFmtId="170" fontId="32" fillId="14" borderId="0" applyNumberFormat="0" applyFont="0" applyBorder="0" applyAlignment="0">
      <protection locked="0"/>
    </xf>
    <xf numFmtId="0" fontId="55" fillId="13" borderId="5" applyNumberFormat="0" applyAlignment="0" applyProtection="0"/>
    <xf numFmtId="0" fontId="46" fillId="0" borderId="7" applyNumberFormat="0" applyFill="0" applyAlignment="0" applyProtection="0"/>
    <xf numFmtId="167" fontId="3" fillId="0" borderId="0" applyFont="0" applyFill="0" applyBorder="0" applyAlignment="0" applyProtection="0"/>
    <xf numFmtId="187" fontId="1" fillId="0" borderId="0" applyFont="0" applyFill="0" applyBorder="0" applyAlignment="0" applyProtection="0"/>
    <xf numFmtId="167" fontId="3" fillId="0" borderId="0" applyFont="0" applyFill="0" applyBorder="0" applyAlignment="0" applyProtection="0"/>
    <xf numFmtId="188" fontId="25" fillId="0" borderId="0" applyFont="0" applyFill="0" applyBorder="0" applyAlignment="0" applyProtection="0">
      <alignment horizontal="right"/>
    </xf>
    <xf numFmtId="0" fontId="47" fillId="35" borderId="0" applyNumberFormat="0" applyBorder="0" applyAlignment="0" applyProtection="0"/>
    <xf numFmtId="170" fontId="13" fillId="34" borderId="0" applyNumberFormat="0" applyBorder="0" applyAlignment="0" applyProtection="0"/>
    <xf numFmtId="189" fontId="3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3" fillId="0" borderId="0"/>
    <xf numFmtId="0" fontId="60" fillId="0" borderId="0"/>
    <xf numFmtId="0" fontId="60" fillId="0" borderId="0"/>
    <xf numFmtId="0" fontId="60" fillId="0" borderId="0"/>
    <xf numFmtId="0" fontId="60" fillId="0" borderId="0"/>
    <xf numFmtId="170" fontId="3"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1" fillId="0" borderId="0"/>
    <xf numFmtId="0" fontId="1" fillId="0" borderId="0"/>
    <xf numFmtId="0" fontId="60" fillId="0" borderId="0"/>
    <xf numFmtId="0" fontId="60" fillId="0" borderId="0"/>
    <xf numFmtId="170" fontId="21" fillId="0" borderId="0"/>
    <xf numFmtId="170" fontId="3" fillId="0" borderId="0"/>
    <xf numFmtId="170" fontId="21" fillId="0" borderId="0"/>
    <xf numFmtId="170" fontId="3" fillId="0" borderId="0"/>
    <xf numFmtId="0" fontId="3" fillId="0" borderId="0"/>
    <xf numFmtId="0" fontId="3" fillId="0" borderId="0"/>
    <xf numFmtId="0" fontId="3" fillId="0" borderId="0"/>
    <xf numFmtId="170" fontId="3" fillId="0" borderId="0"/>
    <xf numFmtId="0" fontId="3" fillId="0" borderId="0"/>
    <xf numFmtId="170" fontId="3" fillId="0" borderId="0"/>
    <xf numFmtId="0" fontId="4" fillId="0" borderId="0"/>
    <xf numFmtId="170" fontId="3" fillId="0" borderId="0"/>
    <xf numFmtId="0" fontId="3" fillId="0" borderId="0"/>
    <xf numFmtId="0" fontId="6" fillId="0" borderId="0"/>
    <xf numFmtId="170" fontId="3"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2" fillId="0" borderId="0"/>
    <xf numFmtId="0" fontId="2" fillId="0" borderId="0"/>
    <xf numFmtId="0" fontId="2"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170" fontId="3" fillId="0" borderId="0"/>
    <xf numFmtId="0" fontId="1" fillId="0" borderId="0"/>
    <xf numFmtId="0" fontId="1"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60" fillId="0" borderId="0"/>
    <xf numFmtId="170" fontId="1"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5" fillId="0" borderId="0"/>
    <xf numFmtId="0" fontId="60" fillId="0" borderId="0"/>
    <xf numFmtId="0" fontId="60" fillId="0" borderId="0"/>
    <xf numFmtId="0" fontId="69" fillId="0" borderId="0"/>
    <xf numFmtId="0" fontId="60"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170" fontId="3" fillId="0" borderId="0"/>
    <xf numFmtId="0" fontId="1" fillId="0" borderId="0"/>
    <xf numFmtId="0" fontId="1" fillId="0" borderId="0"/>
    <xf numFmtId="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0" fontId="3" fillId="0" borderId="0"/>
    <xf numFmtId="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170" fontId="21" fillId="0" borderId="0"/>
    <xf numFmtId="17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68" borderId="21" applyNumberFormat="0" applyFont="0" applyAlignment="0" applyProtection="0"/>
    <xf numFmtId="0" fontId="49"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0" fontId="14" fillId="28" borderId="14" applyNumberFormat="0" applyAlignment="0" applyProtection="0"/>
    <xf numFmtId="1" fontId="34" fillId="0" borderId="0" applyProtection="0">
      <alignment horizontal="right" vertical="center"/>
    </xf>
    <xf numFmtId="9" fontId="3" fillId="0" borderId="0" applyFont="0" applyFill="0" applyBorder="0" applyAlignment="0" applyProtection="0"/>
    <xf numFmtId="168" fontId="7" fillId="0" borderId="0" applyFill="0" applyBorder="0" applyAlignment="0">
      <alignment horizontal="left"/>
    </xf>
    <xf numFmtId="169" fontId="7" fillId="0" borderId="0" applyBorder="0" applyAlignment="0">
      <alignment horizontal="right"/>
    </xf>
    <xf numFmtId="9" fontId="49"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90" fontId="36" fillId="0" borderId="0">
      <alignment horizontal="right"/>
    </xf>
    <xf numFmtId="0" fontId="70" fillId="57" borderId="22" applyNumberFormat="0" applyAlignment="0" applyProtection="0"/>
    <xf numFmtId="38" fontId="3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49"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0" fontId="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95" fontId="3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applyFont="0" applyFill="0" applyBorder="0" applyAlignment="0" applyProtection="0"/>
    <xf numFmtId="43" fontId="51" fillId="0" borderId="0" applyFont="0" applyFill="0" applyBorder="0" applyAlignment="0" applyProtection="0"/>
    <xf numFmtId="170" fontId="35"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70" fontId="38" fillId="0" borderId="0" applyBorder="0" applyProtection="0">
      <alignment vertical="center"/>
    </xf>
    <xf numFmtId="185" fontId="38" fillId="0" borderId="1" applyBorder="0" applyProtection="0">
      <alignment horizontal="right" vertical="center"/>
    </xf>
    <xf numFmtId="170" fontId="39" fillId="36" borderId="0" applyBorder="0" applyProtection="0">
      <alignment horizontal="centerContinuous" vertical="center"/>
    </xf>
    <xf numFmtId="170" fontId="39" fillId="37" borderId="1" applyBorder="0" applyProtection="0">
      <alignment horizontal="centerContinuous" vertical="center"/>
    </xf>
    <xf numFmtId="170" fontId="40" fillId="0" borderId="0" applyFill="0" applyBorder="0" applyProtection="0">
      <alignment horizontal="left"/>
    </xf>
    <xf numFmtId="170" fontId="28" fillId="0" borderId="15" applyFill="0" applyBorder="0" applyProtection="0">
      <alignment horizontal="left" vertical="top"/>
    </xf>
    <xf numFmtId="0" fontId="71" fillId="0" borderId="0" applyNumberFormat="0" applyFill="0" applyBorder="0" applyAlignment="0" applyProtection="0"/>
    <xf numFmtId="0" fontId="72" fillId="0" borderId="0" applyNumberFormat="0" applyFill="0" applyBorder="0" applyAlignment="0" applyProtection="0"/>
    <xf numFmtId="0" fontId="48" fillId="0" borderId="0" applyNumberFormat="0" applyFill="0" applyBorder="0" applyAlignment="0" applyProtection="0"/>
    <xf numFmtId="0" fontId="73" fillId="0" borderId="0" applyNumberFormat="0" applyFill="0" applyBorder="0" applyAlignment="0" applyProtection="0"/>
    <xf numFmtId="0" fontId="74" fillId="0" borderId="23" applyNumberFormat="0" applyFill="0" applyAlignment="0" applyProtection="0"/>
    <xf numFmtId="0" fontId="75" fillId="0" borderId="24" applyNumberFormat="0" applyFill="0" applyAlignment="0" applyProtection="0"/>
    <xf numFmtId="0" fontId="76" fillId="0" borderId="25" applyNumberFormat="0" applyFill="0" applyAlignment="0" applyProtection="0"/>
    <xf numFmtId="0" fontId="76" fillId="0" borderId="0" applyNumberFormat="0" applyFill="0" applyBorder="0" applyAlignment="0" applyProtection="0"/>
    <xf numFmtId="0" fontId="77" fillId="0" borderId="26" applyNumberFormat="0" applyFill="0" applyAlignment="0" applyProtection="0"/>
    <xf numFmtId="170" fontId="10" fillId="29" borderId="6" applyNumberFormat="0" applyAlignment="0" applyProtection="0"/>
    <xf numFmtId="43" fontId="57"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96" fontId="3" fillId="0" borderId="0" applyFont="0" applyFill="0" applyBorder="0" applyAlignment="0" applyProtection="0"/>
    <xf numFmtId="43" fontId="49" fillId="0" borderId="0" applyFont="0" applyFill="0" applyBorder="0" applyAlignment="0" applyProtection="0"/>
    <xf numFmtId="43" fontId="3" fillId="0" borderId="0" quotePrefix="1" applyFont="0" applyFill="0" applyBorder="0" applyAlignment="0">
      <protection locked="0"/>
    </xf>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3"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0" fontId="15" fillId="0" borderId="0" applyNumberFormat="0" applyFill="0" applyBorder="0" applyAlignment="0" applyProtection="0"/>
    <xf numFmtId="0" fontId="79" fillId="0" borderId="0"/>
    <xf numFmtId="0" fontId="3" fillId="0" borderId="0"/>
    <xf numFmtId="0" fontId="81" fillId="0" borderId="0"/>
    <xf numFmtId="0" fontId="81" fillId="0" borderId="0"/>
    <xf numFmtId="0" fontId="81" fillId="0" borderId="0"/>
    <xf numFmtId="0" fontId="1" fillId="5"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1" fillId="6"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 fillId="8"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 fillId="9"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1" fillId="10"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10"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7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4" fontId="82" fillId="0" borderId="28" applyNumberFormat="0" applyBorder="0" applyAlignment="0"/>
    <xf numFmtId="0" fontId="1" fillId="1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 fillId="15"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 fillId="16"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1"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 fillId="17"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34"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8"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8" fillId="20"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22"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72"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37" fontId="83" fillId="0" borderId="0"/>
    <xf numFmtId="37" fontId="3" fillId="0" borderId="0"/>
    <xf numFmtId="37" fontId="3" fillId="0" borderId="0"/>
    <xf numFmtId="37" fontId="3" fillId="0" borderId="0"/>
    <xf numFmtId="0" fontId="8" fillId="3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3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3" fillId="0" borderId="0"/>
    <xf numFmtId="0" fontId="3" fillId="0" borderId="0"/>
    <xf numFmtId="0" fontId="84" fillId="0" borderId="0"/>
    <xf numFmtId="14" fontId="85" fillId="12" borderId="29" applyNumberFormat="0" applyFont="0" applyBorder="0" applyAlignment="0" applyProtection="0">
      <alignment horizontal="center" vertical="center"/>
    </xf>
    <xf numFmtId="0" fontId="86" fillId="0" borderId="30">
      <protection hidden="1"/>
    </xf>
    <xf numFmtId="0" fontId="84" fillId="72" borderId="30" applyNumberFormat="0" applyFont="0" applyBorder="0" applyAlignment="0" applyProtection="0">
      <protection hidden="1"/>
    </xf>
    <xf numFmtId="0" fontId="86" fillId="0" borderId="30">
      <protection hidden="1"/>
    </xf>
    <xf numFmtId="0" fontId="12" fillId="6" borderId="0" applyNumberFormat="0" applyBorder="0" applyAlignment="0" applyProtection="0"/>
    <xf numFmtId="0" fontId="42" fillId="13" borderId="0" applyNumberFormat="0" applyBorder="0" applyAlignment="0" applyProtection="0"/>
    <xf numFmtId="0" fontId="42" fillId="13" borderId="0" applyNumberFormat="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23" fillId="0" borderId="1" applyNumberFormat="0" applyFill="0" applyAlignment="0" applyProtection="0"/>
    <xf numFmtId="199" fontId="6" fillId="0" borderId="0">
      <alignment vertical="top"/>
    </xf>
    <xf numFmtId="199" fontId="89" fillId="0" borderId="0">
      <alignment horizontal="right"/>
    </xf>
    <xf numFmtId="199" fontId="89" fillId="0" borderId="0">
      <alignment horizontal="left"/>
    </xf>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0" fillId="0" borderId="0">
      <protection locked="0"/>
    </xf>
    <xf numFmtId="0" fontId="90" fillId="0" borderId="0">
      <protection locked="0"/>
    </xf>
    <xf numFmtId="0" fontId="91" fillId="0" borderId="0" applyNumberFormat="0" applyFill="0" applyBorder="0" applyAlignment="0" applyProtection="0"/>
    <xf numFmtId="0" fontId="92" fillId="0" borderId="0" applyNumberFormat="0" applyFill="0" applyBorder="0" applyAlignment="0" applyProtection="0"/>
    <xf numFmtId="3" fontId="88" fillId="0" borderId="31">
      <alignment horizontal="center"/>
    </xf>
    <xf numFmtId="0" fontId="93"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5" fillId="74" borderId="32" applyNumberFormat="0" applyAlignment="0" applyProtection="0"/>
    <xf numFmtId="0" fontId="95" fillId="74" borderId="32" applyNumberFormat="0" applyAlignment="0" applyProtection="0"/>
    <xf numFmtId="0" fontId="93" fillId="72" borderId="32" applyNumberFormat="0" applyAlignment="0" applyProtection="0"/>
    <xf numFmtId="0" fontId="95" fillId="74"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164" fontId="3" fillId="0" borderId="0" applyFont="0" applyFill="0" applyBorder="0" applyAlignment="0" applyProtection="0"/>
    <xf numFmtId="200" fontId="3" fillId="0" borderId="0" applyFont="0" applyFill="0" applyBorder="0" applyAlignment="0" applyProtection="0"/>
    <xf numFmtId="0" fontId="5" fillId="0" borderId="0">
      <alignment vertical="center"/>
    </xf>
    <xf numFmtId="0" fontId="10" fillId="29" borderId="6" applyNumberFormat="0" applyAlignment="0" applyProtection="0"/>
    <xf numFmtId="0" fontId="11" fillId="0" borderId="7" applyNumberFormat="0" applyFill="0" applyAlignment="0" applyProtection="0"/>
    <xf numFmtId="0" fontId="10" fillId="75" borderId="33" applyNumberFormat="0" applyAlignment="0" applyProtection="0"/>
    <xf numFmtId="0" fontId="10" fillId="75" borderId="33" applyNumberFormat="0" applyAlignment="0" applyProtection="0"/>
    <xf numFmtId="0" fontId="10" fillId="75" borderId="33"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10" fillId="29" borderId="6" applyNumberFormat="0" applyAlignment="0" applyProtection="0"/>
    <xf numFmtId="0" fontId="96" fillId="0" borderId="34" applyNumberFormat="0" applyFill="0" applyAlignment="0" applyProtection="0"/>
    <xf numFmtId="0" fontId="96" fillId="0" borderId="34" applyNumberFormat="0" applyFill="0" applyAlignment="0" applyProtection="0"/>
    <xf numFmtId="0" fontId="96" fillId="0" borderId="34"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1" fillId="0" borderId="7" applyNumberFormat="0" applyFill="0" applyAlignment="0" applyProtection="0"/>
    <xf numFmtId="0" fontId="10" fillId="29" borderId="6" applyNumberFormat="0" applyAlignment="0" applyProtection="0"/>
    <xf numFmtId="0" fontId="10" fillId="26" borderId="6" applyNumberFormat="0" applyAlignment="0" applyProtection="0"/>
    <xf numFmtId="0" fontId="10" fillId="26" borderId="6" applyNumberFormat="0" applyAlignment="0" applyProtection="0"/>
    <xf numFmtId="174" fontId="97" fillId="0" borderId="0"/>
    <xf numFmtId="174" fontId="97" fillId="0" borderId="0"/>
    <xf numFmtId="174" fontId="97" fillId="0" borderId="0"/>
    <xf numFmtId="174" fontId="97" fillId="0" borderId="0"/>
    <xf numFmtId="174" fontId="97" fillId="0" borderId="0"/>
    <xf numFmtId="174" fontId="97" fillId="0" borderId="0"/>
    <xf numFmtId="174" fontId="97" fillId="0" borderId="0"/>
    <xf numFmtId="174" fontId="97" fillId="0" borderId="0"/>
    <xf numFmtId="165" fontId="3" fillId="0" borderId="0" applyFont="0" applyFill="0" applyBorder="0" applyAlignment="0" applyProtection="0"/>
    <xf numFmtId="165" fontId="3"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165" fontId="3" fillId="0" borderId="0" applyFont="0" applyFill="0" applyBorder="0" applyAlignment="0" applyProtection="0"/>
    <xf numFmtId="201" fontId="60" fillId="0" borderId="0" applyFont="0" applyFill="0" applyBorder="0" applyAlignment="0" applyProtection="0"/>
    <xf numFmtId="165" fontId="3" fillId="0" borderId="0" applyFont="0" applyFill="0" applyBorder="0" applyAlignment="0" applyProtection="0"/>
    <xf numFmtId="201" fontId="60" fillId="0" borderId="0" applyFont="0" applyFill="0" applyBorder="0" applyAlignment="0" applyProtection="0"/>
    <xf numFmtId="43"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0" fontId="6"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166" fontId="1"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201" fontId="60" fillId="0" borderId="0" applyFont="0" applyFill="0" applyBorder="0" applyAlignment="0" applyProtection="0"/>
    <xf numFmtId="3" fontId="99" fillId="0" borderId="0" applyFont="0" applyFill="0" applyBorder="0" applyAlignment="0" applyProtection="0"/>
    <xf numFmtId="203" fontId="25" fillId="0" borderId="0" applyFont="0" applyFill="0" applyBorder="0" applyAlignment="0" applyProtection="0">
      <alignment horizontal="right"/>
    </xf>
    <xf numFmtId="204" fontId="25" fillId="0" borderId="0" applyFont="0" applyFill="0" applyBorder="0" applyAlignment="0" applyProtection="0">
      <alignment horizontal="right"/>
    </xf>
    <xf numFmtId="205" fontId="26" fillId="0" borderId="0" applyFont="0" applyFill="0" applyBorder="0" applyAlignment="0" applyProtection="0"/>
    <xf numFmtId="180" fontId="25" fillId="0" borderId="0" applyFont="0" applyFill="0" applyBorder="0" applyAlignment="0" applyProtection="0">
      <alignment horizontal="right"/>
    </xf>
    <xf numFmtId="1" fontId="99" fillId="0" borderId="0" applyFont="0" applyFill="0" applyBorder="0" applyAlignment="0" applyProtection="0"/>
    <xf numFmtId="206" fontId="100" fillId="0" borderId="0">
      <protection locked="0"/>
    </xf>
    <xf numFmtId="207" fontId="101" fillId="0" borderId="0">
      <protection locked="0"/>
    </xf>
    <xf numFmtId="37" fontId="23" fillId="76" borderId="35" applyNumberFormat="0" applyAlignment="0">
      <alignment horizontal="left"/>
    </xf>
    <xf numFmtId="0" fontId="19" fillId="0" borderId="0" applyNumberFormat="0" applyFill="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77"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7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33" borderId="0" applyNumberFormat="0" applyBorder="0" applyAlignment="0" applyProtection="0"/>
    <xf numFmtId="0" fontId="102" fillId="34" borderId="32" applyNumberFormat="0" applyAlignment="0" applyProtection="0"/>
    <xf numFmtId="0" fontId="102" fillId="34" borderId="32" applyNumberFormat="0" applyAlignment="0" applyProtection="0"/>
    <xf numFmtId="0" fontId="55" fillId="10" borderId="32" applyNumberFormat="0" applyAlignment="0" applyProtection="0"/>
    <xf numFmtId="0" fontId="102" fillId="34"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87" fillId="0" borderId="0">
      <alignment vertical="top"/>
    </xf>
    <xf numFmtId="41" fontId="103" fillId="0" borderId="0"/>
    <xf numFmtId="208" fontId="3" fillId="0" borderId="0" applyFont="0" applyFill="0" applyBorder="0" applyAlignment="0" applyProtection="0"/>
    <xf numFmtId="209" fontId="6" fillId="0" borderId="0" applyFont="0" applyFill="0" applyBorder="0" applyAlignment="0" applyProtection="0"/>
    <xf numFmtId="209" fontId="87"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87"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10"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87" fillId="0" borderId="0" applyFont="0" applyFill="0" applyBorder="0" applyAlignment="0" applyProtection="0"/>
    <xf numFmtId="210"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10"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195"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195"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11" fontId="3" fillId="0" borderId="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2" fillId="0" borderId="0" applyNumberFormat="0" applyFill="0" applyBorder="0" applyAlignment="0" applyProtection="0"/>
    <xf numFmtId="212" fontId="101" fillId="0" borderId="0">
      <protection locked="0"/>
    </xf>
    <xf numFmtId="206" fontId="100" fillId="0" borderId="0">
      <protection locked="0"/>
    </xf>
    <xf numFmtId="0" fontId="28" fillId="0" borderId="0" applyFill="0" applyBorder="0" applyProtection="0">
      <alignment horizontal="left"/>
    </xf>
    <xf numFmtId="10" fontId="3" fillId="3" borderId="0" applyNumberFormat="0" applyFont="0" applyBorder="0" applyAlignment="0"/>
    <xf numFmtId="0" fontId="9" fillId="7"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104" fillId="0" borderId="0" applyNumberFormat="0" applyFill="0" applyBorder="0" applyAlignment="0" applyProtection="0"/>
    <xf numFmtId="38" fontId="5" fillId="11" borderId="0" applyNumberFormat="0" applyBorder="0" applyAlignment="0" applyProtection="0"/>
    <xf numFmtId="0" fontId="29" fillId="0" borderId="0" applyProtection="0">
      <alignment horizontal="right"/>
    </xf>
    <xf numFmtId="0" fontId="80" fillId="0" borderId="36" applyNumberFormat="0" applyAlignment="0" applyProtection="0">
      <alignment horizontal="left" vertical="center"/>
    </xf>
    <xf numFmtId="0" fontId="80" fillId="0" borderId="27">
      <alignment horizontal="left" vertical="center"/>
    </xf>
    <xf numFmtId="37" fontId="78" fillId="2" borderId="37">
      <alignment horizontal="center" vertical="center" wrapText="1"/>
    </xf>
    <xf numFmtId="0" fontId="17" fillId="0" borderId="2" applyNumberFormat="0" applyFill="0" applyAlignment="0" applyProtection="0"/>
    <xf numFmtId="0" fontId="44" fillId="0" borderId="10" applyNumberFormat="0" applyFill="0" applyAlignment="0" applyProtection="0"/>
    <xf numFmtId="0" fontId="44" fillId="0" borderId="10" applyNumberFormat="0" applyFill="0" applyAlignment="0" applyProtection="0"/>
    <xf numFmtId="0" fontId="18" fillId="0" borderId="3" applyNumberFormat="0" applyFill="0" applyAlignment="0" applyProtection="0"/>
    <xf numFmtId="0" fontId="56" fillId="0" borderId="11" applyNumberFormat="0" applyFill="0" applyAlignment="0" applyProtection="0"/>
    <xf numFmtId="0" fontId="19" fillId="0" borderId="4" applyNumberFormat="0" applyFill="0" applyAlignment="0" applyProtection="0"/>
    <xf numFmtId="0" fontId="105" fillId="0" borderId="4" applyNumberFormat="0" applyFill="0" applyAlignment="0" applyProtection="0"/>
    <xf numFmtId="0" fontId="105" fillId="0" borderId="4" applyNumberFormat="0" applyFill="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213" fontId="90" fillId="0" borderId="0">
      <protection locked="0"/>
    </xf>
    <xf numFmtId="213" fontId="90" fillId="0" borderId="0">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0" fontId="108" fillId="0" borderId="0" applyNumberFormat="0" applyFill="0" applyBorder="0" applyAlignment="0" applyProtection="0">
      <alignment vertical="top"/>
      <protection locked="0"/>
    </xf>
    <xf numFmtId="214" fontId="109" fillId="0" borderId="0">
      <alignment horizontal="left"/>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10" fillId="0" borderId="0"/>
    <xf numFmtId="0" fontId="55" fillId="10" borderId="32" applyNumberFormat="0" applyAlignment="0" applyProtection="0"/>
    <xf numFmtId="10" fontId="5" fillId="3" borderId="38" applyNumberFormat="0" applyBorder="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40" fontId="87" fillId="0" borderId="0" applyFont="0" applyAlignment="0">
      <alignment horizontal="center"/>
    </xf>
    <xf numFmtId="0" fontId="11" fillId="0" borderId="7" applyNumberFormat="0" applyFill="0" applyAlignment="0" applyProtection="0"/>
    <xf numFmtId="0" fontId="46" fillId="0" borderId="7" applyNumberFormat="0" applyFill="0" applyAlignment="0" applyProtection="0"/>
    <xf numFmtId="0" fontId="46" fillId="0" borderId="7" applyNumberFormat="0" applyFill="0" applyAlignment="0" applyProtection="0"/>
    <xf numFmtId="0" fontId="112" fillId="0" borderId="30">
      <alignment horizontal="left"/>
      <protection locked="0"/>
    </xf>
    <xf numFmtId="215" fontId="113" fillId="0" borderId="0" applyFont="0" applyFill="0" applyBorder="0" applyAlignment="0" applyProtection="0"/>
    <xf numFmtId="0" fontId="114" fillId="0" borderId="0" applyBorder="0"/>
    <xf numFmtId="216" fontId="3" fillId="0" borderId="0" applyFont="0" applyFill="0" applyBorder="0" applyAlignment="0" applyProtection="0"/>
    <xf numFmtId="217" fontId="3" fillId="0" borderId="0" applyFont="0" applyFill="0" applyBorder="0" applyAlignment="0" applyProtection="0"/>
    <xf numFmtId="218" fontId="3" fillId="0" borderId="0" applyFont="0" applyFill="0" applyBorder="0" applyAlignment="0" applyProtection="0"/>
    <xf numFmtId="187" fontId="60"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15" fillId="0" borderId="0" applyFont="0" applyFill="0" applyBorder="0" applyAlignment="0" applyProtection="0"/>
    <xf numFmtId="219" fontId="3" fillId="0" borderId="0" applyFont="0" applyFill="0" applyBorder="0" applyAlignment="0" applyProtection="0"/>
    <xf numFmtId="219" fontId="3" fillId="0" borderId="0" applyFont="0" applyFill="0" applyBorder="0" applyAlignment="0" applyProtection="0"/>
    <xf numFmtId="167" fontId="116" fillId="0" borderId="0" applyFont="0" applyFill="0" applyBorder="0" applyAlignment="0" applyProtection="0"/>
    <xf numFmtId="167" fontId="117"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16" fillId="0" borderId="0" applyFont="0" applyFill="0" applyBorder="0" applyAlignment="0" applyProtection="0"/>
    <xf numFmtId="167" fontId="11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220" fontId="118" fillId="0" borderId="0" applyFont="0" applyFill="0" applyBorder="0" applyAlignment="0" applyProtection="0"/>
    <xf numFmtId="221" fontId="3" fillId="0" borderId="0" applyFont="0" applyFill="0" applyBorder="0" applyAlignment="0" applyProtection="0"/>
    <xf numFmtId="222" fontId="3" fillId="0" borderId="0" applyFont="0" applyFill="0" applyBorder="0" applyAlignment="0" applyProtection="0"/>
    <xf numFmtId="223" fontId="3" fillId="0" borderId="0" applyFont="0" applyFill="0" applyBorder="0" applyAlignment="0" applyProtection="0"/>
    <xf numFmtId="224" fontId="3" fillId="0" borderId="0" applyFont="0" applyFill="0" applyBorder="0" applyAlignment="0" applyProtection="0"/>
    <xf numFmtId="225" fontId="3" fillId="0" borderId="0" applyFont="0" applyFill="0" applyBorder="0" applyAlignment="0" applyProtection="0"/>
    <xf numFmtId="0" fontId="119" fillId="34" borderId="0" applyNumberFormat="0" applyBorder="0" applyAlignment="0" applyProtection="0"/>
    <xf numFmtId="0" fontId="119" fillId="34" borderId="0" applyNumberFormat="0" applyBorder="0" applyAlignment="0" applyProtection="0"/>
    <xf numFmtId="0" fontId="119"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120" fillId="0" borderId="0"/>
    <xf numFmtId="0" fontId="1" fillId="0" borderId="0"/>
    <xf numFmtId="0" fontId="121" fillId="0" borderId="0"/>
    <xf numFmtId="0" fontId="121" fillId="0" borderId="0"/>
    <xf numFmtId="195" fontId="83" fillId="0" borderId="0"/>
    <xf numFmtId="0" fontId="60" fillId="0" borderId="0"/>
    <xf numFmtId="0" fontId="60" fillId="0" borderId="0"/>
    <xf numFmtId="0" fontId="3" fillId="0" borderId="0"/>
    <xf numFmtId="0" fontId="115" fillId="0" borderId="0"/>
    <xf numFmtId="0" fontId="3" fillId="0" borderId="0"/>
    <xf numFmtId="0" fontId="115" fillId="0" borderId="0"/>
    <xf numFmtId="0" fontId="60" fillId="0" borderId="0"/>
    <xf numFmtId="0" fontId="115" fillId="0" borderId="0"/>
    <xf numFmtId="0" fontId="3" fillId="0" borderId="0"/>
    <xf numFmtId="0" fontId="115" fillId="0" borderId="0"/>
    <xf numFmtId="0" fontId="115"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15" fillId="0" borderId="0"/>
    <xf numFmtId="0" fontId="3" fillId="0" borderId="0"/>
    <xf numFmtId="0" fontId="60" fillId="0" borderId="0"/>
    <xf numFmtId="0" fontId="3" fillId="0" borderId="0"/>
    <xf numFmtId="0" fontId="60" fillId="0" borderId="0"/>
    <xf numFmtId="0" fontId="60" fillId="0" borderId="0"/>
    <xf numFmtId="0" fontId="3" fillId="0" borderId="0"/>
    <xf numFmtId="0" fontId="122" fillId="0" borderId="0" applyNumberFormat="0" applyFill="0" applyBorder="0" applyAlignment="0" applyProtection="0"/>
    <xf numFmtId="0" fontId="3" fillId="0" borderId="0"/>
    <xf numFmtId="0" fontId="60" fillId="0" borderId="0"/>
    <xf numFmtId="0" fontId="60" fillId="0" borderId="0"/>
    <xf numFmtId="0" fontId="60" fillId="0" borderId="0"/>
    <xf numFmtId="0" fontId="60" fillId="0" borderId="0"/>
    <xf numFmtId="0" fontId="60" fillId="0" borderId="0"/>
    <xf numFmtId="0" fontId="12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60" fillId="0" borderId="0"/>
    <xf numFmtId="0" fontId="115" fillId="0" borderId="0" applyNumberFormat="0" applyFont="0" applyFill="0" applyBorder="0" applyAlignment="0" applyProtection="0"/>
    <xf numFmtId="0" fontId="60" fillId="0" borderId="0"/>
    <xf numFmtId="0" fontId="115" fillId="0" borderId="0" applyNumberFormat="0" applyFont="0" applyFill="0" applyBorder="0" applyAlignment="0" applyProtection="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xf numFmtId="0" fontId="3" fillId="0" borderId="0"/>
    <xf numFmtId="0" fontId="3" fillId="0" borderId="0"/>
    <xf numFmtId="0" fontId="115" fillId="0" borderId="0"/>
    <xf numFmtId="0" fontId="115" fillId="0" borderId="0"/>
    <xf numFmtId="0" fontId="60" fillId="0" borderId="0"/>
    <xf numFmtId="0" fontId="115" fillId="0" borderId="0"/>
    <xf numFmtId="0" fontId="3" fillId="0" borderId="0"/>
    <xf numFmtId="0" fontId="3" fillId="0" borderId="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4"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3" fillId="0" borderId="0"/>
    <xf numFmtId="0" fontId="3"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3" fillId="0" borderId="0"/>
    <xf numFmtId="0" fontId="60" fillId="0" borderId="0"/>
    <xf numFmtId="0" fontId="60" fillId="0" borderId="0"/>
    <xf numFmtId="0" fontId="60" fillId="0" borderId="0"/>
    <xf numFmtId="0" fontId="60" fillId="0" borderId="0"/>
    <xf numFmtId="0" fontId="3"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3" fillId="0" borderId="0"/>
    <xf numFmtId="0" fontId="60" fillId="0" borderId="0"/>
    <xf numFmtId="0" fontId="60" fillId="0" borderId="0"/>
    <xf numFmtId="0" fontId="60" fillId="0" borderId="0"/>
    <xf numFmtId="0" fontId="3"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3" fillId="0" borderId="0"/>
    <xf numFmtId="0" fontId="3" fillId="0" borderId="0"/>
    <xf numFmtId="0" fontId="4" fillId="0" borderId="0"/>
    <xf numFmtId="0" fontId="115" fillId="0" borderId="0" applyNumberFormat="0" applyFont="0" applyFill="0" applyBorder="0" applyAlignment="0" applyProtection="0"/>
    <xf numFmtId="0" fontId="115" fillId="0" borderId="0" applyNumberFormat="0" applyFont="0" applyFill="0" applyBorder="0" applyAlignment="0" applyProtection="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3" fillId="0" borderId="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115" fillId="0" borderId="0" applyNumberFormat="0" applyFont="0" applyFill="0" applyBorder="0" applyAlignment="0" applyProtection="0"/>
    <xf numFmtId="0" fontId="3" fillId="0" borderId="0"/>
    <xf numFmtId="0" fontId="3" fillId="0" borderId="0"/>
    <xf numFmtId="0" fontId="3" fillId="0" borderId="0"/>
    <xf numFmtId="0" fontId="115" fillId="0" borderId="0" applyNumberFormat="0" applyFont="0" applyFill="0" applyBorder="0" applyAlignment="0" applyProtection="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60" fillId="0" borderId="0"/>
    <xf numFmtId="0" fontId="60" fillId="0" borderId="0"/>
    <xf numFmtId="0" fontId="60"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3" fillId="0" borderId="0"/>
    <xf numFmtId="0" fontId="3" fillId="0" borderId="0"/>
    <xf numFmtId="0" fontId="115" fillId="0" borderId="0"/>
    <xf numFmtId="0" fontId="115" fillId="0" borderId="0" applyNumberFormat="0" applyFont="0" applyFill="0" applyBorder="0" applyAlignment="0" applyProtection="0"/>
    <xf numFmtId="0" fontId="115" fillId="0" borderId="0" applyNumberFormat="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60" fillId="0" borderId="0"/>
    <xf numFmtId="0" fontId="1" fillId="0" borderId="0"/>
    <xf numFmtId="0" fontId="1" fillId="0" borderId="0"/>
    <xf numFmtId="0" fontId="60" fillId="0" borderId="0"/>
    <xf numFmtId="0" fontId="60" fillId="0" borderId="0"/>
    <xf numFmtId="0" fontId="60"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60" fillId="0" borderId="0"/>
    <xf numFmtId="0" fontId="60"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124" fillId="0" borderId="0"/>
    <xf numFmtId="0" fontId="6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0" fillId="0" borderId="0"/>
    <xf numFmtId="0" fontId="60"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0" fillId="0" borderId="0"/>
    <xf numFmtId="0" fontId="60" fillId="0" borderId="0"/>
    <xf numFmtId="0" fontId="87" fillId="0" borderId="0"/>
    <xf numFmtId="0" fontId="87" fillId="0" borderId="0"/>
    <xf numFmtId="0" fontId="87" fillId="0" borderId="0"/>
    <xf numFmtId="0" fontId="87" fillId="0" borderId="0"/>
    <xf numFmtId="0" fontId="87" fillId="0" borderId="0"/>
    <xf numFmtId="0" fontId="87" fillId="0" borderId="0"/>
    <xf numFmtId="0" fontId="60" fillId="0" borderId="0"/>
    <xf numFmtId="0" fontId="60" fillId="0" borderId="0"/>
    <xf numFmtId="0" fontId="87" fillId="0" borderId="0"/>
    <xf numFmtId="0" fontId="87" fillId="0" borderId="0"/>
    <xf numFmtId="0" fontId="87" fillId="0" borderId="0"/>
    <xf numFmtId="0" fontId="87" fillId="0" borderId="0"/>
    <xf numFmtId="0" fontId="87" fillId="0" borderId="0"/>
    <xf numFmtId="0" fontId="87"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87"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3" fillId="0" borderId="0"/>
    <xf numFmtId="0" fontId="3" fillId="0" borderId="0"/>
    <xf numFmtId="0" fontId="60" fillId="0" borderId="0"/>
    <xf numFmtId="0" fontId="60" fillId="0" borderId="0"/>
    <xf numFmtId="0" fontId="60" fillId="0" borderId="0"/>
    <xf numFmtId="0" fontId="1"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123" fillId="0" borderId="0"/>
    <xf numFmtId="0" fontId="60" fillId="0" borderId="0"/>
    <xf numFmtId="0" fontId="60" fillId="0" borderId="0"/>
    <xf numFmtId="0" fontId="123" fillId="0" borderId="0"/>
    <xf numFmtId="0" fontId="60" fillId="0" borderId="0"/>
    <xf numFmtId="0" fontId="60" fillId="0" borderId="0"/>
    <xf numFmtId="0" fontId="3" fillId="0" borderId="0"/>
    <xf numFmtId="0" fontId="3" fillId="0" borderId="0"/>
    <xf numFmtId="0" fontId="3"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103" fillId="0" borderId="0"/>
    <xf numFmtId="0" fontId="3" fillId="0" borderId="0"/>
    <xf numFmtId="0" fontId="3" fillId="0" borderId="0"/>
    <xf numFmtId="0" fontId="3" fillId="0" borderId="0" applyNumberFormat="0" applyFont="0" applyFill="0" applyBorder="0" applyAlignment="0" applyProtection="0">
      <alignment vertical="top"/>
    </xf>
    <xf numFmtId="0" fontId="103" fillId="0" borderId="0"/>
    <xf numFmtId="0" fontId="103" fillId="0" borderId="0"/>
    <xf numFmtId="0" fontId="103" fillId="0" borderId="0"/>
    <xf numFmtId="0" fontId="103" fillId="0" borderId="0"/>
    <xf numFmtId="0" fontId="103" fillId="0" borderId="0"/>
    <xf numFmtId="0" fontId="10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226" fontId="11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3" fillId="0" borderId="0" applyNumberFormat="0" applyFont="0" applyFill="0" applyBorder="0" applyAlignment="0" applyProtection="0">
      <alignment vertical="top"/>
    </xf>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15"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 fillId="0" borderId="0"/>
    <xf numFmtId="0" fontId="3" fillId="0" borderId="0"/>
    <xf numFmtId="0" fontId="60" fillId="0" borderId="0"/>
    <xf numFmtId="0" fontId="98" fillId="0" borderId="0"/>
    <xf numFmtId="0" fontId="98" fillId="0" borderId="0"/>
    <xf numFmtId="37" fontId="3" fillId="0" borderId="0"/>
    <xf numFmtId="0" fontId="87" fillId="0" borderId="0">
      <alignment vertical="top"/>
    </xf>
    <xf numFmtId="0" fontId="60" fillId="0" borderId="0"/>
    <xf numFmtId="0" fontId="3"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3" fillId="0" borderId="0" applyNumberFormat="0" applyFont="0" applyFill="0" applyBorder="0" applyAlignment="0" applyProtection="0">
      <alignment vertical="top"/>
    </xf>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32" fillId="0" borderId="0"/>
    <xf numFmtId="0" fontId="124" fillId="0" borderId="0"/>
    <xf numFmtId="0" fontId="3" fillId="0" borderId="0"/>
    <xf numFmtId="0" fontId="3"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3" fillId="0" borderId="0" applyNumberFormat="0" applyFont="0" applyFill="0" applyBorder="0" applyAlignment="0" applyProtection="0">
      <alignment vertical="top"/>
    </xf>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3" fillId="0" borderId="0"/>
    <xf numFmtId="0" fontId="124" fillId="0" borderId="0"/>
    <xf numFmtId="0" fontId="126" fillId="0" borderId="0"/>
    <xf numFmtId="0" fontId="60" fillId="0" borderId="0"/>
    <xf numFmtId="0" fontId="60" fillId="0" borderId="0"/>
    <xf numFmtId="0" fontId="60"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7" fillId="0" borderId="0"/>
    <xf numFmtId="0" fontId="127"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124" fillId="0" borderId="0"/>
    <xf numFmtId="0" fontId="124" fillId="0" borderId="0"/>
    <xf numFmtId="0" fontId="60"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124"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124"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3" fillId="0" borderId="0"/>
    <xf numFmtId="0" fontId="60" fillId="0" borderId="0"/>
    <xf numFmtId="0" fontId="60" fillId="0" borderId="0"/>
    <xf numFmtId="0" fontId="3" fillId="0" borderId="0"/>
    <xf numFmtId="0" fontId="3" fillId="0" borderId="0"/>
    <xf numFmtId="0" fontId="60" fillId="0" borderId="0"/>
    <xf numFmtId="0" fontId="60" fillId="0" borderId="0"/>
    <xf numFmtId="0" fontId="3" fillId="0" borderId="0"/>
    <xf numFmtId="0" fontId="3" fillId="0" borderId="0"/>
    <xf numFmtId="0" fontId="124"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3" fillId="0" borderId="0" applyNumberFormat="0" applyFont="0" applyFill="0" applyBorder="0" applyAlignment="0" applyProtection="0">
      <alignment vertical="top"/>
    </xf>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126" fillId="0" borderId="0"/>
    <xf numFmtId="0" fontId="126" fillId="0" borderId="0"/>
    <xf numFmtId="0" fontId="126"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3"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124" fillId="0" borderId="0"/>
    <xf numFmtId="0" fontId="60" fillId="0" borderId="0"/>
    <xf numFmtId="0" fontId="60" fillId="0" borderId="0"/>
    <xf numFmtId="0" fontId="124"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3"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124" fillId="0" borderId="0"/>
    <xf numFmtId="0" fontId="60" fillId="0" borderId="0"/>
    <xf numFmtId="0" fontId="3" fillId="0" borderId="0"/>
    <xf numFmtId="0" fontId="3"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4" fillId="0" borderId="0"/>
    <xf numFmtId="0" fontId="60" fillId="0" borderId="0"/>
    <xf numFmtId="0" fontId="60" fillId="0" borderId="0"/>
    <xf numFmtId="0" fontId="121"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60" fillId="0" borderId="0"/>
    <xf numFmtId="0" fontId="60"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60" fillId="0" borderId="0"/>
    <xf numFmtId="0" fontId="87"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87"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24" fillId="0" borderId="0"/>
    <xf numFmtId="0" fontId="60" fillId="0" borderId="0"/>
    <xf numFmtId="0" fontId="60" fillId="0" borderId="0"/>
    <xf numFmtId="0" fontId="3" fillId="0" borderId="0"/>
    <xf numFmtId="0" fontId="121"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1"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60" fillId="0" borderId="0"/>
    <xf numFmtId="0" fontId="60" fillId="0" borderId="0"/>
    <xf numFmtId="0" fontId="3" fillId="0" borderId="0"/>
    <xf numFmtId="0" fontId="60" fillId="0" borderId="0"/>
    <xf numFmtId="0" fontId="113" fillId="0" borderId="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87"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87" fillId="71" borderId="39" applyNumberFormat="0" applyFont="0" applyAlignment="0" applyProtection="0"/>
    <xf numFmtId="0" fontId="3" fillId="71" borderId="39" applyNumberFormat="0" applyFont="0" applyAlignment="0" applyProtection="0"/>
    <xf numFmtId="0" fontId="87"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1"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60"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1"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227" fontId="3" fillId="0" borderId="0" applyFont="0" applyFill="0" applyBorder="0" applyAlignment="0" applyProtection="0"/>
    <xf numFmtId="228" fontId="3" fillId="0" borderId="0" applyFont="0" applyFill="0" applyBorder="0" applyAlignment="0" applyProtection="0"/>
    <xf numFmtId="229" fontId="3" fillId="0" borderId="0" applyFont="0" applyFill="0" applyBorder="0" applyAlignment="0" applyProtection="0"/>
    <xf numFmtId="0" fontId="37" fillId="0" borderId="0"/>
    <xf numFmtId="0" fontId="14"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230" fontId="3" fillId="0" borderId="0" applyFont="0" applyFill="0" applyBorder="0" applyAlignment="0" applyProtection="0"/>
    <xf numFmtId="231"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10" fontId="3" fillId="0" borderId="0" applyFont="0" applyFill="0" applyBorder="0" applyAlignment="0" applyProtection="0"/>
    <xf numFmtId="9" fontId="87" fillId="0" borderId="0" applyFont="0" applyFill="0" applyBorder="0" applyAlignment="0" applyProtection="0">
      <alignment vertical="top"/>
    </xf>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98" fillId="0" borderId="0" applyFont="0" applyFill="0" applyBorder="0" applyAlignment="0" applyProtection="0"/>
    <xf numFmtId="9" fontId="98" fillId="0" borderId="0" applyFont="0" applyFill="0" applyBorder="0" applyAlignment="0" applyProtection="0"/>
    <xf numFmtId="9" fontId="60" fillId="0" borderId="0" applyFont="0" applyFill="0" applyBorder="0" applyAlignment="0" applyProtection="0"/>
    <xf numFmtId="2" fontId="3" fillId="0" borderId="0" applyFont="0" applyFill="0" applyAlignment="0" applyProtection="0"/>
    <xf numFmtId="9" fontId="37" fillId="0" borderId="41" applyNumberFormat="0" applyBorder="0"/>
    <xf numFmtId="206" fontId="100" fillId="0" borderId="0">
      <protection locked="0"/>
    </xf>
    <xf numFmtId="206" fontId="100" fillId="0" borderId="0">
      <protection locked="0"/>
    </xf>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0"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1"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6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8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12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6" fillId="0" borderId="0" applyFont="0" applyFill="0" applyBorder="0" applyAlignment="0" applyProtection="0"/>
    <xf numFmtId="9" fontId="1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6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30" fillId="0" borderId="0" applyNumberFormat="0" applyFill="0" applyBorder="0" applyAlignment="0" applyProtection="0"/>
    <xf numFmtId="0" fontId="131" fillId="0" borderId="30" applyNumberFormat="0" applyFill="0" applyBorder="0" applyAlignment="0" applyProtection="0">
      <protection hidden="1"/>
    </xf>
    <xf numFmtId="0" fontId="87" fillId="74" borderId="0">
      <alignment horizontal="left" vertical="top"/>
    </xf>
    <xf numFmtId="0" fontId="132" fillId="74" borderId="0">
      <alignment horizontal="left" vertical="top"/>
    </xf>
    <xf numFmtId="0" fontId="133" fillId="74" borderId="0">
      <alignment horizontal="left" vertical="top"/>
    </xf>
    <xf numFmtId="0" fontId="134" fillId="74" borderId="0">
      <alignment horizontal="left" vertical="top"/>
    </xf>
    <xf numFmtId="0" fontId="45" fillId="74" borderId="42" applyNumberFormat="0" applyAlignment="0" applyProtection="0"/>
    <xf numFmtId="0" fontId="45" fillId="74" borderId="42" applyNumberFormat="0" applyAlignment="0" applyProtection="0"/>
    <xf numFmtId="0" fontId="60" fillId="0" borderId="0"/>
    <xf numFmtId="0" fontId="45" fillId="74" borderId="42"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60" fillId="0" borderId="0"/>
    <xf numFmtId="0" fontId="60" fillId="0" borderId="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4" fontId="135" fillId="34" borderId="43" applyNumberFormat="0" applyProtection="0">
      <alignment vertical="center"/>
    </xf>
    <xf numFmtId="4" fontId="136" fillId="35" borderId="43" applyNumberFormat="0" applyProtection="0">
      <alignment vertical="center"/>
    </xf>
    <xf numFmtId="4" fontId="135" fillId="35" borderId="43" applyNumberFormat="0" applyProtection="0">
      <alignment horizontal="left" vertical="center" indent="1"/>
    </xf>
    <xf numFmtId="0" fontId="135" fillId="35" borderId="43" applyNumberFormat="0" applyProtection="0">
      <alignment horizontal="left" vertical="top" indent="1"/>
    </xf>
    <xf numFmtId="4" fontId="135" fillId="78" borderId="0" applyNumberFormat="0" applyProtection="0">
      <alignment horizontal="left" vertical="center" indent="1"/>
    </xf>
    <xf numFmtId="4" fontId="87" fillId="6" borderId="43" applyNumberFormat="0" applyProtection="0">
      <alignment horizontal="right" vertical="center"/>
    </xf>
    <xf numFmtId="4" fontId="87" fillId="15" borderId="43" applyNumberFormat="0" applyProtection="0">
      <alignment horizontal="right" vertical="center"/>
    </xf>
    <xf numFmtId="4" fontId="87" fillId="31" borderId="43" applyNumberFormat="0" applyProtection="0">
      <alignment horizontal="right" vertical="center"/>
    </xf>
    <xf numFmtId="4" fontId="87" fillId="17" borderId="43" applyNumberFormat="0" applyProtection="0">
      <alignment horizontal="right" vertical="center"/>
    </xf>
    <xf numFmtId="4" fontId="87" fillId="17" borderId="43" applyNumberFormat="0" applyProtection="0">
      <alignment horizontal="right" vertical="center"/>
    </xf>
    <xf numFmtId="4" fontId="87" fillId="23" borderId="43" applyNumberFormat="0" applyProtection="0">
      <alignment horizontal="right" vertical="center"/>
    </xf>
    <xf numFmtId="4" fontId="87" fillId="33" borderId="43" applyNumberFormat="0" applyProtection="0">
      <alignment horizontal="right" vertical="center"/>
    </xf>
    <xf numFmtId="4" fontId="87" fillId="32" borderId="43" applyNumberFormat="0" applyProtection="0">
      <alignment horizontal="right" vertical="center"/>
    </xf>
    <xf numFmtId="4" fontId="87" fillId="79" borderId="43" applyNumberFormat="0" applyProtection="0">
      <alignment horizontal="right" vertical="center"/>
    </xf>
    <xf numFmtId="4" fontId="87" fillId="16" borderId="43" applyNumberFormat="0" applyProtection="0">
      <alignment horizontal="right" vertical="center"/>
    </xf>
    <xf numFmtId="4" fontId="135" fillId="80" borderId="44" applyNumberFormat="0" applyProtection="0">
      <alignment horizontal="left" vertical="center" indent="1"/>
    </xf>
    <xf numFmtId="4" fontId="87" fillId="81" borderId="0" applyNumberFormat="0" applyProtection="0">
      <alignment horizontal="left" vertical="center" indent="1"/>
    </xf>
    <xf numFmtId="4" fontId="137" fillId="24" borderId="0" applyNumberFormat="0" applyProtection="0">
      <alignment horizontal="left" vertical="center" indent="1"/>
    </xf>
    <xf numFmtId="4" fontId="87" fillId="82" borderId="43" applyNumberFormat="0" applyProtection="0">
      <alignment horizontal="right" vertical="center"/>
    </xf>
    <xf numFmtId="4" fontId="87" fillId="81" borderId="0" applyNumberFormat="0" applyProtection="0">
      <alignment horizontal="left" vertical="center" indent="1"/>
    </xf>
    <xf numFmtId="4" fontId="87" fillId="78" borderId="0"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center" indent="1"/>
    </xf>
    <xf numFmtId="0" fontId="3" fillId="24" borderId="43" applyNumberFormat="0" applyProtection="0">
      <alignment horizontal="left" vertical="top" indent="1"/>
    </xf>
    <xf numFmtId="0" fontId="3" fillId="24" borderId="43" applyNumberFormat="0" applyProtection="0">
      <alignment horizontal="left" vertical="top" indent="1"/>
    </xf>
    <xf numFmtId="0" fontId="3" fillId="24" borderId="43" applyNumberFormat="0" applyProtection="0">
      <alignment horizontal="left" vertical="top" indent="1"/>
    </xf>
    <xf numFmtId="0" fontId="3" fillId="24" borderId="43" applyNumberFormat="0" applyProtection="0">
      <alignment horizontal="left" vertical="top" indent="1"/>
    </xf>
    <xf numFmtId="0" fontId="3" fillId="24" borderId="43" applyNumberFormat="0" applyProtection="0">
      <alignment horizontal="left" vertical="top" indent="1"/>
    </xf>
    <xf numFmtId="0" fontId="3" fillId="78" borderId="43" applyNumberFormat="0" applyProtection="0">
      <alignment horizontal="left" vertical="center" indent="1"/>
    </xf>
    <xf numFmtId="0" fontId="3" fillId="78" borderId="43" applyNumberFormat="0" applyProtection="0">
      <alignment horizontal="left" vertical="center" indent="1"/>
    </xf>
    <xf numFmtId="0" fontId="3" fillId="78" borderId="43" applyNumberFormat="0" applyProtection="0">
      <alignment horizontal="left" vertical="center" indent="1"/>
    </xf>
    <xf numFmtId="0" fontId="3" fillId="78" borderId="43" applyNumberFormat="0" applyProtection="0">
      <alignment horizontal="left" vertical="center" indent="1"/>
    </xf>
    <xf numFmtId="0" fontId="3" fillId="78" borderId="43" applyNumberFormat="0" applyProtection="0">
      <alignment horizontal="left" vertical="center" indent="1"/>
    </xf>
    <xf numFmtId="0" fontId="3" fillId="78" borderId="43" applyNumberFormat="0" applyProtection="0">
      <alignment horizontal="left" vertical="top" indent="1"/>
    </xf>
    <xf numFmtId="0" fontId="3" fillId="78" borderId="43" applyNumberFormat="0" applyProtection="0">
      <alignment horizontal="left" vertical="top" indent="1"/>
    </xf>
    <xf numFmtId="0" fontId="3" fillId="78" borderId="43" applyNumberFormat="0" applyProtection="0">
      <alignment horizontal="left" vertical="top" indent="1"/>
    </xf>
    <xf numFmtId="0" fontId="3" fillId="78" borderId="43" applyNumberFormat="0" applyProtection="0">
      <alignment horizontal="left" vertical="top" indent="1"/>
    </xf>
    <xf numFmtId="0" fontId="3" fillId="78" borderId="43" applyNumberFormat="0" applyProtection="0">
      <alignment horizontal="left" vertical="top" indent="1"/>
    </xf>
    <xf numFmtId="0" fontId="3" fillId="18" borderId="43" applyNumberFormat="0" applyProtection="0">
      <alignment horizontal="left" vertical="center" indent="1"/>
    </xf>
    <xf numFmtId="0" fontId="3" fillId="18" borderId="43" applyNumberFormat="0" applyProtection="0">
      <alignment horizontal="left" vertical="center" indent="1"/>
    </xf>
    <xf numFmtId="0" fontId="3" fillId="18" borderId="43" applyNumberFormat="0" applyProtection="0">
      <alignment horizontal="left" vertical="center" indent="1"/>
    </xf>
    <xf numFmtId="0" fontId="3" fillId="18" borderId="43" applyNumberFormat="0" applyProtection="0">
      <alignment horizontal="left" vertical="center" indent="1"/>
    </xf>
    <xf numFmtId="0" fontId="3" fillId="18" borderId="43" applyNumberFormat="0" applyProtection="0">
      <alignment horizontal="left" vertical="center" indent="1"/>
    </xf>
    <xf numFmtId="0" fontId="3" fillId="18" borderId="43" applyNumberFormat="0" applyProtection="0">
      <alignment horizontal="left" vertical="top" indent="1"/>
    </xf>
    <xf numFmtId="0" fontId="3" fillId="18" borderId="43" applyNumberFormat="0" applyProtection="0">
      <alignment horizontal="left" vertical="top" indent="1"/>
    </xf>
    <xf numFmtId="0" fontId="3" fillId="18" borderId="43" applyNumberFormat="0" applyProtection="0">
      <alignment horizontal="left" vertical="top" indent="1"/>
    </xf>
    <xf numFmtId="0" fontId="3" fillId="18" borderId="43" applyNumberFormat="0" applyProtection="0">
      <alignment horizontal="left" vertical="top" indent="1"/>
    </xf>
    <xf numFmtId="0" fontId="3" fillId="18" borderId="43" applyNumberFormat="0" applyProtection="0">
      <alignment horizontal="left" vertical="top" indent="1"/>
    </xf>
    <xf numFmtId="0" fontId="3" fillId="83" borderId="43" applyNumberFormat="0" applyProtection="0">
      <alignment horizontal="left" vertical="center" indent="1"/>
    </xf>
    <xf numFmtId="0" fontId="3" fillId="83" borderId="43" applyNumberFormat="0" applyProtection="0">
      <alignment horizontal="left" vertical="center" indent="1"/>
    </xf>
    <xf numFmtId="0" fontId="3" fillId="83" borderId="43" applyNumberFormat="0" applyProtection="0">
      <alignment horizontal="left" vertical="center" indent="1"/>
    </xf>
    <xf numFmtId="0" fontId="3" fillId="83" borderId="43" applyNumberFormat="0" applyProtection="0">
      <alignment horizontal="left" vertical="center" indent="1"/>
    </xf>
    <xf numFmtId="0" fontId="3" fillId="83" borderId="43" applyNumberFormat="0" applyProtection="0">
      <alignment horizontal="left" vertical="center" indent="1"/>
    </xf>
    <xf numFmtId="0" fontId="3" fillId="83" borderId="43" applyNumberFormat="0" applyProtection="0">
      <alignment horizontal="left" vertical="top" indent="1"/>
    </xf>
    <xf numFmtId="0" fontId="3" fillId="83" borderId="43" applyNumberFormat="0" applyProtection="0">
      <alignment horizontal="left" vertical="top" indent="1"/>
    </xf>
    <xf numFmtId="0" fontId="3" fillId="83" borderId="43" applyNumberFormat="0" applyProtection="0">
      <alignment horizontal="left" vertical="top" indent="1"/>
    </xf>
    <xf numFmtId="0" fontId="3" fillId="83" borderId="43" applyNumberFormat="0" applyProtection="0">
      <alignment horizontal="left" vertical="top" indent="1"/>
    </xf>
    <xf numFmtId="0" fontId="3" fillId="83" borderId="43" applyNumberFormat="0" applyProtection="0">
      <alignment horizontal="left" vertical="top" indent="1"/>
    </xf>
    <xf numFmtId="4" fontId="87" fillId="3" borderId="43" applyNumberFormat="0" applyProtection="0">
      <alignment vertical="center"/>
    </xf>
    <xf numFmtId="4" fontId="138" fillId="3" borderId="43" applyNumberFormat="0" applyProtection="0">
      <alignment vertical="center"/>
    </xf>
    <xf numFmtId="4" fontId="87" fillId="3" borderId="43" applyNumberFormat="0" applyProtection="0">
      <alignment horizontal="left" vertical="center" indent="1"/>
    </xf>
    <xf numFmtId="0" fontId="87" fillId="3" borderId="43" applyNumberFormat="0" applyProtection="0">
      <alignment horizontal="left" vertical="top" indent="1"/>
    </xf>
    <xf numFmtId="4" fontId="87" fillId="81" borderId="43" applyNumberFormat="0" applyProtection="0">
      <alignment horizontal="right" vertical="center"/>
    </xf>
    <xf numFmtId="4" fontId="138" fillId="81" borderId="43" applyNumberFormat="0" applyProtection="0">
      <alignment horizontal="right" vertical="center"/>
    </xf>
    <xf numFmtId="4" fontId="87" fillId="82" borderId="43" applyNumberFormat="0" applyProtection="0">
      <alignment horizontal="left" vertical="center" indent="1"/>
    </xf>
    <xf numFmtId="0" fontId="87" fillId="78" borderId="43" applyNumberFormat="0" applyProtection="0">
      <alignment horizontal="left" vertical="top" indent="1"/>
    </xf>
    <xf numFmtId="4" fontId="139" fillId="84" borderId="0" applyNumberFormat="0" applyProtection="0">
      <alignment horizontal="left" vertical="center" indent="1"/>
    </xf>
    <xf numFmtId="4" fontId="130" fillId="81" borderId="43" applyNumberFormat="0" applyProtection="0">
      <alignment horizontal="right" vertical="center"/>
    </xf>
    <xf numFmtId="0" fontId="3" fillId="71" borderId="0" applyNumberFormat="0" applyFont="0" applyBorder="0" applyAlignment="0" applyProtection="0"/>
    <xf numFmtId="0" fontId="3" fillId="74" borderId="0" applyNumberFormat="0" applyFont="0" applyBorder="0" applyAlignment="0" applyProtection="0"/>
    <xf numFmtId="0" fontId="3" fillId="0" borderId="0" applyNumberFormat="0" applyFont="0" applyFill="0" applyBorder="0" applyAlignment="0" applyProtection="0"/>
    <xf numFmtId="38" fontId="3" fillId="0" borderId="0" applyFont="0" applyFill="0" applyBorder="0" applyAlignment="0" applyProtection="0"/>
    <xf numFmtId="0" fontId="3" fillId="72" borderId="0" applyNumberFormat="0" applyFont="0" applyBorder="0" applyAlignment="0" applyProtection="0"/>
    <xf numFmtId="0" fontId="3" fillId="0" borderId="0" applyNumberFormat="0" applyFont="0" applyFill="0" applyBorder="0" applyAlignment="0" applyProtection="0"/>
    <xf numFmtId="0" fontId="3" fillId="0" borderId="0" applyNumberFormat="0" applyFont="0" applyFill="0" applyBorder="0" applyAlignment="0" applyProtection="0"/>
    <xf numFmtId="206" fontId="140" fillId="0" borderId="0">
      <protection locked="0"/>
    </xf>
    <xf numFmtId="198" fontId="3"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232"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24"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165" fontId="124" fillId="0" borderId="0" applyFont="0" applyFill="0" applyBorder="0" applyAlignment="0" applyProtection="0"/>
    <xf numFmtId="172" fontId="124" fillId="0" borderId="0" applyFont="0" applyFill="0" applyBorder="0" applyAlignment="0" applyProtection="0"/>
    <xf numFmtId="0" fontId="60" fillId="0" borderId="0" applyNumberFormat="0" applyFill="0" applyBorder="0" applyAlignment="0" applyProtection="0"/>
    <xf numFmtId="0"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96" fontId="3"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43"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60" fillId="0" borderId="0" applyFont="0" applyFill="0" applyBorder="0" applyAlignment="0" applyProtection="0"/>
    <xf numFmtId="43"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3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95" fontId="35"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95" fontId="35"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34" fontId="6"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165" fontId="3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37" fillId="0" borderId="0" applyFont="0" applyFill="0" applyBorder="0" applyAlignment="0" applyProtection="0"/>
    <xf numFmtId="165" fontId="3"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165"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37"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165" fontId="1"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38" fillId="0" borderId="0" applyBorder="0" applyProtection="0">
      <alignment vertical="center"/>
    </xf>
    <xf numFmtId="0" fontId="39" fillId="36" borderId="0" applyBorder="0" applyProtection="0">
      <alignment horizontal="centerContinuous" vertical="center"/>
    </xf>
    <xf numFmtId="0" fontId="39" fillId="37" borderId="1" applyBorder="0" applyProtection="0">
      <alignment horizontal="centerContinuous" vertical="center"/>
    </xf>
    <xf numFmtId="0" fontId="40" fillId="0" borderId="0" applyFill="0" applyBorder="0" applyProtection="0">
      <alignment horizontal="left"/>
    </xf>
    <xf numFmtId="0" fontId="28" fillId="0" borderId="15" applyFill="0" applyBorder="0" applyProtection="0">
      <alignment horizontal="left" vertical="top"/>
    </xf>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6" fillId="0" borderId="0" applyNumberFormat="0" applyFill="0" applyBorder="0" applyAlignment="0" applyProtection="0"/>
    <xf numFmtId="0" fontId="60"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41"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60" fillId="0" borderId="0" applyNumberFormat="0" applyFill="0" applyBorder="0" applyAlignment="0" applyProtection="0"/>
    <xf numFmtId="0" fontId="142" fillId="0" borderId="45" applyNumberFormat="0" applyFill="0" applyAlignment="0" applyProtection="0"/>
    <xf numFmtId="0" fontId="142" fillId="0" borderId="45"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2" fillId="0" borderId="45" applyNumberFormat="0" applyFill="0" applyAlignment="0" applyProtection="0"/>
    <xf numFmtId="0" fontId="60" fillId="0" borderId="0" applyNumberFormat="0" applyFill="0" applyBorder="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7" fillId="0" borderId="2" applyNumberFormat="0" applyFill="0" applyAlignment="0" applyProtection="0"/>
    <xf numFmtId="0" fontId="141" fillId="0" borderId="0" applyNumberFormat="0" applyFill="0" applyBorder="0" applyAlignment="0" applyProtection="0"/>
    <xf numFmtId="0" fontId="143" fillId="0" borderId="3" applyNumberFormat="0" applyFill="0" applyAlignment="0" applyProtection="0"/>
    <xf numFmtId="0" fontId="143" fillId="0" borderId="3"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3" fillId="0" borderId="3" applyNumberFormat="0" applyFill="0" applyAlignment="0" applyProtection="0"/>
    <xf numFmtId="0" fontId="60" fillId="0" borderId="0" applyNumberForma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44" fillId="0" borderId="46" applyNumberFormat="0" applyFill="0" applyAlignment="0" applyProtection="0"/>
    <xf numFmtId="0" fontId="144" fillId="0" borderId="46"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4" fillId="0" borderId="46" applyNumberFormat="0" applyFill="0" applyAlignment="0" applyProtection="0"/>
    <xf numFmtId="0" fontId="60" fillId="0" borderId="0" applyNumberFormat="0" applyFill="0" applyBorder="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4" fillId="0" borderId="0" applyNumberFormat="0" applyFill="0" applyBorder="0" applyAlignment="0" applyProtection="0"/>
    <xf numFmtId="0" fontId="6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5" fillId="0" borderId="0" applyNumberFormat="0" applyFill="0" applyBorder="0" applyAlignment="0" applyProtection="0"/>
    <xf numFmtId="0" fontId="60"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06" fontId="146" fillId="0" borderId="0">
      <protection locked="0"/>
    </xf>
    <xf numFmtId="206" fontId="146" fillId="0" borderId="0">
      <protection locked="0"/>
    </xf>
    <xf numFmtId="49" fontId="147" fillId="3" borderId="47">
      <alignment horizontal="left" vertical="center" indent="1"/>
    </xf>
    <xf numFmtId="0" fontId="148" fillId="72" borderId="30"/>
    <xf numFmtId="0" fontId="60" fillId="0" borderId="0" applyNumberFormat="0" applyFill="0" applyBorder="0" applyAlignment="0" applyProtection="0"/>
    <xf numFmtId="206" fontId="100" fillId="0" borderId="48">
      <protection locked="0"/>
    </xf>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49"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49" applyNumberFormat="0" applyFill="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206" fontId="100" fillId="0" borderId="48">
      <protection locked="0"/>
    </xf>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52" fillId="0" borderId="50" applyNumberFormat="0" applyFill="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226" fontId="101" fillId="0" borderId="0">
      <protection locked="0"/>
    </xf>
    <xf numFmtId="235" fontId="101" fillId="0" borderId="0">
      <protection locked="0"/>
    </xf>
    <xf numFmtId="0" fontId="60" fillId="0" borderId="0" applyNumberFormat="0" applyFill="0" applyBorder="0" applyAlignment="0" applyProtection="0"/>
    <xf numFmtId="0" fontId="60" fillId="0" borderId="0" applyNumberFormat="0" applyFill="0" applyBorder="0" applyAlignment="0" applyProtection="0"/>
    <xf numFmtId="43" fontId="60" fillId="0" borderId="0" applyFont="0" applyFill="0" applyBorder="0" applyAlignment="0" applyProtection="0"/>
    <xf numFmtId="165" fontId="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43" fontId="125"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60" fillId="0" borderId="0" applyFont="0" applyFill="0" applyBorder="0" applyAlignment="0" applyProtection="0"/>
    <xf numFmtId="165"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3" fontId="118" fillId="0" borderId="0" applyFon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79" fillId="0" borderId="0"/>
    <xf numFmtId="0" fontId="15" fillId="0" borderId="0" applyNumberFormat="0" applyFill="0" applyBorder="0" applyAlignment="0" applyProtection="0"/>
    <xf numFmtId="0" fontId="15" fillId="0" borderId="0" applyNumberFormat="0" applyFill="0" applyBorder="0" applyAlignment="0" applyProtection="0"/>
    <xf numFmtId="0" fontId="60" fillId="0" borderId="0" applyNumberFormat="0" applyFill="0" applyBorder="0" applyAlignment="0" applyProtection="0"/>
    <xf numFmtId="198" fontId="3" fillId="0" borderId="0" applyFont="0" applyFill="0" applyBorder="0" applyAlignment="0" applyProtection="0"/>
    <xf numFmtId="0" fontId="3" fillId="0" borderId="0"/>
    <xf numFmtId="3" fontId="88" fillId="0" borderId="38">
      <alignment horizontal="center"/>
    </xf>
    <xf numFmtId="0" fontId="93"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4" fillId="72" borderId="5" applyNumberFormat="0" applyAlignment="0" applyProtection="0"/>
    <xf numFmtId="0" fontId="95" fillId="74" borderId="5" applyNumberFormat="0" applyAlignment="0" applyProtection="0"/>
    <xf numFmtId="0" fontId="95" fillId="74" borderId="5" applyNumberFormat="0" applyAlignment="0" applyProtection="0"/>
    <xf numFmtId="0" fontId="93" fillId="72" borderId="5" applyNumberFormat="0" applyAlignment="0" applyProtection="0"/>
    <xf numFmtId="0" fontId="95" fillId="74"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93" fillId="72" borderId="5" applyNumberFormat="0" applyAlignment="0" applyProtection="0"/>
    <xf numFmtId="0" fontId="102" fillId="34" borderId="5" applyNumberFormat="0" applyAlignment="0" applyProtection="0"/>
    <xf numFmtId="0" fontId="102" fillId="34" borderId="5" applyNumberFormat="0" applyAlignment="0" applyProtection="0"/>
    <xf numFmtId="0" fontId="55" fillId="10" borderId="5" applyNumberFormat="0" applyAlignment="0" applyProtection="0"/>
    <xf numFmtId="0" fontId="102" fillId="34"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55"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111" fillId="10" borderId="5" applyNumberFormat="0" applyAlignment="0" applyProtection="0"/>
    <xf numFmtId="0" fontId="87"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87" fillId="71" borderId="13" applyNumberFormat="0" applyFont="0" applyAlignment="0" applyProtection="0"/>
    <xf numFmtId="0" fontId="3" fillId="71" borderId="13" applyNumberFormat="0" applyFont="0" applyAlignment="0" applyProtection="0"/>
    <xf numFmtId="0" fontId="87"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1"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28" fillId="71" borderId="13" applyNumberFormat="0" applyFont="0" applyAlignment="0" applyProtection="0"/>
    <xf numFmtId="0" fontId="14"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129" fillId="72" borderId="14" applyNumberFormat="0" applyAlignment="0" applyProtection="0"/>
    <xf numFmtId="0" fontId="45" fillId="74" borderId="51" applyNumberFormat="0" applyAlignment="0" applyProtection="0"/>
    <xf numFmtId="0" fontId="45" fillId="74" borderId="51" applyNumberFormat="0" applyAlignment="0" applyProtection="0"/>
    <xf numFmtId="0" fontId="45" fillId="74" borderId="51"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0" fontId="14" fillId="72" borderId="14" applyNumberFormat="0" applyAlignment="0" applyProtection="0"/>
    <xf numFmtId="4" fontId="135" fillId="34" borderId="52" applyNumberFormat="0" applyProtection="0">
      <alignment vertical="center"/>
    </xf>
    <xf numFmtId="4" fontId="136" fillId="35" borderId="52" applyNumberFormat="0" applyProtection="0">
      <alignment vertical="center"/>
    </xf>
    <xf numFmtId="4" fontId="135" fillId="35" borderId="52" applyNumberFormat="0" applyProtection="0">
      <alignment horizontal="left" vertical="center" indent="1"/>
    </xf>
    <xf numFmtId="0" fontId="135" fillId="35" borderId="52" applyNumberFormat="0" applyProtection="0">
      <alignment horizontal="left" vertical="top" indent="1"/>
    </xf>
    <xf numFmtId="4" fontId="87" fillId="6" borderId="52" applyNumberFormat="0" applyProtection="0">
      <alignment horizontal="right" vertical="center"/>
    </xf>
    <xf numFmtId="4" fontId="87" fillId="15" borderId="52" applyNumberFormat="0" applyProtection="0">
      <alignment horizontal="right" vertical="center"/>
    </xf>
    <xf numFmtId="4" fontId="87" fillId="31" borderId="52" applyNumberFormat="0" applyProtection="0">
      <alignment horizontal="right" vertical="center"/>
    </xf>
    <xf numFmtId="4" fontId="87" fillId="17" borderId="52" applyNumberFormat="0" applyProtection="0">
      <alignment horizontal="right" vertical="center"/>
    </xf>
    <xf numFmtId="4" fontId="87" fillId="17" borderId="52" applyNumberFormat="0" applyProtection="0">
      <alignment horizontal="right" vertical="center"/>
    </xf>
    <xf numFmtId="4" fontId="87" fillId="23" borderId="52" applyNumberFormat="0" applyProtection="0">
      <alignment horizontal="right" vertical="center"/>
    </xf>
    <xf numFmtId="4" fontId="87" fillId="33" borderId="52" applyNumberFormat="0" applyProtection="0">
      <alignment horizontal="right" vertical="center"/>
    </xf>
    <xf numFmtId="4" fontId="87" fillId="32" borderId="52" applyNumberFormat="0" applyProtection="0">
      <alignment horizontal="right" vertical="center"/>
    </xf>
    <xf numFmtId="4" fontId="87" fillId="79" borderId="52" applyNumberFormat="0" applyProtection="0">
      <alignment horizontal="right" vertical="center"/>
    </xf>
    <xf numFmtId="4" fontId="87" fillId="16" borderId="52" applyNumberFormat="0" applyProtection="0">
      <alignment horizontal="right" vertical="center"/>
    </xf>
    <xf numFmtId="4" fontId="87" fillId="82" borderId="52" applyNumberFormat="0" applyProtection="0">
      <alignment horizontal="right" vertical="center"/>
    </xf>
    <xf numFmtId="0" fontId="3" fillId="24" borderId="52" applyNumberFormat="0" applyProtection="0">
      <alignment horizontal="left" vertical="center" indent="1"/>
    </xf>
    <xf numFmtId="0" fontId="3" fillId="24" borderId="52" applyNumberFormat="0" applyProtection="0">
      <alignment horizontal="left" vertical="center" indent="1"/>
    </xf>
    <xf numFmtId="0" fontId="3" fillId="24" borderId="52" applyNumberFormat="0" applyProtection="0">
      <alignment horizontal="left" vertical="center" indent="1"/>
    </xf>
    <xf numFmtId="0" fontId="3" fillId="24" borderId="52" applyNumberFormat="0" applyProtection="0">
      <alignment horizontal="left" vertical="center" indent="1"/>
    </xf>
    <xf numFmtId="0" fontId="3" fillId="24" borderId="52" applyNumberFormat="0" applyProtection="0">
      <alignment horizontal="left" vertical="center" indent="1"/>
    </xf>
    <xf numFmtId="0" fontId="3" fillId="24" borderId="52" applyNumberFormat="0" applyProtection="0">
      <alignment horizontal="left" vertical="top" indent="1"/>
    </xf>
    <xf numFmtId="0" fontId="3" fillId="24" borderId="52" applyNumberFormat="0" applyProtection="0">
      <alignment horizontal="left" vertical="top" indent="1"/>
    </xf>
    <xf numFmtId="0" fontId="3" fillId="24" borderId="52" applyNumberFormat="0" applyProtection="0">
      <alignment horizontal="left" vertical="top" indent="1"/>
    </xf>
    <xf numFmtId="0" fontId="3" fillId="24" borderId="52" applyNumberFormat="0" applyProtection="0">
      <alignment horizontal="left" vertical="top" indent="1"/>
    </xf>
    <xf numFmtId="0" fontId="3" fillId="24" borderId="52" applyNumberFormat="0" applyProtection="0">
      <alignment horizontal="left" vertical="top" indent="1"/>
    </xf>
    <xf numFmtId="0" fontId="3" fillId="78" borderId="52" applyNumberFormat="0" applyProtection="0">
      <alignment horizontal="left" vertical="center" indent="1"/>
    </xf>
    <xf numFmtId="0" fontId="3" fillId="78" borderId="52" applyNumberFormat="0" applyProtection="0">
      <alignment horizontal="left" vertical="center" indent="1"/>
    </xf>
    <xf numFmtId="0" fontId="3" fillId="78" borderId="52" applyNumberFormat="0" applyProtection="0">
      <alignment horizontal="left" vertical="center" indent="1"/>
    </xf>
    <xf numFmtId="0" fontId="3" fillId="78" borderId="52" applyNumberFormat="0" applyProtection="0">
      <alignment horizontal="left" vertical="center" indent="1"/>
    </xf>
    <xf numFmtId="0" fontId="3" fillId="78" borderId="52" applyNumberFormat="0" applyProtection="0">
      <alignment horizontal="left" vertical="center" indent="1"/>
    </xf>
    <xf numFmtId="0" fontId="3" fillId="78" borderId="52" applyNumberFormat="0" applyProtection="0">
      <alignment horizontal="left" vertical="top" indent="1"/>
    </xf>
    <xf numFmtId="0" fontId="3" fillId="78" borderId="52" applyNumberFormat="0" applyProtection="0">
      <alignment horizontal="left" vertical="top" indent="1"/>
    </xf>
    <xf numFmtId="0" fontId="3" fillId="78" borderId="52" applyNumberFormat="0" applyProtection="0">
      <alignment horizontal="left" vertical="top" indent="1"/>
    </xf>
    <xf numFmtId="0" fontId="3" fillId="78" borderId="52" applyNumberFormat="0" applyProtection="0">
      <alignment horizontal="left" vertical="top" indent="1"/>
    </xf>
    <xf numFmtId="0" fontId="3" fillId="78" borderId="52" applyNumberFormat="0" applyProtection="0">
      <alignment horizontal="left" vertical="top" indent="1"/>
    </xf>
    <xf numFmtId="0" fontId="3" fillId="18" borderId="52" applyNumberFormat="0" applyProtection="0">
      <alignment horizontal="left" vertical="center" indent="1"/>
    </xf>
    <xf numFmtId="0" fontId="3" fillId="18" borderId="52" applyNumberFormat="0" applyProtection="0">
      <alignment horizontal="left" vertical="center" indent="1"/>
    </xf>
    <xf numFmtId="0" fontId="3" fillId="18" borderId="52" applyNumberFormat="0" applyProtection="0">
      <alignment horizontal="left" vertical="center" indent="1"/>
    </xf>
    <xf numFmtId="0" fontId="3" fillId="18" borderId="52" applyNumberFormat="0" applyProtection="0">
      <alignment horizontal="left" vertical="center" indent="1"/>
    </xf>
    <xf numFmtId="0" fontId="3" fillId="18" borderId="52" applyNumberFormat="0" applyProtection="0">
      <alignment horizontal="left" vertical="center" indent="1"/>
    </xf>
    <xf numFmtId="0" fontId="3" fillId="18" borderId="52" applyNumberFormat="0" applyProtection="0">
      <alignment horizontal="left" vertical="top" indent="1"/>
    </xf>
    <xf numFmtId="0" fontId="3" fillId="18" borderId="52" applyNumberFormat="0" applyProtection="0">
      <alignment horizontal="left" vertical="top" indent="1"/>
    </xf>
    <xf numFmtId="0" fontId="3" fillId="18" borderId="52" applyNumberFormat="0" applyProtection="0">
      <alignment horizontal="left" vertical="top" indent="1"/>
    </xf>
    <xf numFmtId="0" fontId="3" fillId="18" borderId="52" applyNumberFormat="0" applyProtection="0">
      <alignment horizontal="left" vertical="top" indent="1"/>
    </xf>
    <xf numFmtId="0" fontId="3" fillId="18" borderId="52" applyNumberFormat="0" applyProtection="0">
      <alignment horizontal="left" vertical="top" indent="1"/>
    </xf>
    <xf numFmtId="0" fontId="3" fillId="83" borderId="52" applyNumberFormat="0" applyProtection="0">
      <alignment horizontal="left" vertical="center" indent="1"/>
    </xf>
    <xf numFmtId="0" fontId="3" fillId="83" borderId="52" applyNumberFormat="0" applyProtection="0">
      <alignment horizontal="left" vertical="center" indent="1"/>
    </xf>
    <xf numFmtId="0" fontId="3" fillId="83" borderId="52" applyNumberFormat="0" applyProtection="0">
      <alignment horizontal="left" vertical="center" indent="1"/>
    </xf>
    <xf numFmtId="0" fontId="3" fillId="83" borderId="52" applyNumberFormat="0" applyProtection="0">
      <alignment horizontal="left" vertical="center" indent="1"/>
    </xf>
    <xf numFmtId="0" fontId="3" fillId="83" borderId="52" applyNumberFormat="0" applyProtection="0">
      <alignment horizontal="left" vertical="center" indent="1"/>
    </xf>
    <xf numFmtId="0" fontId="3" fillId="83" borderId="52" applyNumberFormat="0" applyProtection="0">
      <alignment horizontal="left" vertical="top" indent="1"/>
    </xf>
    <xf numFmtId="0" fontId="3" fillId="83" borderId="52" applyNumberFormat="0" applyProtection="0">
      <alignment horizontal="left" vertical="top" indent="1"/>
    </xf>
    <xf numFmtId="0" fontId="3" fillId="83" borderId="52" applyNumberFormat="0" applyProtection="0">
      <alignment horizontal="left" vertical="top" indent="1"/>
    </xf>
    <xf numFmtId="0" fontId="3" fillId="83" borderId="52" applyNumberFormat="0" applyProtection="0">
      <alignment horizontal="left" vertical="top" indent="1"/>
    </xf>
    <xf numFmtId="0" fontId="3" fillId="83" borderId="52" applyNumberFormat="0" applyProtection="0">
      <alignment horizontal="left" vertical="top" indent="1"/>
    </xf>
    <xf numFmtId="4" fontId="87" fillId="3" borderId="52" applyNumberFormat="0" applyProtection="0">
      <alignment vertical="center"/>
    </xf>
    <xf numFmtId="4" fontId="138" fillId="3" borderId="52" applyNumberFormat="0" applyProtection="0">
      <alignment vertical="center"/>
    </xf>
    <xf numFmtId="4" fontId="87" fillId="3" borderId="52" applyNumberFormat="0" applyProtection="0">
      <alignment horizontal="left" vertical="center" indent="1"/>
    </xf>
    <xf numFmtId="0" fontId="87" fillId="3" borderId="52" applyNumberFormat="0" applyProtection="0">
      <alignment horizontal="left" vertical="top" indent="1"/>
    </xf>
    <xf numFmtId="4" fontId="87" fillId="81" borderId="52" applyNumberFormat="0" applyProtection="0">
      <alignment horizontal="right" vertical="center"/>
    </xf>
    <xf numFmtId="4" fontId="138" fillId="81" borderId="52" applyNumberFormat="0" applyProtection="0">
      <alignment horizontal="right" vertical="center"/>
    </xf>
    <xf numFmtId="4" fontId="87" fillId="82" borderId="52" applyNumberFormat="0" applyProtection="0">
      <alignment horizontal="left" vertical="center" indent="1"/>
    </xf>
    <xf numFmtId="0" fontId="87" fillId="78" borderId="52" applyNumberFormat="0" applyProtection="0">
      <alignment horizontal="left" vertical="top" indent="1"/>
    </xf>
    <xf numFmtId="4" fontId="130" fillId="81" borderId="52" applyNumberFormat="0" applyProtection="0">
      <alignment horizontal="right" vertical="center"/>
    </xf>
    <xf numFmtId="165" fontId="1" fillId="0" borderId="0" applyFont="0" applyFill="0" applyBorder="0" applyAlignment="0" applyProtection="0"/>
    <xf numFmtId="0" fontId="52" fillId="0" borderId="53" applyNumberFormat="0" applyFill="0" applyAlignment="0" applyProtection="0"/>
    <xf numFmtId="0" fontId="52" fillId="0" borderId="53"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52" fillId="0" borderId="54" applyNumberFormat="0" applyFill="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80" fillId="0" borderId="56">
      <alignment horizontal="left" vertical="center"/>
    </xf>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0" fontId="149" fillId="0" borderId="0"/>
    <xf numFmtId="0" fontId="1" fillId="5" borderId="0" applyNumberFormat="0" applyBorder="0" applyAlignment="0" applyProtection="0"/>
    <xf numFmtId="0" fontId="20" fillId="2" borderId="0" applyNumberFormat="0" applyBorder="0" applyAlignment="0" applyProtection="0"/>
    <xf numFmtId="0" fontId="1" fillId="6" borderId="0" applyNumberFormat="0" applyBorder="0" applyAlignment="0" applyProtection="0"/>
    <xf numFmtId="0" fontId="20" fillId="3" borderId="0" applyNumberFormat="0" applyBorder="0" applyAlignment="0" applyProtection="0"/>
    <xf numFmtId="0" fontId="1" fillId="7" borderId="0" applyNumberFormat="0" applyBorder="0" applyAlignment="0" applyProtection="0"/>
    <xf numFmtId="0" fontId="20" fillId="3" borderId="0" applyNumberFormat="0" applyBorder="0" applyAlignment="0" applyProtection="0"/>
    <xf numFmtId="0" fontId="1" fillId="8" borderId="0" applyNumberFormat="0" applyBorder="0" applyAlignment="0" applyProtection="0"/>
    <xf numFmtId="0" fontId="20" fillId="4" borderId="0" applyNumberFormat="0" applyBorder="0" applyAlignment="0" applyProtection="0"/>
    <xf numFmtId="0" fontId="1" fillId="9" borderId="0" applyNumberFormat="0" applyBorder="0" applyAlignment="0" applyProtection="0"/>
    <xf numFmtId="0" fontId="20" fillId="2" borderId="0" applyNumberFormat="0" applyBorder="0" applyAlignment="0" applyProtection="0"/>
    <xf numFmtId="0" fontId="1" fillId="10" borderId="0" applyNumberFormat="0" applyBorder="0" applyAlignment="0" applyProtection="0"/>
    <xf numFmtId="0" fontId="20" fillId="3" borderId="0" applyNumberFormat="0" applyBorder="0" applyAlignment="0" applyProtection="0"/>
    <xf numFmtId="0" fontId="1" fillId="5" borderId="0" applyNumberFormat="0" applyBorder="0" applyAlignment="0" applyProtection="0"/>
    <xf numFmtId="0" fontId="1" fillId="74"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74"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8" borderId="0" applyNumberFormat="0" applyBorder="0" applyAlignment="0" applyProtection="0"/>
    <xf numFmtId="0" fontId="1" fillId="74"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74"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1" fillId="15" borderId="0" applyNumberFormat="0" applyBorder="0" applyAlignment="0" applyProtection="0"/>
    <xf numFmtId="0" fontId="20" fillId="11" borderId="0" applyNumberFormat="0" applyBorder="0" applyAlignment="0" applyProtection="0"/>
    <xf numFmtId="0" fontId="1" fillId="16" borderId="0" applyNumberFormat="0" applyBorder="0" applyAlignment="0" applyProtection="0"/>
    <xf numFmtId="0" fontId="20" fillId="12" borderId="0" applyNumberFormat="0" applyBorder="0" applyAlignment="0" applyProtection="0"/>
    <xf numFmtId="0" fontId="1" fillId="8" borderId="0" applyNumberFormat="0" applyBorder="0" applyAlignment="0" applyProtection="0"/>
    <xf numFmtId="0" fontId="20" fillId="11"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1" fillId="17" borderId="0" applyNumberFormat="0" applyBorder="0" applyAlignment="0" applyProtection="0"/>
    <xf numFmtId="0" fontId="20" fillId="13" borderId="0" applyNumberFormat="0" applyBorder="0" applyAlignment="0" applyProtection="0"/>
    <xf numFmtId="0" fontId="1" fillId="14" borderId="0" applyNumberFormat="0" applyBorder="0" applyAlignment="0" applyProtection="0"/>
    <xf numFmtId="0" fontId="1" fillId="75"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5"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8" borderId="0" applyNumberFormat="0" applyBorder="0" applyAlignment="0" applyProtection="0"/>
    <xf numFmtId="0" fontId="1" fillId="75"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5"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7" borderId="0" applyNumberFormat="0" applyBorder="0" applyAlignment="0" applyProtection="0"/>
    <xf numFmtId="0" fontId="1" fillId="1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8" fillId="20" borderId="0" applyNumberFormat="0" applyBorder="0" applyAlignment="0" applyProtection="0"/>
    <xf numFmtId="0" fontId="8" fillId="18"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1" borderId="0" applyNumberFormat="0" applyBorder="0" applyAlignment="0" applyProtection="0"/>
    <xf numFmtId="0" fontId="8" fillId="21" borderId="0" applyNumberFormat="0" applyBorder="0" applyAlignment="0" applyProtection="0"/>
    <xf numFmtId="0" fontId="8" fillId="11" borderId="0" applyNumberFormat="0" applyBorder="0" applyAlignment="0" applyProtection="0"/>
    <xf numFmtId="0" fontId="8" fillId="22" borderId="0" applyNumberFormat="0" applyBorder="0" applyAlignment="0" applyProtection="0"/>
    <xf numFmtId="0" fontId="8" fillId="18" borderId="0" applyNumberFormat="0" applyBorder="0" applyAlignment="0" applyProtection="0"/>
    <xf numFmtId="0" fontId="8" fillId="23" borderId="0" applyNumberFormat="0" applyBorder="0" applyAlignment="0" applyProtection="0"/>
    <xf numFmtId="0" fontId="8" fillId="13" borderId="0" applyNumberFormat="0" applyBorder="0" applyAlignment="0" applyProtection="0"/>
    <xf numFmtId="0" fontId="61" fillId="50" borderId="0" applyNumberFormat="0" applyBorder="0" applyAlignment="0" applyProtection="0"/>
    <xf numFmtId="0" fontId="8" fillId="22"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2" borderId="0" applyNumberFormat="0" applyBorder="0" applyAlignment="0" applyProtection="0"/>
    <xf numFmtId="0" fontId="61" fillId="53" borderId="0" applyNumberFormat="0" applyBorder="0" applyAlignment="0" applyProtection="0"/>
    <xf numFmtId="0" fontId="8" fillId="75"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3" borderId="0" applyNumberFormat="0" applyBorder="0" applyAlignment="0" applyProtection="0"/>
    <xf numFmtId="0" fontId="61" fillId="54" borderId="0" applyNumberFormat="0" applyBorder="0" applyAlignment="0" applyProtection="0"/>
    <xf numFmtId="0" fontId="8" fillId="22"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4" borderId="0" applyNumberFormat="0" applyBorder="0" applyAlignment="0" applyProtection="0"/>
    <xf numFmtId="0" fontId="61" fillId="55" borderId="0" applyNumberFormat="0" applyBorder="0" applyAlignment="0" applyProtection="0"/>
    <xf numFmtId="0" fontId="8" fillId="10" borderId="0" applyNumberFormat="0" applyBorder="0" applyAlignment="0" applyProtection="0"/>
    <xf numFmtId="0" fontId="61" fillId="55" borderId="0" applyNumberFormat="0" applyBorder="0" applyAlignment="0" applyProtection="0"/>
    <xf numFmtId="0" fontId="61" fillId="55" borderId="0" applyNumberFormat="0" applyBorder="0" applyAlignment="0" applyProtection="0"/>
    <xf numFmtId="0" fontId="61" fillId="55" borderId="0" applyNumberFormat="0" applyBorder="0" applyAlignment="0" applyProtection="0"/>
    <xf numFmtId="0" fontId="8" fillId="30"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25" borderId="0" applyNumberFormat="0" applyBorder="0" applyAlignment="0" applyProtection="0"/>
    <xf numFmtId="0" fontId="8" fillId="32" borderId="0" applyNumberFormat="0" applyBorder="0" applyAlignment="0" applyProtection="0"/>
    <xf numFmtId="0" fontId="8" fillId="26"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2" borderId="0" applyNumberFormat="0" applyBorder="0" applyAlignment="0" applyProtection="0"/>
    <xf numFmtId="0" fontId="8" fillId="27" borderId="0" applyNumberFormat="0" applyBorder="0" applyAlignment="0" applyProtection="0"/>
    <xf numFmtId="0" fontId="8" fillId="33" borderId="0" applyNumberFormat="0" applyBorder="0" applyAlignment="0" applyProtection="0"/>
    <xf numFmtId="0" fontId="8" fillId="19" borderId="0" applyNumberFormat="0" applyBorder="0" applyAlignment="0" applyProtection="0"/>
    <xf numFmtId="0" fontId="12" fillId="6" borderId="0" applyNumberFormat="0" applyBorder="0" applyAlignment="0" applyProtection="0"/>
    <xf numFmtId="0" fontId="42" fillId="13"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62" fillId="56" borderId="0" applyNumberFormat="0" applyBorder="0" applyAlignment="0" applyProtection="0"/>
    <xf numFmtId="0" fontId="43" fillId="28" borderId="32" applyNumberFormat="0" applyAlignment="0" applyProtection="0"/>
    <xf numFmtId="0" fontId="93" fillId="72" borderId="32" applyNumberFormat="0" applyAlignment="0" applyProtection="0"/>
    <xf numFmtId="0" fontId="43" fillId="28" borderId="32" applyNumberFormat="0" applyAlignment="0" applyProtection="0"/>
    <xf numFmtId="0" fontId="43" fillId="28" borderId="32" applyNumberFormat="0" applyAlignment="0" applyProtection="0"/>
    <xf numFmtId="0" fontId="63" fillId="57" borderId="18" applyNumberFormat="0" applyAlignment="0" applyProtection="0"/>
    <xf numFmtId="0" fontId="93" fillId="74" borderId="32" applyNumberFormat="0" applyAlignment="0" applyProtection="0"/>
    <xf numFmtId="0" fontId="63" fillId="57" borderId="18" applyNumberFormat="0" applyAlignment="0" applyProtection="0"/>
    <xf numFmtId="0" fontId="63" fillId="57" borderId="18" applyNumberFormat="0" applyAlignment="0" applyProtection="0"/>
    <xf numFmtId="0" fontId="63" fillId="57" borderId="18" applyNumberFormat="0" applyAlignment="0" applyProtection="0"/>
    <xf numFmtId="0" fontId="64" fillId="58" borderId="19" applyNumberFormat="0" applyAlignment="0" applyProtection="0"/>
    <xf numFmtId="0" fontId="10" fillId="29" borderId="57" applyNumberFormat="0" applyAlignment="0" applyProtection="0"/>
    <xf numFmtId="0" fontId="64" fillId="58" borderId="19" applyNumberFormat="0" applyAlignment="0" applyProtection="0"/>
    <xf numFmtId="0" fontId="64" fillId="58" borderId="19" applyNumberFormat="0" applyAlignment="0" applyProtection="0"/>
    <xf numFmtId="0" fontId="64" fillId="58" borderId="19" applyNumberFormat="0" applyAlignment="0" applyProtection="0"/>
    <xf numFmtId="0" fontId="65" fillId="0" borderId="20" applyNumberFormat="0" applyFill="0" applyAlignment="0" applyProtection="0"/>
    <xf numFmtId="0" fontId="11" fillId="0" borderId="7" applyNumberFormat="0" applyFill="0" applyAlignment="0" applyProtection="0"/>
    <xf numFmtId="0" fontId="65" fillId="0" borderId="20" applyNumberFormat="0" applyFill="0" applyAlignment="0" applyProtection="0"/>
    <xf numFmtId="0" fontId="65" fillId="0" borderId="20" applyNumberFormat="0" applyFill="0" applyAlignment="0" applyProtection="0"/>
    <xf numFmtId="0" fontId="65" fillId="0" borderId="20" applyNumberFormat="0" applyFill="0" applyAlignment="0" applyProtection="0"/>
    <xf numFmtId="0" fontId="10" fillId="29" borderId="6" applyNumberFormat="0" applyAlignment="0" applyProtection="0"/>
    <xf numFmtId="0" fontId="10" fillId="26" borderId="6" applyNumberFormat="0" applyAlignment="0" applyProtection="0"/>
    <xf numFmtId="0" fontId="61" fillId="59" borderId="0" applyNumberFormat="0" applyBorder="0" applyAlignment="0" applyProtection="0"/>
    <xf numFmtId="0" fontId="8" fillId="22" borderId="0" applyNumberFormat="0" applyBorder="0" applyAlignment="0" applyProtection="0"/>
    <xf numFmtId="0" fontId="61" fillId="59" borderId="0" applyNumberFormat="0" applyBorder="0" applyAlignment="0" applyProtection="0"/>
    <xf numFmtId="0" fontId="61" fillId="59" borderId="0" applyNumberFormat="0" applyBorder="0" applyAlignment="0" applyProtection="0"/>
    <xf numFmtId="0" fontId="61" fillId="59"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0" borderId="0" applyNumberFormat="0" applyBorder="0" applyAlignment="0" applyProtection="0"/>
    <xf numFmtId="0" fontId="61" fillId="61" borderId="0" applyNumberFormat="0" applyBorder="0" applyAlignment="0" applyProtection="0"/>
    <xf numFmtId="0" fontId="8" fillId="32"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1" borderId="0" applyNumberFormat="0" applyBorder="0" applyAlignment="0" applyProtection="0"/>
    <xf numFmtId="0" fontId="61" fillId="62" borderId="0" applyNumberFormat="0" applyBorder="0" applyAlignment="0" applyProtection="0"/>
    <xf numFmtId="0" fontId="8" fillId="85" borderId="0" applyNumberFormat="0" applyBorder="0" applyAlignment="0" applyProtection="0"/>
    <xf numFmtId="0" fontId="61" fillId="62" borderId="0" applyNumberFormat="0" applyBorder="0" applyAlignment="0" applyProtection="0"/>
    <xf numFmtId="0" fontId="61" fillId="62" borderId="0" applyNumberFormat="0" applyBorder="0" applyAlignment="0" applyProtection="0"/>
    <xf numFmtId="0" fontId="61" fillId="62" borderId="0" applyNumberFormat="0" applyBorder="0" applyAlignment="0" applyProtection="0"/>
    <xf numFmtId="0" fontId="61" fillId="63" borderId="0" applyNumberFormat="0" applyBorder="0" applyAlignment="0" applyProtection="0"/>
    <xf numFmtId="0" fontId="8" fillId="22"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3" borderId="0" applyNumberFormat="0" applyBorder="0" applyAlignment="0" applyProtection="0"/>
    <xf numFmtId="0" fontId="61" fillId="64" borderId="0" applyNumberFormat="0" applyBorder="0" applyAlignment="0" applyProtection="0"/>
    <xf numFmtId="0" fontId="8" fillId="33" borderId="0" applyNumberFormat="0" applyBorder="0" applyAlignment="0" applyProtection="0"/>
    <xf numFmtId="0" fontId="61" fillId="64" borderId="0" applyNumberFormat="0" applyBorder="0" applyAlignment="0" applyProtection="0"/>
    <xf numFmtId="0" fontId="61" fillId="64" borderId="0" applyNumberFormat="0" applyBorder="0" applyAlignment="0" applyProtection="0"/>
    <xf numFmtId="0" fontId="61" fillId="64" borderId="0" applyNumberFormat="0" applyBorder="0" applyAlignment="0" applyProtection="0"/>
    <xf numFmtId="0" fontId="66" fillId="65" borderId="18" applyNumberFormat="0" applyAlignment="0" applyProtection="0"/>
    <xf numFmtId="0" fontId="66" fillId="65" borderId="18" applyNumberFormat="0" applyAlignment="0" applyProtection="0"/>
    <xf numFmtId="0" fontId="66" fillId="65" borderId="18" applyNumberFormat="0" applyAlignment="0" applyProtection="0"/>
    <xf numFmtId="0" fontId="66" fillId="65" borderId="18" applyNumberFormat="0" applyAlignment="0" applyProtection="0"/>
    <xf numFmtId="0" fontId="9" fillId="7" borderId="0" applyNumberFormat="0" applyBorder="0" applyAlignment="0" applyProtection="0"/>
    <xf numFmtId="0" fontId="9" fillId="12" borderId="0" applyNumberFormat="0" applyBorder="0" applyAlignment="0" applyProtection="0"/>
    <xf numFmtId="0" fontId="17" fillId="0" borderId="2" applyNumberFormat="0" applyFill="0" applyAlignment="0" applyProtection="0"/>
    <xf numFmtId="0" fontId="44" fillId="0" borderId="10" applyNumberFormat="0" applyFill="0" applyAlignment="0" applyProtection="0"/>
    <xf numFmtId="0" fontId="18" fillId="0" borderId="3" applyNumberFormat="0" applyFill="0" applyAlignment="0" applyProtection="0"/>
    <xf numFmtId="0" fontId="56" fillId="0" borderId="11" applyNumberFormat="0" applyFill="0" applyAlignment="0" applyProtection="0"/>
    <xf numFmtId="0" fontId="19" fillId="0" borderId="4" applyNumberFormat="0" applyFill="0" applyAlignment="0" applyProtection="0"/>
    <xf numFmtId="0" fontId="45" fillId="0" borderId="12" applyNumberFormat="0" applyFill="0" applyAlignment="0" applyProtection="0"/>
    <xf numFmtId="0" fontId="45" fillId="0" borderId="12" applyNumberFormat="0" applyFill="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67" fillId="66" borderId="0" applyNumberFormat="0" applyBorder="0" applyAlignment="0" applyProtection="0"/>
    <xf numFmtId="0" fontId="55" fillId="10" borderId="32" applyNumberFormat="0" applyAlignment="0" applyProtection="0"/>
    <xf numFmtId="0" fontId="55" fillId="13" borderId="32" applyNumberFormat="0" applyAlignment="0" applyProtection="0"/>
    <xf numFmtId="0" fontId="55" fillId="13" borderId="32" applyNumberFormat="0" applyAlignment="0" applyProtection="0"/>
    <xf numFmtId="0" fontId="11" fillId="0" borderId="7" applyNumberFormat="0" applyFill="0" applyAlignment="0" applyProtection="0"/>
    <xf numFmtId="0" fontId="46" fillId="0" borderId="7" applyNumberFormat="0" applyFill="0" applyAlignment="0" applyProtection="0"/>
    <xf numFmtId="44" fontId="1" fillId="0" borderId="0" applyFont="0" applyFill="0" applyBorder="0" applyAlignment="0" applyProtection="0"/>
    <xf numFmtId="167" fontId="3" fillId="0" borderId="0" applyFont="0" applyFill="0" applyBorder="0" applyAlignment="0" applyProtection="0"/>
    <xf numFmtId="0" fontId="68" fillId="67" borderId="0" applyNumberFormat="0" applyBorder="0" applyAlignment="0" applyProtection="0"/>
    <xf numFmtId="0" fontId="13" fillId="34" borderId="0" applyNumberFormat="0" applyBorder="0" applyAlignment="0" applyProtection="0"/>
    <xf numFmtId="0" fontId="68" fillId="67" borderId="0" applyNumberFormat="0" applyBorder="0" applyAlignment="0" applyProtection="0"/>
    <xf numFmtId="0" fontId="68" fillId="67" borderId="0" applyNumberFormat="0" applyBorder="0" applyAlignment="0" applyProtection="0"/>
    <xf numFmtId="0" fontId="68" fillId="67" borderId="0" applyNumberFormat="0" applyBorder="0" applyAlignment="0" applyProtection="0"/>
    <xf numFmtId="0" fontId="13" fillId="34" borderId="0" applyNumberFormat="0" applyBorder="0" applyAlignment="0" applyProtection="0"/>
    <xf numFmtId="0" fontId="47" fillId="35" borderId="0" applyNumberFormat="0" applyBorder="0" applyAlignment="0" applyProtection="0"/>
    <xf numFmtId="170" fontId="3" fillId="0" borderId="0"/>
    <xf numFmtId="170" fontId="3" fillId="0" borderId="0"/>
    <xf numFmtId="0" fontId="20" fillId="0" borderId="0"/>
    <xf numFmtId="0" fontId="153" fillId="0" borderId="0"/>
    <xf numFmtId="0" fontId="3" fillId="0" borderId="0"/>
    <xf numFmtId="0" fontId="3" fillId="0" borderId="0"/>
    <xf numFmtId="0" fontId="20" fillId="0" borderId="0"/>
    <xf numFmtId="0" fontId="20" fillId="0" borderId="0"/>
    <xf numFmtId="0" fontId="3" fillId="0" borderId="0"/>
    <xf numFmtId="0" fontId="3" fillId="0" borderId="0"/>
    <xf numFmtId="0" fontId="3"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20" fillId="0" borderId="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40"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3" fillId="71" borderId="40" applyNumberFormat="0" applyFont="0" applyAlignment="0" applyProtection="0"/>
    <xf numFmtId="0" fontId="20" fillId="68" borderId="21" applyNumberFormat="0" applyFont="0" applyAlignment="0" applyProtection="0"/>
    <xf numFmtId="0" fontId="1" fillId="71" borderId="39" applyNumberFormat="0" applyFont="0" applyAlignment="0" applyProtection="0"/>
    <xf numFmtId="0" fontId="20"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71" borderId="39" applyNumberFormat="0" applyFont="0" applyAlignment="0" applyProtection="0"/>
    <xf numFmtId="0" fontId="3" fillId="71" borderId="39"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1" fillId="68" borderId="21"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0" fontId="20" fillId="3" borderId="39" applyNumberFormat="0" applyFont="0" applyAlignment="0" applyProtection="0"/>
    <xf numFmtId="0" fontId="14" fillId="28" borderId="40" applyNumberFormat="0" applyAlignment="0" applyProtection="0"/>
    <xf numFmtId="0" fontId="14" fillId="72" borderId="40" applyNumberFormat="0" applyAlignment="0" applyProtection="0"/>
    <xf numFmtId="0" fontId="14" fillId="28" borderId="40" applyNumberFormat="0" applyAlignment="0" applyProtection="0"/>
    <xf numFmtId="0" fontId="14" fillId="28" borderId="40" applyNumberFormat="0" applyAlignment="0" applyProtection="0"/>
    <xf numFmtId="9" fontId="3" fillId="0" borderId="0" applyFont="0" applyFill="0" applyBorder="0" applyAlignment="0" applyProtection="0"/>
    <xf numFmtId="0" fontId="70" fillId="57" borderId="22" applyNumberFormat="0" applyAlignment="0" applyProtection="0"/>
    <xf numFmtId="0" fontId="151" fillId="74" borderId="39" applyNumberFormat="0" applyAlignment="0" applyProtection="0"/>
    <xf numFmtId="0" fontId="70" fillId="57" borderId="22" applyNumberFormat="0" applyAlignment="0" applyProtection="0"/>
    <xf numFmtId="0" fontId="70" fillId="57" borderId="22" applyNumberFormat="0" applyAlignment="0" applyProtection="0"/>
    <xf numFmtId="0" fontId="70" fillId="57" borderId="22" applyNumberForma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15"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16" fillId="0" borderId="0" applyNumberFormat="0" applyFill="0" applyBorder="0" applyAlignment="0" applyProtection="0"/>
    <xf numFmtId="0" fontId="72" fillId="0" borderId="0" applyNumberFormat="0" applyFill="0" applyBorder="0" applyAlignment="0" applyProtection="0"/>
    <xf numFmtId="0" fontId="141" fillId="0" borderId="0" applyNumberFormat="0" applyFill="0" applyBorder="0" applyAlignment="0" applyProtection="0"/>
    <xf numFmtId="0" fontId="48" fillId="0" borderId="0" applyNumberFormat="0" applyFill="0" applyBorder="0" applyAlignment="0" applyProtection="0"/>
    <xf numFmtId="0" fontId="74" fillId="0" borderId="0" applyNumberFormat="0" applyFill="0" applyAlignment="0" applyProtection="0"/>
    <xf numFmtId="0" fontId="44" fillId="0" borderId="58" applyNumberFormat="0" applyFill="0" applyAlignment="0" applyProtection="0"/>
    <xf numFmtId="0" fontId="74" fillId="0" borderId="23" applyNumberFormat="0" applyFill="0" applyAlignment="0" applyProtection="0"/>
    <xf numFmtId="0" fontId="74" fillId="0" borderId="23" applyNumberFormat="0" applyFill="0" applyAlignment="0" applyProtection="0"/>
    <xf numFmtId="0" fontId="74" fillId="0" borderId="23" applyNumberFormat="0" applyFill="0" applyAlignment="0" applyProtection="0"/>
    <xf numFmtId="0" fontId="17" fillId="0" borderId="2" applyNumberFormat="0" applyFill="0" applyAlignment="0" applyProtection="0"/>
    <xf numFmtId="0" fontId="74" fillId="0" borderId="23" applyNumberFormat="0" applyFill="0" applyAlignment="0" applyProtection="0"/>
    <xf numFmtId="0" fontId="154" fillId="0" borderId="0" applyNumberFormat="0" applyFill="0" applyBorder="0" applyAlignment="0" applyProtection="0"/>
    <xf numFmtId="0" fontId="56" fillId="0" borderId="59" applyNumberFormat="0" applyFill="0" applyAlignment="0" applyProtection="0"/>
    <xf numFmtId="0" fontId="75" fillId="0" borderId="24" applyNumberFormat="0" applyFill="0" applyAlignment="0" applyProtection="0"/>
    <xf numFmtId="0" fontId="75" fillId="0" borderId="24" applyNumberFormat="0" applyFill="0" applyAlignment="0" applyProtection="0"/>
    <xf numFmtId="0" fontId="75" fillId="0" borderId="24" applyNumberFormat="0" applyFill="0" applyAlignment="0" applyProtection="0"/>
    <xf numFmtId="0" fontId="18" fillId="0" borderId="3" applyNumberFormat="0" applyFill="0" applyAlignment="0" applyProtection="0"/>
    <xf numFmtId="0" fontId="75" fillId="0" borderId="24" applyNumberFormat="0" applyFill="0" applyAlignment="0" applyProtection="0"/>
    <xf numFmtId="0" fontId="76" fillId="0" borderId="25" applyNumberFormat="0" applyFill="0" applyAlignment="0" applyProtection="0"/>
    <xf numFmtId="0" fontId="45" fillId="0" borderId="60" applyNumberFormat="0" applyFill="0" applyAlignment="0" applyProtection="0"/>
    <xf numFmtId="0" fontId="76" fillId="0" borderId="25" applyNumberFormat="0" applyFill="0" applyAlignment="0" applyProtection="0"/>
    <xf numFmtId="0" fontId="76" fillId="0" borderId="25" applyNumberFormat="0" applyFill="0" applyAlignment="0" applyProtection="0"/>
    <xf numFmtId="0" fontId="19" fillId="0" borderId="4" applyNumberFormat="0" applyFill="0" applyAlignment="0" applyProtection="0"/>
    <xf numFmtId="0" fontId="76" fillId="0" borderId="25" applyNumberFormat="0" applyFill="0" applyAlignment="0" applyProtection="0"/>
    <xf numFmtId="0" fontId="76" fillId="0" borderId="0" applyNumberFormat="0" applyFill="0" applyBorder="0" applyAlignment="0" applyProtection="0"/>
    <xf numFmtId="0" fontId="45"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9" fillId="0" borderId="0" applyNumberFormat="0" applyFill="0" applyBorder="0" applyAlignment="0" applyProtection="0"/>
    <xf numFmtId="0" fontId="76" fillId="0" borderId="0" applyNumberFormat="0" applyFill="0" applyBorder="0" applyAlignment="0" applyProtection="0"/>
    <xf numFmtId="0" fontId="73" fillId="0" borderId="0" applyNumberFormat="0" applyFill="0" applyBorder="0" applyAlignment="0" applyProtection="0"/>
    <xf numFmtId="0" fontId="152"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141" fillId="0" borderId="0" applyNumberFormat="0" applyFill="0" applyBorder="0" applyAlignment="0" applyProtection="0"/>
    <xf numFmtId="0" fontId="73" fillId="0" borderId="0" applyNumberFormat="0" applyFill="0" applyBorder="0" applyAlignment="0" applyProtection="0"/>
    <xf numFmtId="0" fontId="77" fillId="0" borderId="26" applyNumberFormat="0" applyFill="0" applyAlignment="0" applyProtection="0"/>
    <xf numFmtId="0" fontId="52" fillId="0" borderId="61" applyNumberFormat="0" applyFill="0" applyAlignment="0" applyProtection="0"/>
    <xf numFmtId="0" fontId="54" fillId="0" borderId="62" applyNumberFormat="0" applyFill="0" applyAlignment="0" applyProtection="0"/>
    <xf numFmtId="0" fontId="54" fillId="0" borderId="62" applyNumberFormat="0" applyFill="0" applyAlignment="0" applyProtection="0"/>
    <xf numFmtId="0" fontId="54" fillId="0" borderId="62" applyNumberFormat="0" applyFill="0" applyAlignment="0" applyProtection="0"/>
    <xf numFmtId="0" fontId="54" fillId="0" borderId="62" applyNumberFormat="0" applyFill="0" applyAlignment="0" applyProtection="0"/>
    <xf numFmtId="0" fontId="54" fillId="0" borderId="62" applyNumberFormat="0" applyFill="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0" fontId="60" fillId="68" borderId="21" applyNumberFormat="0" applyFont="0" applyAlignment="0" applyProtection="0"/>
    <xf numFmtId="0" fontId="3" fillId="0" borderId="0"/>
    <xf numFmtId="170" fontId="3" fillId="0" borderId="0"/>
    <xf numFmtId="0" fontId="20" fillId="2" borderId="0" applyNumberFormat="0" applyBorder="0" applyAlignment="0" applyProtection="0"/>
    <xf numFmtId="0" fontId="1" fillId="5"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1" fillId="6"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1" fillId="8"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2" borderId="0" applyNumberFormat="0" applyBorder="0" applyAlignment="0" applyProtection="0"/>
    <xf numFmtId="0" fontId="1" fillId="9"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1" fillId="10"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170" fontId="1" fillId="5" borderId="0" applyNumberFormat="0" applyBorder="0" applyAlignment="0" applyProtection="0"/>
    <xf numFmtId="170" fontId="1" fillId="6" borderId="0" applyNumberFormat="0" applyBorder="0" applyAlignment="0" applyProtection="0"/>
    <xf numFmtId="170" fontId="1" fillId="7" borderId="0" applyNumberFormat="0" applyBorder="0" applyAlignment="0" applyProtection="0"/>
    <xf numFmtId="170" fontId="1" fillId="8" borderId="0" applyNumberFormat="0" applyBorder="0" applyAlignment="0" applyProtection="0"/>
    <xf numFmtId="170" fontId="1" fillId="9" borderId="0" applyNumberFormat="0" applyBorder="0" applyAlignment="0" applyProtection="0"/>
    <xf numFmtId="170" fontId="1" fillId="10"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74"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74"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1" fillId="5"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10"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1" fillId="6"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39"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1"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1" fillId="7"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0"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74"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74"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1" fillId="8"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1"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1" fillId="9"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2"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1" fillId="10"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60" fillId="43" borderId="0" applyNumberFormat="0" applyBorder="0" applyAlignment="0" applyProtection="0"/>
    <xf numFmtId="0" fontId="20" fillId="4"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11" borderId="0" applyNumberFormat="0" applyBorder="0" applyAlignment="0" applyProtection="0"/>
    <xf numFmtId="0" fontId="1" fillId="15"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1" fillId="16"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1" borderId="0" applyNumberFormat="0" applyBorder="0" applyAlignment="0" applyProtection="0"/>
    <xf numFmtId="0" fontId="1"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4" borderId="0" applyNumberFormat="0" applyBorder="0" applyAlignment="0" applyProtection="0"/>
    <xf numFmtId="0" fontId="1" fillId="1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13" borderId="0" applyNumberFormat="0" applyBorder="0" applyAlignment="0" applyProtection="0"/>
    <xf numFmtId="0" fontId="1" fillId="17"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170" fontId="1" fillId="14" borderId="0" applyNumberFormat="0" applyBorder="0" applyAlignment="0" applyProtection="0"/>
    <xf numFmtId="170" fontId="1" fillId="15" borderId="0" applyNumberFormat="0" applyBorder="0" applyAlignment="0" applyProtection="0"/>
    <xf numFmtId="170" fontId="1" fillId="16" borderId="0" applyNumberFormat="0" applyBorder="0" applyAlignment="0" applyProtection="0"/>
    <xf numFmtId="170" fontId="1" fillId="8" borderId="0" applyNumberFormat="0" applyBorder="0" applyAlignment="0" applyProtection="0"/>
    <xf numFmtId="170" fontId="1" fillId="14" borderId="0" applyNumberFormat="0" applyBorder="0" applyAlignment="0" applyProtection="0"/>
    <xf numFmtId="170" fontId="1" fillId="17"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5"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75"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1" fillId="1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4"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1" fillId="1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5"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34"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1" fillId="1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6"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5"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75"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1" fillId="8"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7"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1" fillId="14"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8"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0"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1" fillId="17"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0" fontId="60" fillId="49" borderId="0" applyNumberFormat="0" applyBorder="0" applyAlignment="0" applyProtection="0"/>
    <xf numFmtId="170" fontId="23" fillId="0" borderId="1" applyNumberFormat="0" applyFill="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4" fontId="1" fillId="0" borderId="0" applyFont="0" applyFill="0" applyBorder="0" applyAlignment="0" applyProtection="0"/>
    <xf numFmtId="170" fontId="3" fillId="0" borderId="0"/>
    <xf numFmtId="0" fontId="20" fillId="0" borderId="0"/>
    <xf numFmtId="170" fontId="3" fillId="0" borderId="0"/>
    <xf numFmtId="0" fontId="20" fillId="0" borderId="0"/>
    <xf numFmtId="170" fontId="3" fillId="0" borderId="0"/>
    <xf numFmtId="0" fontId="20" fillId="0" borderId="0"/>
    <xf numFmtId="0" fontId="60" fillId="0" borderId="0"/>
    <xf numFmtId="0" fontId="60" fillId="0" borderId="0"/>
    <xf numFmtId="0" fontId="60" fillId="0" borderId="0"/>
    <xf numFmtId="0" fontId="60" fillId="0" borderId="0"/>
    <xf numFmtId="17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0" fontId="3" fillId="0" borderId="0"/>
    <xf numFmtId="0" fontId="20" fillId="0" borderId="0"/>
    <xf numFmtId="170" fontId="3" fillId="0" borderId="0"/>
    <xf numFmtId="170" fontId="3" fillId="0" borderId="0"/>
    <xf numFmtId="0" fontId="1" fillId="68" borderId="21" applyNumberFormat="0" applyFont="0" applyAlignment="0" applyProtection="0"/>
    <xf numFmtId="0" fontId="20" fillId="68" borderId="21" applyNumberFormat="0" applyFont="0" applyAlignment="0" applyProtection="0"/>
    <xf numFmtId="0" fontId="1" fillId="71" borderId="39" applyNumberFormat="0" applyFont="0" applyAlignment="0" applyProtection="0"/>
    <xf numFmtId="0" fontId="20" fillId="68" borderId="21" applyNumberFormat="0" applyFont="0" applyAlignment="0" applyProtection="0"/>
    <xf numFmtId="0" fontId="1" fillId="71" borderId="39" applyNumberFormat="0" applyFont="0" applyAlignment="0" applyProtection="0"/>
    <xf numFmtId="0" fontId="1" fillId="68" borderId="21" applyNumberFormat="0" applyFont="0" applyAlignment="0" applyProtection="0"/>
    <xf numFmtId="0" fontId="1" fillId="71"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5" fontId="38" fillId="0" borderId="1" applyBorder="0" applyProtection="0">
      <alignment horizontal="right" vertical="center"/>
    </xf>
    <xf numFmtId="170" fontId="39" fillId="37" borderId="1" applyBorder="0" applyProtection="0">
      <alignment horizontal="centerContinuous" vertical="center"/>
    </xf>
    <xf numFmtId="0" fontId="52" fillId="0" borderId="61" applyNumberFormat="0" applyFill="0" applyAlignment="0" applyProtection="0"/>
    <xf numFmtId="0" fontId="52" fillId="0" borderId="54" applyNumberFormat="0" applyFill="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195" fontId="3" fillId="0" borderId="0" applyFont="0" applyFill="0" applyBorder="0" applyAlignment="0" applyProtection="0"/>
    <xf numFmtId="0" fontId="60" fillId="0" borderId="0"/>
    <xf numFmtId="9" fontId="60" fillId="0" borderId="0" applyFont="0" applyFill="0" applyBorder="0" applyAlignment="0" applyProtection="0"/>
    <xf numFmtId="43" fontId="60" fillId="0" borderId="0" applyFont="0" applyFill="0" applyBorder="0" applyAlignment="0" applyProtection="0"/>
    <xf numFmtId="0" fontId="155" fillId="0" borderId="0"/>
    <xf numFmtId="0" fontId="155" fillId="0" borderId="0"/>
    <xf numFmtId="170" fontId="3" fillId="0" borderId="0"/>
    <xf numFmtId="170" fontId="3" fillId="0" borderId="0"/>
    <xf numFmtId="43" fontId="3" fillId="0" borderId="0" applyFont="0" applyFill="0" applyBorder="0" applyAlignment="0" applyProtection="0"/>
    <xf numFmtId="170" fontId="3" fillId="0" borderId="0"/>
    <xf numFmtId="170" fontId="3" fillId="0" borderId="0"/>
    <xf numFmtId="43" fontId="3" fillId="0" borderId="0" applyFont="0" applyFill="0" applyBorder="0" applyAlignment="0" applyProtection="0"/>
    <xf numFmtId="0" fontId="3" fillId="71" borderId="13" applyNumberFormat="0" applyFont="0" applyAlignment="0" applyProtection="0"/>
    <xf numFmtId="0" fontId="3" fillId="71" borderId="13" applyNumberFormat="0" applyFont="0" applyAlignment="0" applyProtection="0"/>
    <xf numFmtId="0" fontId="20" fillId="3" borderId="13" applyNumberFormat="0" applyFont="0" applyAlignment="0" applyProtection="0"/>
    <xf numFmtId="0" fontId="3" fillId="71" borderId="13" applyNumberFormat="0" applyFont="0" applyAlignment="0" applyProtection="0"/>
    <xf numFmtId="43" fontId="3" fillId="0" borderId="0" applyFont="0" applyFill="0" applyBorder="0" applyAlignment="0" applyProtection="0"/>
    <xf numFmtId="0" fontId="3" fillId="71" borderId="13" applyNumberFormat="0" applyFont="0" applyAlignment="0" applyProtection="0"/>
    <xf numFmtId="0" fontId="1" fillId="71" borderId="13" applyNumberFormat="0" applyFont="0" applyAlignment="0" applyProtection="0"/>
    <xf numFmtId="0" fontId="1" fillId="71" borderId="13" applyNumberFormat="0" applyFont="0" applyAlignment="0" applyProtection="0"/>
    <xf numFmtId="170" fontId="3" fillId="0" borderId="0"/>
    <xf numFmtId="17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xf numFmtId="170" fontId="3" fillId="0" borderId="0"/>
    <xf numFmtId="170" fontId="3" fillId="0" borderId="0"/>
    <xf numFmtId="44" fontId="1" fillId="0" borderId="0" applyFont="0" applyFill="0" applyBorder="0" applyAlignment="0" applyProtection="0"/>
    <xf numFmtId="170" fontId="3" fillId="0" borderId="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96"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3" fillId="0" borderId="0"/>
    <xf numFmtId="43" fontId="153" fillId="0" borderId="0" applyFont="0" applyFill="0" applyBorder="0" applyAlignment="0" applyProtection="0"/>
    <xf numFmtId="43" fontId="153"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0" fontId="151" fillId="74" borderId="13" applyNumberFormat="0" applyAlignment="0" applyProtection="0"/>
    <xf numFmtId="0" fontId="3" fillId="71" borderId="13" applyNumberFormat="0" applyFont="0" applyAlignment="0" applyProtection="0"/>
    <xf numFmtId="0" fontId="20" fillId="3"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43" fontId="3" fillId="0" borderId="0" applyFont="0" applyFill="0" applyBorder="0" applyAlignment="0" applyProtection="0"/>
    <xf numFmtId="0" fontId="1" fillId="71" borderId="13" applyNumberFormat="0" applyFont="0" applyAlignment="0" applyProtection="0"/>
    <xf numFmtId="0" fontId="3" fillId="71" borderId="13" applyNumberFormat="0" applyFont="0" applyAlignment="0" applyProtection="0"/>
    <xf numFmtId="0" fontId="3" fillId="71" borderId="13"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196" fontId="3" fillId="0" borderId="0" applyFont="0" applyFill="0" applyBorder="0" applyAlignment="0" applyProtection="0"/>
    <xf numFmtId="44" fontId="1" fillId="0" borderId="0" applyFont="0" applyFill="0" applyBorder="0" applyAlignment="0" applyProtection="0"/>
    <xf numFmtId="170" fontId="3" fillId="0" borderId="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0" fontId="1" fillId="71" borderId="13" applyNumberFormat="0" applyFont="0" applyAlignment="0" applyProtection="0"/>
    <xf numFmtId="0" fontId="1" fillId="71" borderId="13" applyNumberFormat="0" applyFont="0" applyAlignment="0" applyProtection="0"/>
    <xf numFmtId="0" fontId="1" fillId="71"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0" fontId="20" fillId="3" borderId="13"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157" fillId="0" borderId="0"/>
    <xf numFmtId="170" fontId="157" fillId="0" borderId="0"/>
    <xf numFmtId="170" fontId="157" fillId="0" borderId="0"/>
    <xf numFmtId="43" fontId="3" fillId="0" borderId="0" applyFont="0" applyFill="0" applyBorder="0" applyAlignment="0" applyProtection="0"/>
    <xf numFmtId="44" fontId="1" fillId="0" borderId="0" applyFont="0" applyFill="0" applyBorder="0" applyAlignment="0" applyProtection="0"/>
    <xf numFmtId="170" fontId="157" fillId="0" borderId="0"/>
    <xf numFmtId="170" fontId="157"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157" fillId="0" borderId="0"/>
    <xf numFmtId="43" fontId="153" fillId="0" borderId="0" applyFont="0" applyFill="0" applyBorder="0" applyAlignment="0" applyProtection="0"/>
    <xf numFmtId="43" fontId="15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9"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170" fontId="3" fillId="0" borderId="0"/>
    <xf numFmtId="170" fontId="3" fillId="0" borderId="0"/>
    <xf numFmtId="43" fontId="3" fillId="0" borderId="0" applyFont="0" applyFill="0" applyBorder="0" applyAlignment="0" applyProtection="0"/>
    <xf numFmtId="170" fontId="3" fillId="0" borderId="0"/>
    <xf numFmtId="4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3" fillId="0" borderId="0"/>
    <xf numFmtId="43" fontId="153" fillId="0" borderId="0" applyFont="0" applyFill="0" applyBorder="0" applyAlignment="0" applyProtection="0"/>
    <xf numFmtId="43" fontId="15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170" fontId="157" fillId="0" borderId="0"/>
    <xf numFmtId="43" fontId="3" fillId="0" borderId="0" applyFont="0" applyFill="0" applyBorder="0" applyAlignment="0" applyProtection="0"/>
    <xf numFmtId="170" fontId="157" fillId="0" borderId="0"/>
    <xf numFmtId="170" fontId="157" fillId="0" borderId="0"/>
    <xf numFmtId="43" fontId="3" fillId="0" borderId="0" applyFont="0" applyFill="0" applyBorder="0" applyAlignment="0" applyProtection="0"/>
    <xf numFmtId="43" fontId="3" fillId="0" borderId="0" applyFont="0" applyFill="0" applyBorder="0" applyAlignment="0" applyProtection="0"/>
    <xf numFmtId="170" fontId="157" fillId="0" borderId="0"/>
    <xf numFmtId="170" fontId="157" fillId="0" borderId="0"/>
    <xf numFmtId="43" fontId="3" fillId="0" borderId="0" applyFont="0" applyFill="0" applyBorder="0" applyAlignment="0" applyProtection="0"/>
    <xf numFmtId="170" fontId="157" fillId="0" borderId="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157" fillId="0" borderId="0"/>
    <xf numFmtId="43" fontId="153" fillId="0" borderId="0" applyFont="0" applyFill="0" applyBorder="0" applyAlignment="0" applyProtection="0"/>
    <xf numFmtId="43" fontId="153" fillId="0" borderId="0" applyFont="0" applyFill="0" applyBorder="0" applyAlignment="0" applyProtection="0"/>
    <xf numFmtId="170" fontId="157" fillId="0" borderId="0"/>
    <xf numFmtId="170" fontId="157" fillId="0" borderId="0"/>
    <xf numFmtId="170" fontId="157" fillId="0" borderId="0"/>
    <xf numFmtId="43" fontId="3" fillId="0" borderId="0" applyFont="0" applyFill="0" applyBorder="0" applyAlignment="0" applyProtection="0"/>
    <xf numFmtId="170" fontId="157" fillId="0" borderId="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43" fillId="28" borderId="32" applyNumberForma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0" fontId="14" fillId="28" borderId="40"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8" fillId="0" borderId="0" applyFont="0" applyFill="0" applyBorder="0" applyAlignment="0" applyProtection="0"/>
    <xf numFmtId="43" fontId="98" fillId="0" borderId="0" applyFont="0" applyFill="0" applyBorder="0" applyAlignment="0" applyProtection="0"/>
    <xf numFmtId="41" fontId="103" fillId="0" borderId="0"/>
    <xf numFmtId="44" fontId="60"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24"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124"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7"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7"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25"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 fillId="0" borderId="0"/>
    <xf numFmtId="0" fontId="93"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4" fillId="72" borderId="32" applyNumberFormat="0" applyAlignment="0" applyProtection="0"/>
    <xf numFmtId="0" fontId="95" fillId="74" borderId="32" applyNumberFormat="0" applyAlignment="0" applyProtection="0"/>
    <xf numFmtId="0" fontId="95" fillId="74" borderId="32" applyNumberFormat="0" applyAlignment="0" applyProtection="0"/>
    <xf numFmtId="0" fontId="93" fillId="72" borderId="32" applyNumberFormat="0" applyAlignment="0" applyProtection="0"/>
    <xf numFmtId="0" fontId="95" fillId="74"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93" fillId="72" borderId="32" applyNumberFormat="0" applyAlignment="0" applyProtection="0"/>
    <xf numFmtId="0" fontId="102" fillId="34" borderId="32" applyNumberFormat="0" applyAlignment="0" applyProtection="0"/>
    <xf numFmtId="0" fontId="102" fillId="34" borderId="32" applyNumberFormat="0" applyAlignment="0" applyProtection="0"/>
    <xf numFmtId="0" fontId="55" fillId="10" borderId="32" applyNumberFormat="0" applyAlignment="0" applyProtection="0"/>
    <xf numFmtId="0" fontId="102" fillId="34"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55"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111" fillId="10" borderId="32" applyNumberFormat="0" applyAlignment="0" applyProtection="0"/>
    <xf numFmtId="0" fontId="87"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87" fillId="71" borderId="39" applyNumberFormat="0" applyFont="0" applyAlignment="0" applyProtection="0"/>
    <xf numFmtId="0" fontId="3" fillId="71" borderId="39" applyNumberFormat="0" applyFont="0" applyAlignment="0" applyProtection="0"/>
    <xf numFmtId="0" fontId="87"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1"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28" fillId="71" borderId="39" applyNumberFormat="0" applyFont="0" applyAlignment="0" applyProtection="0"/>
    <xf numFmtId="0" fontId="14"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29"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0" fontId="14" fillId="72" borderId="40"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3" fillId="0" borderId="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71" borderId="39" applyNumberFormat="0" applyFont="0" applyAlignment="0" applyProtection="0"/>
    <xf numFmtId="0" fontId="3" fillId="71" borderId="39"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43" fontId="3" fillId="0" borderId="0" applyFont="0" applyFill="0" applyBorder="0" applyAlignment="0" applyProtection="0"/>
    <xf numFmtId="0" fontId="3" fillId="71" borderId="39" applyNumberFormat="0" applyFont="0" applyAlignment="0" applyProtection="0"/>
    <xf numFmtId="0" fontId="1" fillId="71" borderId="39" applyNumberFormat="0" applyFont="0" applyAlignment="0" applyProtection="0"/>
    <xf numFmtId="0" fontId="1" fillId="71" borderId="39"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51" fillId="74" borderId="39" applyNumberFormat="0" applyAlignment="0" applyProtection="0"/>
    <xf numFmtId="0" fontId="3" fillId="71" borderId="39" applyNumberFormat="0" applyFont="0" applyAlignment="0" applyProtection="0"/>
    <xf numFmtId="0" fontId="20" fillId="3"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43" fontId="3" fillId="0" borderId="0" applyFont="0" applyFill="0" applyBorder="0" applyAlignment="0" applyProtection="0"/>
    <xf numFmtId="0" fontId="1" fillId="71" borderId="39" applyNumberFormat="0" applyFont="0" applyAlignment="0" applyProtection="0"/>
    <xf numFmtId="0" fontId="3" fillId="71" borderId="39" applyNumberFormat="0" applyFont="0" applyAlignment="0" applyProtection="0"/>
    <xf numFmtId="0" fontId="3" fillId="71" borderId="39"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0" fontId="1" fillId="71" borderId="39" applyNumberFormat="0" applyFont="0" applyAlignment="0" applyProtection="0"/>
    <xf numFmtId="0" fontId="1" fillId="71" borderId="39" applyNumberFormat="0" applyFont="0" applyAlignment="0" applyProtection="0"/>
    <xf numFmtId="0" fontId="1" fillId="71"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0" fontId="20" fillId="3" borderId="39"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xf numFmtId="170" fontId="3" fillId="0" borderId="0"/>
    <xf numFmtId="170" fontId="3" fillId="0" borderId="0"/>
    <xf numFmtId="43" fontId="3" fillId="0" borderId="0" applyFont="0" applyFill="0" applyBorder="0" applyAlignment="0" applyProtection="0"/>
    <xf numFmtId="44" fontId="1" fillId="0" borderId="0" applyFont="0" applyFill="0" applyBorder="0" applyAlignment="0" applyProtection="0"/>
    <xf numFmtId="170" fontId="3" fillId="0" borderId="0"/>
    <xf numFmtId="170" fontId="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3" fillId="0" borderId="0"/>
    <xf numFmtId="43" fontId="153" fillId="0" borderId="0" applyFont="0" applyFill="0" applyBorder="0" applyAlignment="0" applyProtection="0"/>
    <xf numFmtId="43" fontId="15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170" fontId="3" fillId="0" borderId="0"/>
    <xf numFmtId="43" fontId="3" fillId="0" borderId="0" applyFont="0" applyFill="0" applyBorder="0" applyAlignment="0" applyProtection="0"/>
    <xf numFmtId="170" fontId="3" fillId="0" borderId="0"/>
    <xf numFmtId="170" fontId="3" fillId="0" borderId="0"/>
    <xf numFmtId="43" fontId="3" fillId="0" borderId="0" applyFont="0" applyFill="0" applyBorder="0" applyAlignment="0" applyProtection="0"/>
    <xf numFmtId="43" fontId="3" fillId="0" borderId="0" applyFont="0" applyFill="0" applyBorder="0" applyAlignment="0" applyProtection="0"/>
    <xf numFmtId="170" fontId="3" fillId="0" borderId="0"/>
    <xf numFmtId="170" fontId="3" fillId="0" borderId="0"/>
    <xf numFmtId="43" fontId="3" fillId="0" borderId="0" applyFont="0" applyFill="0" applyBorder="0" applyAlignment="0" applyProtection="0"/>
    <xf numFmtId="170" fontId="3" fillId="0" borderId="0"/>
    <xf numFmtId="44"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quotePrefix="1" applyFont="0" applyFill="0" applyBorder="0" applyAlignment="0">
      <protection locked="0"/>
    </xf>
    <xf numFmtId="43" fontId="20" fillId="0" borderId="0" applyFont="0" applyFill="0" applyBorder="0" applyAlignment="0" applyProtection="0"/>
    <xf numFmtId="43" fontId="3" fillId="0" borderId="0" quotePrefix="1" applyFont="0" applyFill="0" applyBorder="0" applyAlignment="0">
      <protection locked="0"/>
    </xf>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5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 fillId="0" borderId="0" applyFont="0" applyFill="0" applyBorder="0" applyAlignment="0" applyProtection="0"/>
    <xf numFmtId="170" fontId="3" fillId="0" borderId="0"/>
    <xf numFmtId="43" fontId="153" fillId="0" borderId="0" applyFont="0" applyFill="0" applyBorder="0" applyAlignment="0" applyProtection="0"/>
    <xf numFmtId="43" fontId="153" fillId="0" borderId="0" applyFont="0" applyFill="0" applyBorder="0" applyAlignment="0" applyProtection="0"/>
    <xf numFmtId="170" fontId="3" fillId="0" borderId="0"/>
    <xf numFmtId="170" fontId="3" fillId="0" borderId="0"/>
    <xf numFmtId="170" fontId="3" fillId="0" borderId="0"/>
    <xf numFmtId="43" fontId="3" fillId="0" borderId="0" applyFont="0" applyFill="0" applyBorder="0" applyAlignment="0" applyProtection="0"/>
    <xf numFmtId="170" fontId="3" fillId="0" borderId="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 fillId="0" borderId="0" applyFont="0" applyFill="0" applyBorder="0" applyAlignment="0" applyProtection="0"/>
    <xf numFmtId="43" fontId="60"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cellStyleXfs>
  <cellXfs count="233">
    <xf numFmtId="0" fontId="0" fillId="0" borderId="0" xfId="0"/>
    <xf numFmtId="0" fontId="53" fillId="28" borderId="0" xfId="0" applyFont="1" applyFill="1"/>
    <xf numFmtId="0" fontId="0" fillId="0" borderId="0" xfId="0" applyAlignment="1">
      <alignment horizontal="right"/>
    </xf>
    <xf numFmtId="164" fontId="54" fillId="28" borderId="16" xfId="0" applyNumberFormat="1" applyFont="1" applyFill="1" applyBorder="1"/>
    <xf numFmtId="164" fontId="53" fillId="28" borderId="16" xfId="0" applyNumberFormat="1" applyFont="1" applyFill="1" applyBorder="1"/>
    <xf numFmtId="164" fontId="53" fillId="28" borderId="16" xfId="0" applyNumberFormat="1" applyFont="1" applyFill="1" applyBorder="1" applyAlignment="1">
      <alignment horizontal="left" indent="4"/>
    </xf>
    <xf numFmtId="164" fontId="54" fillId="28" borderId="16" xfId="0" applyNumberFormat="1" applyFont="1" applyFill="1" applyBorder="1" applyAlignment="1">
      <alignment horizontal="left" indent="4"/>
    </xf>
    <xf numFmtId="0" fontId="0" fillId="0" borderId="0" xfId="0" applyAlignment="1">
      <alignment vertical="center"/>
    </xf>
    <xf numFmtId="0" fontId="54" fillId="0" borderId="16" xfId="0" applyFont="1" applyBorder="1" applyAlignment="1">
      <alignment horizontal="left" indent="1"/>
    </xf>
    <xf numFmtId="0" fontId="53" fillId="0" borderId="16" xfId="0" applyFont="1" applyBorder="1" applyAlignment="1">
      <alignment horizontal="left" indent="2"/>
    </xf>
    <xf numFmtId="164" fontId="53" fillId="0" borderId="16" xfId="0" applyNumberFormat="1" applyFont="1" applyBorder="1"/>
    <xf numFmtId="0" fontId="54" fillId="0" borderId="16" xfId="0" applyFont="1" applyBorder="1" applyAlignment="1">
      <alignment horizontal="left" wrapText="1" indent="1"/>
    </xf>
    <xf numFmtId="0" fontId="52" fillId="0" borderId="17" xfId="0" applyFont="1" applyBorder="1" applyAlignment="1">
      <alignment wrapText="1"/>
    </xf>
    <xf numFmtId="0" fontId="53" fillId="0" borderId="16" xfId="0" applyFont="1" applyBorder="1" applyAlignment="1">
      <alignment horizontal="left" wrapText="1" indent="2"/>
    </xf>
    <xf numFmtId="0" fontId="0" fillId="0" borderId="16" xfId="0" applyBorder="1" applyAlignment="1">
      <alignment horizontal="left" wrapText="1"/>
    </xf>
    <xf numFmtId="0" fontId="52" fillId="0" borderId="0" xfId="0" applyFont="1"/>
    <xf numFmtId="0" fontId="52" fillId="0" borderId="17" xfId="0" applyFont="1" applyBorder="1" applyAlignment="1">
      <alignment horizontal="right" wrapText="1"/>
    </xf>
    <xf numFmtId="166" fontId="54" fillId="28" borderId="16" xfId="559" applyNumberFormat="1" applyFont="1" applyFill="1" applyBorder="1" applyAlignment="1">
      <alignment horizontal="right"/>
    </xf>
    <xf numFmtId="164" fontId="20" fillId="28" borderId="16" xfId="0" applyNumberFormat="1" applyFont="1" applyFill="1" applyBorder="1" applyAlignment="1">
      <alignment horizontal="left" indent="4"/>
    </xf>
    <xf numFmtId="0" fontId="58" fillId="0" borderId="16" xfId="0" applyFont="1" applyBorder="1" applyAlignment="1">
      <alignment horizontal="left" wrapText="1"/>
    </xf>
    <xf numFmtId="0" fontId="54" fillId="0" borderId="16" xfId="0" applyFont="1" applyBorder="1" applyAlignment="1">
      <alignment horizontal="left" wrapText="1"/>
    </xf>
    <xf numFmtId="0" fontId="58" fillId="0" borderId="16" xfId="0" applyFont="1" applyBorder="1" applyAlignment="1">
      <alignment horizontal="left" wrapText="1" indent="1"/>
    </xf>
    <xf numFmtId="0" fontId="54" fillId="0" borderId="16" xfId="0" applyFont="1" applyBorder="1" applyAlignment="1">
      <alignment wrapText="1"/>
    </xf>
    <xf numFmtId="0" fontId="20" fillId="0" borderId="16" xfId="0" applyFont="1" applyBorder="1" applyAlignment="1">
      <alignment horizontal="left" wrapText="1"/>
    </xf>
    <xf numFmtId="0" fontId="59" fillId="28" borderId="16" xfId="0" applyFont="1" applyFill="1" applyBorder="1" applyAlignment="1">
      <alignment horizontal="left" wrapText="1" indent="2"/>
    </xf>
    <xf numFmtId="197" fontId="59" fillId="28" borderId="16" xfId="0" applyNumberFormat="1" applyFont="1" applyFill="1" applyBorder="1" applyAlignment="1">
      <alignment horizontal="right" wrapText="1"/>
    </xf>
    <xf numFmtId="0" fontId="50" fillId="69" borderId="16" xfId="0" applyFont="1" applyFill="1" applyBorder="1" applyAlignment="1">
      <alignment horizontal="right" vertical="center" wrapText="1"/>
    </xf>
    <xf numFmtId="166" fontId="54" fillId="28" borderId="16" xfId="559" applyNumberFormat="1" applyFont="1" applyFill="1" applyBorder="1"/>
    <xf numFmtId="0" fontId="20" fillId="0" borderId="16" xfId="0" applyFont="1" applyBorder="1" applyAlignment="1">
      <alignment horizontal="left" wrapText="1" indent="1"/>
    </xf>
    <xf numFmtId="0" fontId="52" fillId="0" borderId="16" xfId="0" applyFont="1" applyBorder="1" applyAlignment="1">
      <alignment wrapText="1"/>
    </xf>
    <xf numFmtId="0" fontId="77" fillId="0" borderId="0" xfId="0" applyFont="1"/>
    <xf numFmtId="164" fontId="20" fillId="28" borderId="16" xfId="0" applyNumberFormat="1" applyFont="1" applyFill="1" applyBorder="1" applyAlignment="1">
      <alignment horizontal="right" indent="4"/>
    </xf>
    <xf numFmtId="164" fontId="20" fillId="28" borderId="16" xfId="0" applyNumberFormat="1" applyFont="1" applyFill="1" applyBorder="1"/>
    <xf numFmtId="164" fontId="54" fillId="28" borderId="16" xfId="0" applyNumberFormat="1" applyFont="1" applyFill="1" applyBorder="1" applyAlignment="1">
      <alignment horizontal="right" indent="4"/>
    </xf>
    <xf numFmtId="164" fontId="53" fillId="28" borderId="16" xfId="0" applyNumberFormat="1" applyFont="1" applyFill="1" applyBorder="1" applyAlignment="1">
      <alignment horizontal="right" indent="4"/>
    </xf>
    <xf numFmtId="164" fontId="54" fillId="28" borderId="55" xfId="0" applyNumberFormat="1" applyFont="1" applyFill="1" applyBorder="1"/>
    <xf numFmtId="164" fontId="20" fillId="28" borderId="55" xfId="0" applyNumberFormat="1" applyFont="1" applyFill="1" applyBorder="1"/>
    <xf numFmtId="166" fontId="53" fillId="28" borderId="55" xfId="559" applyNumberFormat="1" applyFont="1" applyFill="1" applyBorder="1" applyAlignment="1">
      <alignment horizontal="right"/>
    </xf>
    <xf numFmtId="0" fontId="20" fillId="0" borderId="55" xfId="0" applyFont="1" applyBorder="1" applyAlignment="1">
      <alignment horizontal="left" wrapText="1"/>
    </xf>
    <xf numFmtId="0" fontId="20" fillId="0" borderId="55" xfId="0" applyFont="1" applyBorder="1" applyAlignment="1">
      <alignment horizontal="left" wrapText="1" indent="1"/>
    </xf>
    <xf numFmtId="164" fontId="20" fillId="28" borderId="55" xfId="0" applyNumberFormat="1" applyFont="1" applyFill="1" applyBorder="1" applyAlignment="1">
      <alignment horizontal="left" indent="4"/>
    </xf>
    <xf numFmtId="166" fontId="54" fillId="28" borderId="55" xfId="559" applyNumberFormat="1" applyFont="1" applyFill="1" applyBorder="1" applyAlignment="1">
      <alignment horizontal="right"/>
    </xf>
    <xf numFmtId="197" fontId="59" fillId="70" borderId="16" xfId="0" applyNumberFormat="1" applyFont="1" applyFill="1" applyBorder="1" applyAlignment="1">
      <alignment horizontal="right" wrapText="1"/>
    </xf>
    <xf numFmtId="164" fontId="53" fillId="28" borderId="55" xfId="0" applyNumberFormat="1" applyFont="1" applyFill="1" applyBorder="1"/>
    <xf numFmtId="197" fontId="59" fillId="70" borderId="55" xfId="0" applyNumberFormat="1" applyFont="1" applyFill="1" applyBorder="1" applyAlignment="1">
      <alignment horizontal="right" wrapText="1"/>
    </xf>
    <xf numFmtId="197" fontId="59" fillId="0" borderId="16" xfId="0" applyNumberFormat="1" applyFont="1" applyBorder="1" applyAlignment="1">
      <alignment horizontal="right" wrapText="1"/>
    </xf>
    <xf numFmtId="164" fontId="54" fillId="0" borderId="16" xfId="0" applyNumberFormat="1" applyFont="1" applyBorder="1"/>
    <xf numFmtId="164" fontId="20" fillId="28" borderId="63" xfId="0" applyNumberFormat="1" applyFont="1" applyFill="1" applyBorder="1" applyAlignment="1">
      <alignment horizontal="left" indent="4"/>
    </xf>
    <xf numFmtId="166" fontId="20" fillId="0" borderId="55" xfId="559" applyNumberFormat="1" applyFont="1" applyFill="1" applyBorder="1" applyAlignment="1">
      <alignment horizontal="right"/>
    </xf>
    <xf numFmtId="166" fontId="54" fillId="0" borderId="55" xfId="559" applyNumberFormat="1" applyFont="1" applyFill="1" applyBorder="1" applyAlignment="1">
      <alignment horizontal="right"/>
    </xf>
    <xf numFmtId="166" fontId="20" fillId="28" borderId="55" xfId="559" applyNumberFormat="1" applyFont="1" applyFill="1" applyBorder="1" applyAlignment="1">
      <alignment horizontal="right"/>
    </xf>
    <xf numFmtId="164" fontId="20" fillId="0" borderId="16" xfId="0" applyNumberFormat="1" applyFont="1" applyBorder="1"/>
    <xf numFmtId="164" fontId="20" fillId="0" borderId="16" xfId="0" applyNumberFormat="1" applyFont="1" applyBorder="1" applyAlignment="1">
      <alignment horizontal="left" indent="4"/>
    </xf>
    <xf numFmtId="164" fontId="20" fillId="0" borderId="16" xfId="0" applyNumberFormat="1" applyFont="1" applyBorder="1" applyAlignment="1">
      <alignment horizontal="right" indent="4"/>
    </xf>
    <xf numFmtId="164" fontId="53" fillId="0" borderId="16" xfId="0" applyNumberFormat="1" applyFont="1" applyBorder="1" applyAlignment="1">
      <alignment horizontal="right" indent="4"/>
    </xf>
    <xf numFmtId="166" fontId="53" fillId="0" borderId="55" xfId="559" applyNumberFormat="1" applyFont="1" applyFill="1" applyBorder="1" applyAlignment="1">
      <alignment horizontal="right"/>
    </xf>
    <xf numFmtId="164" fontId="20" fillId="28" borderId="55" xfId="0" applyNumberFormat="1" applyFont="1" applyFill="1" applyBorder="1" applyAlignment="1">
      <alignment horizontal="right" indent="4"/>
    </xf>
    <xf numFmtId="164" fontId="0" fillId="0" borderId="0" xfId="0" applyNumberFormat="1" applyAlignment="1">
      <alignment horizontal="right" vertical="center"/>
    </xf>
    <xf numFmtId="164" fontId="0" fillId="0" borderId="0" xfId="0" applyNumberFormat="1" applyAlignment="1">
      <alignment horizontal="right"/>
    </xf>
    <xf numFmtId="0" fontId="10" fillId="69" borderId="16" xfId="0" applyFont="1" applyFill="1" applyBorder="1" applyAlignment="1">
      <alignment vertical="center" wrapText="1"/>
    </xf>
    <xf numFmtId="0" fontId="10" fillId="69" borderId="55" xfId="0" applyFont="1" applyFill="1" applyBorder="1" applyAlignment="1">
      <alignment horizontal="right" vertical="center" wrapText="1"/>
    </xf>
    <xf numFmtId="194" fontId="20" fillId="28" borderId="55" xfId="0" applyNumberFormat="1" applyFont="1" applyFill="1" applyBorder="1" applyAlignment="1">
      <alignment horizontal="right" indent="4"/>
    </xf>
    <xf numFmtId="194" fontId="20" fillId="0" borderId="55" xfId="0" applyNumberFormat="1" applyFont="1" applyBorder="1" applyAlignment="1">
      <alignment horizontal="right" indent="4"/>
    </xf>
    <xf numFmtId="194" fontId="0" fillId="0" borderId="0" xfId="0" applyNumberFormat="1" applyAlignment="1">
      <alignment horizontal="right"/>
    </xf>
    <xf numFmtId="0" fontId="10" fillId="69" borderId="64" xfId="0" applyFont="1" applyFill="1" applyBorder="1" applyAlignment="1">
      <alignment vertical="center" wrapText="1"/>
    </xf>
    <xf numFmtId="0" fontId="50" fillId="69" borderId="64" xfId="0" applyFont="1" applyFill="1" applyBorder="1" applyAlignment="1">
      <alignment horizontal="right" vertical="center" wrapText="1"/>
    </xf>
    <xf numFmtId="0" fontId="20" fillId="0" borderId="0" xfId="0" applyFont="1" applyAlignment="1">
      <alignment horizontal="left"/>
    </xf>
    <xf numFmtId="164" fontId="54" fillId="28" borderId="0" xfId="0" applyNumberFormat="1" applyFont="1" applyFill="1"/>
    <xf numFmtId="164" fontId="54" fillId="0" borderId="0" xfId="0" applyNumberFormat="1" applyFont="1"/>
    <xf numFmtId="166" fontId="20" fillId="0" borderId="16" xfId="559" applyNumberFormat="1" applyFont="1" applyFill="1" applyBorder="1" applyAlignment="1"/>
    <xf numFmtId="0" fontId="54" fillId="28" borderId="0" xfId="0" applyFont="1" applyFill="1"/>
    <xf numFmtId="194" fontId="54" fillId="28" borderId="16" xfId="0" applyNumberFormat="1" applyFont="1" applyFill="1" applyBorder="1"/>
    <xf numFmtId="194" fontId="54" fillId="0" borderId="16" xfId="0" applyNumberFormat="1" applyFont="1" applyBorder="1"/>
    <xf numFmtId="194" fontId="54" fillId="28" borderId="55" xfId="0" applyNumberFormat="1" applyFont="1" applyFill="1" applyBorder="1"/>
    <xf numFmtId="194" fontId="53" fillId="28" borderId="16" xfId="0" applyNumberFormat="1" applyFont="1" applyFill="1" applyBorder="1"/>
    <xf numFmtId="194" fontId="20" fillId="28" borderId="16" xfId="0" applyNumberFormat="1" applyFont="1" applyFill="1" applyBorder="1"/>
    <xf numFmtId="194" fontId="20" fillId="0" borderId="16" xfId="0" applyNumberFormat="1" applyFont="1" applyBorder="1"/>
    <xf numFmtId="194" fontId="20" fillId="28" borderId="55" xfId="0" applyNumberFormat="1" applyFont="1" applyFill="1" applyBorder="1"/>
    <xf numFmtId="194" fontId="54" fillId="28" borderId="67" xfId="0" applyNumberFormat="1" applyFont="1" applyFill="1" applyBorder="1"/>
    <xf numFmtId="237" fontId="20" fillId="28" borderId="16" xfId="0" applyNumberFormat="1" applyFont="1" applyFill="1" applyBorder="1"/>
    <xf numFmtId="0" fontId="52" fillId="0" borderId="55" xfId="0" applyFont="1" applyBorder="1" applyAlignment="1">
      <alignment horizontal="left" indent="1"/>
    </xf>
    <xf numFmtId="0" fontId="52" fillId="0" borderId="55" xfId="0" applyFont="1" applyBorder="1" applyAlignment="1">
      <alignment horizontal="left" indent="2"/>
    </xf>
    <xf numFmtId="0" fontId="0" fillId="0" borderId="55" xfId="0" applyBorder="1" applyAlignment="1">
      <alignment horizontal="left"/>
    </xf>
    <xf numFmtId="0" fontId="52" fillId="0" borderId="55" xfId="0" applyFont="1" applyBorder="1" applyAlignment="1">
      <alignment horizontal="left" wrapText="1" indent="1"/>
    </xf>
    <xf numFmtId="0" fontId="20" fillId="0" borderId="55" xfId="0" applyFont="1" applyBorder="1" applyAlignment="1">
      <alignment horizontal="left" wrapText="1" indent="2"/>
    </xf>
    <xf numFmtId="0" fontId="20" fillId="28" borderId="0" xfId="0" applyFont="1" applyFill="1"/>
    <xf numFmtId="0" fontId="20" fillId="28" borderId="55" xfId="0" applyFont="1" applyFill="1" applyBorder="1" applyAlignment="1">
      <alignment horizontal="left" indent="2"/>
    </xf>
    <xf numFmtId="164" fontId="20" fillId="0" borderId="55" xfId="0" applyNumberFormat="1" applyFont="1" applyBorder="1"/>
    <xf numFmtId="0" fontId="20" fillId="0" borderId="0" xfId="0" applyFont="1"/>
    <xf numFmtId="0" fontId="20" fillId="28" borderId="55" xfId="0" applyFont="1" applyFill="1" applyBorder="1" applyAlignment="1">
      <alignment horizontal="left" wrapText="1" indent="2"/>
    </xf>
    <xf numFmtId="0" fontId="20" fillId="0" borderId="16" xfId="0" applyFont="1" applyBorder="1" applyAlignment="1">
      <alignment horizontal="left" indent="2"/>
    </xf>
    <xf numFmtId="166" fontId="53" fillId="28" borderId="0" xfId="559" applyNumberFormat="1" applyFont="1" applyFill="1"/>
    <xf numFmtId="166" fontId="53" fillId="0" borderId="16" xfId="559" applyNumberFormat="1" applyFont="1" applyFill="1" applyBorder="1" applyAlignment="1"/>
    <xf numFmtId="166" fontId="20" fillId="0" borderId="0" xfId="559" applyNumberFormat="1" applyFont="1" applyFill="1" applyBorder="1" applyAlignment="1">
      <alignment horizontal="left"/>
    </xf>
    <xf numFmtId="166" fontId="54" fillId="28" borderId="0" xfId="559" applyNumberFormat="1" applyFont="1" applyFill="1" applyBorder="1" applyAlignment="1"/>
    <xf numFmtId="166" fontId="53" fillId="28" borderId="0" xfId="559" applyNumberFormat="1" applyFont="1" applyFill="1" applyBorder="1"/>
    <xf numFmtId="166" fontId="20" fillId="0" borderId="0" xfId="559" applyNumberFormat="1" applyFont="1" applyFill="1"/>
    <xf numFmtId="194" fontId="20" fillId="0" borderId="55" xfId="0" applyNumberFormat="1" applyFont="1" applyBorder="1"/>
    <xf numFmtId="0" fontId="54" fillId="28" borderId="0" xfId="559" applyNumberFormat="1" applyFont="1" applyFill="1" applyBorder="1" applyAlignment="1"/>
    <xf numFmtId="166" fontId="20" fillId="0" borderId="55" xfId="559" applyNumberFormat="1" applyFont="1" applyFill="1" applyBorder="1" applyAlignment="1"/>
    <xf numFmtId="0" fontId="54" fillId="0" borderId="0" xfId="0" applyFont="1"/>
    <xf numFmtId="166" fontId="20" fillId="0" borderId="16" xfId="559" applyNumberFormat="1" applyFont="1" applyFill="1" applyBorder="1" applyAlignment="1">
      <alignment horizontal="right"/>
    </xf>
    <xf numFmtId="194" fontId="54" fillId="28" borderId="55" xfId="0" applyNumberFormat="1" applyFont="1" applyFill="1" applyBorder="1" applyAlignment="1">
      <alignment horizontal="right" indent="4"/>
    </xf>
    <xf numFmtId="194" fontId="20" fillId="0" borderId="16" xfId="0" applyNumberFormat="1" applyFont="1" applyBorder="1" applyAlignment="1">
      <alignment horizontal="center"/>
    </xf>
    <xf numFmtId="0" fontId="0" fillId="0" borderId="0" xfId="0" applyAlignment="1">
      <alignment horizontal="center"/>
    </xf>
    <xf numFmtId="0" fontId="52" fillId="0" borderId="17" xfId="0" applyFont="1" applyBorder="1" applyAlignment="1">
      <alignment horizontal="center" wrapText="1"/>
    </xf>
    <xf numFmtId="194" fontId="53" fillId="0" borderId="16" xfId="0" applyNumberFormat="1" applyFont="1" applyBorder="1" applyAlignment="1">
      <alignment horizontal="center"/>
    </xf>
    <xf numFmtId="194" fontId="20" fillId="0" borderId="55" xfId="0" applyNumberFormat="1" applyFont="1" applyBorder="1" applyAlignment="1">
      <alignment horizontal="center"/>
    </xf>
    <xf numFmtId="0" fontId="61" fillId="0" borderId="0" xfId="0" applyFont="1" applyAlignment="1">
      <alignment horizontal="right"/>
    </xf>
    <xf numFmtId="0" fontId="61" fillId="0" borderId="0" xfId="0" applyFont="1"/>
    <xf numFmtId="164" fontId="20" fillId="28" borderId="16" xfId="0" applyNumberFormat="1" applyFont="1" applyFill="1" applyBorder="1" applyAlignment="1">
      <alignment wrapText="1"/>
    </xf>
    <xf numFmtId="191" fontId="20" fillId="28" borderId="16" xfId="559" applyNumberFormat="1" applyFont="1" applyFill="1" applyBorder="1" applyAlignment="1">
      <alignment wrapText="1"/>
    </xf>
    <xf numFmtId="0" fontId="20" fillId="0" borderId="16" xfId="0" applyFont="1" applyBorder="1" applyAlignment="1">
      <alignment horizontal="left" wrapText="1" indent="2"/>
    </xf>
    <xf numFmtId="0" fontId="52" fillId="0" borderId="0" xfId="0" applyFont="1" applyAlignment="1">
      <alignment wrapText="1"/>
    </xf>
    <xf numFmtId="0" fontId="50" fillId="69" borderId="55" xfId="0" applyFont="1" applyFill="1" applyBorder="1" applyAlignment="1">
      <alignment horizontal="right" vertical="center" wrapText="1"/>
    </xf>
    <xf numFmtId="194" fontId="53" fillId="28" borderId="55" xfId="0" applyNumberFormat="1" applyFont="1" applyFill="1" applyBorder="1"/>
    <xf numFmtId="194" fontId="54" fillId="0" borderId="55" xfId="0" applyNumberFormat="1" applyFont="1" applyBorder="1"/>
    <xf numFmtId="237" fontId="20" fillId="28" borderId="55" xfId="0" applyNumberFormat="1" applyFont="1" applyFill="1" applyBorder="1"/>
    <xf numFmtId="166" fontId="20" fillId="28" borderId="55" xfId="559" applyNumberFormat="1" applyFont="1" applyFill="1" applyBorder="1" applyAlignment="1"/>
    <xf numFmtId="0" fontId="10" fillId="69" borderId="64" xfId="0" applyFont="1" applyFill="1" applyBorder="1" applyAlignment="1">
      <alignment horizontal="right" vertical="center" wrapText="1"/>
    </xf>
    <xf numFmtId="164" fontId="20" fillId="28" borderId="16" xfId="0" applyNumberFormat="1" applyFont="1" applyFill="1" applyBorder="1" applyAlignment="1">
      <alignment horizontal="center"/>
    </xf>
    <xf numFmtId="0" fontId="53" fillId="0" borderId="55" xfId="0" applyFont="1" applyBorder="1" applyAlignment="1">
      <alignment horizontal="left" indent="2"/>
    </xf>
    <xf numFmtId="164" fontId="20" fillId="28" borderId="55" xfId="0" applyNumberFormat="1" applyFont="1" applyFill="1" applyBorder="1" applyAlignment="1">
      <alignment horizontal="center"/>
    </xf>
    <xf numFmtId="194" fontId="54" fillId="70" borderId="16" xfId="0" applyNumberFormat="1" applyFont="1" applyFill="1" applyBorder="1"/>
    <xf numFmtId="194" fontId="54" fillId="70" borderId="55" xfId="0" applyNumberFormat="1" applyFont="1" applyFill="1" applyBorder="1"/>
    <xf numFmtId="166" fontId="20" fillId="70" borderId="55" xfId="559" applyNumberFormat="1" applyFont="1" applyFill="1" applyBorder="1" applyAlignment="1"/>
    <xf numFmtId="164" fontId="54" fillId="0" borderId="55" xfId="0" applyNumberFormat="1" applyFont="1" applyBorder="1"/>
    <xf numFmtId="164" fontId="54" fillId="28" borderId="55" xfId="0" applyNumberFormat="1" applyFont="1" applyFill="1" applyBorder="1" applyAlignment="1">
      <alignment horizontal="left" indent="4"/>
    </xf>
    <xf numFmtId="194" fontId="54" fillId="0" borderId="55" xfId="0" applyNumberFormat="1" applyFont="1" applyBorder="1" applyAlignment="1">
      <alignment horizontal="right" indent="4"/>
    </xf>
    <xf numFmtId="194" fontId="54" fillId="0" borderId="65" xfId="0" applyNumberFormat="1" applyFont="1" applyBorder="1" applyAlignment="1">
      <alignment horizontal="right" wrapText="1" indent="1"/>
    </xf>
    <xf numFmtId="166" fontId="54" fillId="0" borderId="55" xfId="559" applyNumberFormat="1" applyFont="1" applyFill="1" applyBorder="1" applyAlignment="1">
      <alignment horizontal="right" indent="1"/>
    </xf>
    <xf numFmtId="166" fontId="20" fillId="0" borderId="55" xfId="559" applyNumberFormat="1" applyFont="1" applyFill="1" applyBorder="1" applyAlignment="1">
      <alignment horizontal="right" indent="1"/>
    </xf>
    <xf numFmtId="166" fontId="54" fillId="0" borderId="65" xfId="559" applyNumberFormat="1" applyFont="1" applyFill="1" applyBorder="1" applyAlignment="1">
      <alignment horizontal="right" wrapText="1" indent="1"/>
    </xf>
    <xf numFmtId="0" fontId="10" fillId="86" borderId="16" xfId="0" applyFont="1" applyFill="1" applyBorder="1" applyAlignment="1">
      <alignment vertical="center" wrapText="1"/>
    </xf>
    <xf numFmtId="236" fontId="10" fillId="86" borderId="16" xfId="0" applyNumberFormat="1" applyFont="1" applyFill="1" applyBorder="1" applyAlignment="1">
      <alignment horizontal="center" vertical="center" wrapText="1"/>
    </xf>
    <xf numFmtId="0" fontId="10" fillId="69" borderId="55" xfId="0" applyFont="1" applyFill="1" applyBorder="1" applyAlignment="1">
      <alignment vertical="center" wrapText="1"/>
    </xf>
    <xf numFmtId="0" fontId="54" fillId="0" borderId="55" xfId="0" applyFont="1" applyBorder="1" applyAlignment="1">
      <alignment horizontal="left" wrapText="1" indent="1"/>
    </xf>
    <xf numFmtId="194" fontId="20" fillId="70" borderId="55" xfId="0" applyNumberFormat="1" applyFont="1" applyFill="1" applyBorder="1" applyAlignment="1">
      <alignment horizontal="right" indent="4"/>
    </xf>
    <xf numFmtId="0" fontId="54" fillId="0" borderId="66" xfId="0" applyFont="1" applyBorder="1" applyAlignment="1">
      <alignment horizontal="left" wrapText="1" indent="1"/>
    </xf>
    <xf numFmtId="0" fontId="54" fillId="0" borderId="65" xfId="0" applyFont="1" applyBorder="1" applyAlignment="1">
      <alignment horizontal="left" wrapText="1"/>
    </xf>
    <xf numFmtId="0" fontId="156" fillId="0" borderId="63" xfId="0" applyFont="1" applyBorder="1" applyAlignment="1">
      <alignment horizontal="left"/>
    </xf>
    <xf numFmtId="166" fontId="54" fillId="0" borderId="55" xfId="559" applyNumberFormat="1" applyFont="1" applyFill="1" applyBorder="1" applyAlignment="1">
      <alignment horizontal="left" wrapText="1" indent="1"/>
    </xf>
    <xf numFmtId="166" fontId="20" fillId="0" borderId="55" xfId="559" applyNumberFormat="1" applyFont="1" applyFill="1" applyBorder="1" applyAlignment="1">
      <alignment horizontal="left" wrapText="1"/>
    </xf>
    <xf numFmtId="10" fontId="20" fillId="0" borderId="55" xfId="559" applyNumberFormat="1" applyFont="1" applyFill="1" applyBorder="1" applyAlignment="1">
      <alignment horizontal="right" indent="1"/>
    </xf>
    <xf numFmtId="166" fontId="54" fillId="0" borderId="66" xfId="559" applyNumberFormat="1" applyFont="1" applyFill="1" applyBorder="1" applyAlignment="1">
      <alignment horizontal="left" wrapText="1" indent="1"/>
    </xf>
    <xf numFmtId="166" fontId="54" fillId="0" borderId="65" xfId="559" applyNumberFormat="1" applyFont="1" applyFill="1" applyBorder="1" applyAlignment="1">
      <alignment horizontal="left" wrapText="1"/>
    </xf>
    <xf numFmtId="166" fontId="52" fillId="0" borderId="0" xfId="559" applyNumberFormat="1" applyFont="1"/>
    <xf numFmtId="166" fontId="0" fillId="0" borderId="0" xfId="559" applyNumberFormat="1" applyFont="1"/>
    <xf numFmtId="166" fontId="0" fillId="0" borderId="0" xfId="559" applyNumberFormat="1" applyFont="1" applyFill="1"/>
    <xf numFmtId="166" fontId="77" fillId="0" borderId="0" xfId="559" applyNumberFormat="1" applyFont="1"/>
    <xf numFmtId="194" fontId="20" fillId="28" borderId="55" xfId="0" applyNumberFormat="1" applyFont="1" applyFill="1" applyBorder="1" applyAlignment="1">
      <alignment horizontal="right"/>
    </xf>
    <xf numFmtId="197" fontId="0" fillId="0" borderId="0" xfId="0" applyNumberFormat="1"/>
    <xf numFmtId="197" fontId="52" fillId="0" borderId="17" xfId="0" applyNumberFormat="1" applyFont="1" applyBorder="1" applyAlignment="1">
      <alignment wrapText="1"/>
    </xf>
    <xf numFmtId="238" fontId="0" fillId="0" borderId="0" xfId="0" applyNumberFormat="1"/>
    <xf numFmtId="238" fontId="52" fillId="0" borderId="17" xfId="0" applyNumberFormat="1" applyFont="1" applyBorder="1" applyAlignment="1">
      <alignment wrapText="1"/>
    </xf>
    <xf numFmtId="238" fontId="0" fillId="0" borderId="0" xfId="0" applyNumberFormat="1" applyAlignment="1">
      <alignment horizontal="right" vertical="center"/>
    </xf>
    <xf numFmtId="164" fontId="20" fillId="0" borderId="55" xfId="0" applyNumberFormat="1" applyFont="1" applyBorder="1" applyAlignment="1">
      <alignment horizontal="left" indent="4"/>
    </xf>
    <xf numFmtId="166" fontId="54" fillId="28" borderId="55" xfId="559" applyNumberFormat="1" applyFont="1" applyFill="1" applyBorder="1"/>
    <xf numFmtId="197" fontId="59" fillId="0" borderId="55" xfId="0" applyNumberFormat="1" applyFont="1" applyBorder="1" applyAlignment="1">
      <alignment horizontal="right" wrapText="1"/>
    </xf>
    <xf numFmtId="194" fontId="20" fillId="28" borderId="55" xfId="0" applyNumberFormat="1" applyFont="1" applyFill="1" applyBorder="1" applyAlignment="1">
      <alignment vertical="center"/>
    </xf>
    <xf numFmtId="194" fontId="20" fillId="0" borderId="55" xfId="0" applyNumberFormat="1" applyFont="1" applyBorder="1" applyAlignment="1">
      <alignment vertical="center"/>
    </xf>
    <xf numFmtId="194" fontId="54" fillId="28" borderId="55" xfId="0" applyNumberFormat="1" applyFont="1" applyFill="1" applyBorder="1" applyAlignment="1">
      <alignment vertical="center"/>
    </xf>
    <xf numFmtId="166" fontId="20" fillId="28" borderId="55" xfId="559" applyNumberFormat="1" applyFont="1" applyFill="1" applyBorder="1" applyAlignment="1">
      <alignment vertical="center"/>
    </xf>
    <xf numFmtId="166" fontId="20" fillId="0" borderId="55" xfId="559" applyNumberFormat="1" applyFont="1" applyFill="1" applyBorder="1" applyAlignment="1">
      <alignment vertical="center"/>
    </xf>
    <xf numFmtId="194" fontId="54" fillId="0" borderId="55" xfId="0" applyNumberFormat="1" applyFont="1" applyBorder="1" applyAlignment="1">
      <alignment vertical="center"/>
    </xf>
    <xf numFmtId="0" fontId="20" fillId="28" borderId="0" xfId="0" applyFont="1" applyFill="1" applyAlignment="1">
      <alignment vertical="center"/>
    </xf>
    <xf numFmtId="194" fontId="54" fillId="28" borderId="67" xfId="0" applyNumberFormat="1" applyFont="1" applyFill="1" applyBorder="1" applyAlignment="1">
      <alignment vertical="center"/>
    </xf>
    <xf numFmtId="237" fontId="20" fillId="28" borderId="55" xfId="0" applyNumberFormat="1" applyFont="1" applyFill="1" applyBorder="1" applyAlignment="1">
      <alignment vertical="center"/>
    </xf>
    <xf numFmtId="237" fontId="20" fillId="0" borderId="55" xfId="0" applyNumberFormat="1" applyFont="1" applyBorder="1" applyAlignment="1">
      <alignment vertical="center"/>
    </xf>
    <xf numFmtId="164" fontId="20" fillId="0" borderId="55" xfId="0" applyNumberFormat="1" applyFont="1" applyBorder="1" applyAlignment="1">
      <alignment vertical="center"/>
    </xf>
    <xf numFmtId="166" fontId="20" fillId="28" borderId="0" xfId="559" applyNumberFormat="1" applyFont="1" applyFill="1" applyBorder="1" applyAlignment="1">
      <alignment vertical="center"/>
    </xf>
    <xf numFmtId="0" fontId="0" fillId="0" borderId="0" xfId="0" applyAlignment="1">
      <alignment horizontal="center" vertical="center"/>
    </xf>
    <xf numFmtId="0" fontId="20" fillId="70" borderId="55" xfId="0" applyFont="1" applyFill="1" applyBorder="1" applyAlignment="1">
      <alignment horizontal="left" wrapText="1"/>
    </xf>
    <xf numFmtId="194" fontId="20" fillId="70" borderId="55" xfId="0" applyNumberFormat="1" applyFont="1" applyFill="1" applyBorder="1" applyAlignment="1">
      <alignment vertical="center"/>
    </xf>
    <xf numFmtId="166" fontId="20" fillId="70" borderId="55" xfId="559" applyNumberFormat="1" applyFont="1" applyFill="1" applyBorder="1" applyAlignment="1">
      <alignment vertical="center"/>
    </xf>
    <xf numFmtId="0" fontId="53" fillId="0" borderId="0" xfId="0" applyFont="1"/>
    <xf numFmtId="164" fontId="20" fillId="28" borderId="55" xfId="0" applyNumberFormat="1" applyFont="1" applyFill="1" applyBorder="1" applyAlignment="1">
      <alignment vertical="center"/>
    </xf>
    <xf numFmtId="194" fontId="54" fillId="0" borderId="67" xfId="0" applyNumberFormat="1" applyFont="1" applyBorder="1" applyAlignment="1">
      <alignment vertical="center"/>
    </xf>
    <xf numFmtId="164" fontId="54" fillId="0" borderId="55" xfId="0" applyNumberFormat="1" applyFont="1" applyBorder="1" applyAlignment="1">
      <alignment horizontal="left" indent="4"/>
    </xf>
    <xf numFmtId="164" fontId="20" fillId="0" borderId="55" xfId="0" applyNumberFormat="1" applyFont="1" applyBorder="1" applyAlignment="1">
      <alignment horizontal="right" indent="4"/>
    </xf>
    <xf numFmtId="239" fontId="0" fillId="0" borderId="0" xfId="0" applyNumberFormat="1"/>
    <xf numFmtId="164" fontId="20" fillId="70" borderId="55" xfId="0" applyNumberFormat="1" applyFont="1" applyFill="1" applyBorder="1" applyAlignment="1">
      <alignment horizontal="left" indent="4"/>
    </xf>
    <xf numFmtId="0" fontId="159" fillId="86" borderId="55" xfId="0" applyFont="1" applyFill="1" applyBorder="1" applyAlignment="1">
      <alignment horizontal="right" vertical="center" wrapText="1"/>
    </xf>
    <xf numFmtId="0" fontId="159" fillId="86" borderId="16" xfId="0" applyFont="1" applyFill="1" applyBorder="1" applyAlignment="1">
      <alignment vertical="center" wrapText="1"/>
    </xf>
    <xf numFmtId="0" fontId="159" fillId="86" borderId="16" xfId="0" applyFont="1" applyFill="1" applyBorder="1" applyAlignment="1">
      <alignment horizontal="right" vertical="center" wrapText="1"/>
    </xf>
    <xf numFmtId="238" fontId="159" fillId="86" borderId="55" xfId="0" applyNumberFormat="1" applyFont="1" applyFill="1" applyBorder="1" applyAlignment="1">
      <alignment horizontal="right" vertical="center" wrapText="1"/>
    </xf>
    <xf numFmtId="0" fontId="159" fillId="86" borderId="16" xfId="0" applyFont="1" applyFill="1" applyBorder="1" applyAlignment="1">
      <alignment horizontal="center" vertical="center" wrapText="1"/>
    </xf>
    <xf numFmtId="0" fontId="159" fillId="86" borderId="55" xfId="0" applyFont="1" applyFill="1" applyBorder="1" applyAlignment="1">
      <alignment horizontal="center" vertical="center" wrapText="1"/>
    </xf>
    <xf numFmtId="0" fontId="159" fillId="86" borderId="55" xfId="0" applyFont="1" applyFill="1" applyBorder="1" applyAlignment="1">
      <alignment vertical="center" wrapText="1"/>
    </xf>
    <xf numFmtId="236" fontId="159" fillId="86" borderId="55" xfId="0" applyNumberFormat="1" applyFont="1" applyFill="1" applyBorder="1" applyAlignment="1">
      <alignment horizontal="right" vertical="center" wrapText="1"/>
    </xf>
    <xf numFmtId="0" fontId="159" fillId="69" borderId="55" xfId="0" applyFont="1" applyFill="1" applyBorder="1" applyAlignment="1">
      <alignment vertical="center" wrapText="1"/>
    </xf>
    <xf numFmtId="0" fontId="159" fillId="69" borderId="55" xfId="0" applyFont="1" applyFill="1" applyBorder="1" applyAlignment="1">
      <alignment horizontal="right" vertical="center" wrapText="1"/>
    </xf>
    <xf numFmtId="236" fontId="159" fillId="86" borderId="16" xfId="0" applyNumberFormat="1" applyFont="1" applyFill="1" applyBorder="1" applyAlignment="1">
      <alignment horizontal="right" vertical="center" wrapText="1"/>
    </xf>
    <xf numFmtId="0" fontId="159" fillId="86" borderId="55" xfId="0" applyFont="1" applyFill="1" applyBorder="1" applyAlignment="1">
      <alignment vertical="center"/>
    </xf>
    <xf numFmtId="0" fontId="159" fillId="86" borderId="55" xfId="0" quotePrefix="1" applyFont="1" applyFill="1" applyBorder="1" applyAlignment="1">
      <alignment horizontal="right" vertical="center" wrapText="1"/>
    </xf>
    <xf numFmtId="0" fontId="159" fillId="86" borderId="55" xfId="0" quotePrefix="1" applyFont="1" applyFill="1" applyBorder="1" applyAlignment="1">
      <alignment horizontal="center" vertical="center" wrapText="1"/>
    </xf>
    <xf numFmtId="0" fontId="61" fillId="0" borderId="0" xfId="0" applyFont="1" applyAlignment="1">
      <alignment vertical="center"/>
    </xf>
    <xf numFmtId="197" fontId="20" fillId="0" borderId="55" xfId="0" applyNumberFormat="1" applyFont="1" applyBorder="1"/>
    <xf numFmtId="197" fontId="159" fillId="86" borderId="55" xfId="0" applyNumberFormat="1" applyFont="1" applyFill="1" applyBorder="1" applyAlignment="1">
      <alignment horizontal="right" vertical="center" wrapText="1"/>
    </xf>
    <xf numFmtId="197" fontId="0" fillId="0" borderId="0" xfId="0" applyNumberFormat="1" applyAlignment="1">
      <alignment horizontal="right" vertical="center"/>
    </xf>
    <xf numFmtId="0" fontId="10" fillId="86" borderId="55" xfId="0" applyFont="1" applyFill="1" applyBorder="1" applyAlignment="1">
      <alignment horizontal="right" vertical="center" wrapText="1"/>
    </xf>
    <xf numFmtId="197" fontId="10" fillId="86" borderId="55" xfId="0" applyNumberFormat="1" applyFont="1" applyFill="1" applyBorder="1" applyAlignment="1">
      <alignment horizontal="right" vertical="center" wrapText="1"/>
    </xf>
    <xf numFmtId="43" fontId="0" fillId="0" borderId="0" xfId="0" applyNumberFormat="1"/>
    <xf numFmtId="240" fontId="20" fillId="0" borderId="55" xfId="0" applyNumberFormat="1" applyFont="1" applyBorder="1"/>
    <xf numFmtId="164" fontId="54" fillId="28" borderId="16" xfId="0" applyNumberFormat="1" applyFont="1" applyFill="1" applyBorder="1" applyAlignment="1">
      <alignment wrapText="1"/>
    </xf>
    <xf numFmtId="194" fontId="54" fillId="0" borderId="0" xfId="0" applyNumberFormat="1" applyFont="1"/>
    <xf numFmtId="194" fontId="54" fillId="70" borderId="0" xfId="0" applyNumberFormat="1" applyFont="1" applyFill="1"/>
    <xf numFmtId="194" fontId="54" fillId="0" borderId="0" xfId="0" applyNumberFormat="1" applyFont="1" applyAlignment="1">
      <alignment vertical="center"/>
    </xf>
    <xf numFmtId="194" fontId="0" fillId="0" borderId="0" xfId="0" applyNumberFormat="1"/>
    <xf numFmtId="0" fontId="0" fillId="0" borderId="0" xfId="0" applyAlignment="1">
      <alignment horizontal="center" wrapText="1"/>
    </xf>
    <xf numFmtId="0" fontId="0" fillId="0" borderId="0" xfId="0" applyAlignment="1">
      <alignment wrapText="1"/>
    </xf>
    <xf numFmtId="0" fontId="0" fillId="0" borderId="0" xfId="0" applyAlignment="1">
      <alignment horizontal="left" vertical="top" wrapText="1"/>
    </xf>
    <xf numFmtId="201" fontId="0" fillId="0" borderId="0" xfId="0" applyNumberFormat="1"/>
    <xf numFmtId="166" fontId="54" fillId="0" borderId="55" xfId="559" applyNumberFormat="1" applyFont="1" applyFill="1" applyBorder="1"/>
    <xf numFmtId="166" fontId="52" fillId="0" borderId="0" xfId="559" applyNumberFormat="1" applyFont="1" applyBorder="1"/>
    <xf numFmtId="166" fontId="0" fillId="0" borderId="0" xfId="559" applyNumberFormat="1" applyFont="1" applyBorder="1"/>
    <xf numFmtId="166" fontId="0" fillId="0" borderId="0" xfId="559" applyNumberFormat="1" applyFont="1" applyFill="1" applyBorder="1"/>
    <xf numFmtId="166" fontId="77" fillId="0" borderId="0" xfId="559" applyNumberFormat="1" applyFont="1" applyBorder="1"/>
    <xf numFmtId="240" fontId="10" fillId="69" borderId="55" xfId="0" applyNumberFormat="1" applyFont="1" applyFill="1" applyBorder="1" applyAlignment="1">
      <alignment vertical="center" wrapText="1"/>
    </xf>
    <xf numFmtId="3" fontId="0" fillId="0" borderId="0" xfId="0" applyNumberFormat="1"/>
    <xf numFmtId="0" fontId="156" fillId="0" borderId="0" xfId="0" applyFont="1" applyAlignment="1">
      <alignment horizontal="left"/>
    </xf>
    <xf numFmtId="238" fontId="0" fillId="0" borderId="0" xfId="0" applyNumberFormat="1" applyAlignment="1">
      <alignment horizontal="center"/>
    </xf>
    <xf numFmtId="238" fontId="77" fillId="0" borderId="0" xfId="0" applyNumberFormat="1" applyFont="1" applyAlignment="1">
      <alignment horizontal="center"/>
    </xf>
    <xf numFmtId="0" fontId="77" fillId="0" borderId="0" xfId="0" applyFont="1" applyAlignment="1">
      <alignment horizontal="center"/>
    </xf>
    <xf numFmtId="0" fontId="64" fillId="0" borderId="0" xfId="0" applyFont="1" applyAlignment="1">
      <alignment horizontal="center"/>
    </xf>
    <xf numFmtId="0" fontId="77" fillId="0" borderId="0" xfId="0" applyFont="1" applyAlignment="1">
      <alignment horizontal="center" vertical="center"/>
    </xf>
    <xf numFmtId="0" fontId="71" fillId="0" borderId="0" xfId="0" applyFont="1"/>
    <xf numFmtId="241" fontId="0" fillId="0" borderId="0" xfId="0" applyNumberFormat="1"/>
    <xf numFmtId="242" fontId="20" fillId="0" borderId="55" xfId="0" applyNumberFormat="1" applyFont="1" applyBorder="1" applyAlignment="1">
      <alignment vertical="center"/>
    </xf>
    <xf numFmtId="0" fontId="161" fillId="0" borderId="0" xfId="0" applyFont="1" applyAlignment="1">
      <alignment vertical="center"/>
    </xf>
    <xf numFmtId="0" fontId="0" fillId="0" borderId="0" xfId="0" applyAlignment="1">
      <alignment horizontal="centerContinuous" vertical="top"/>
    </xf>
    <xf numFmtId="0" fontId="162" fillId="0" borderId="0" xfId="0" applyFont="1" applyAlignment="1">
      <alignment horizontal="centerContinuous" vertical="top" wrapText="1"/>
    </xf>
    <xf numFmtId="238" fontId="0" fillId="0" borderId="0" xfId="0" quotePrefix="1" applyNumberFormat="1" applyAlignment="1">
      <alignment horizontal="center"/>
    </xf>
  </cellXfs>
  <cellStyles count="33644">
    <cellStyle name="_x000a_386grabber=M" xfId="976" xr:uid="{00000000-0005-0000-0000-000000000000}"/>
    <cellStyle name="_$ / ton" xfId="977" xr:uid="{00000000-0005-0000-0000-000001000000}"/>
    <cellStyle name="_Mt" xfId="978" xr:uid="{00000000-0005-0000-0000-000002000000}"/>
    <cellStyle name="_R$ milhões" xfId="979" xr:uid="{00000000-0005-0000-0000-000003000000}"/>
    <cellStyle name="£ BP" xfId="1" xr:uid="{00000000-0005-0000-0000-000004000000}"/>
    <cellStyle name="¥ JY" xfId="2" xr:uid="{00000000-0005-0000-0000-000005000000}"/>
    <cellStyle name="20% - Accent1" xfId="3" xr:uid="{00000000-0005-0000-0000-000006000000}"/>
    <cellStyle name="20% - Accent1 2" xfId="981" xr:uid="{00000000-0005-0000-0000-000007000000}"/>
    <cellStyle name="20% - Accent1 2 2" xfId="25053" xr:uid="{00000000-0005-0000-0000-000008000000}"/>
    <cellStyle name="20% - Accent1 2 2 2" xfId="26113" xr:uid="{00000000-0005-0000-0000-000009000000}"/>
    <cellStyle name="20% - Accent1 2 3" xfId="26112" xr:uid="{00000000-0005-0000-0000-00000A000000}"/>
    <cellStyle name="20% - Accent1 2 4" xfId="25052" xr:uid="{00000000-0005-0000-0000-00000B000000}"/>
    <cellStyle name="20% - Accent1 3" xfId="982" xr:uid="{00000000-0005-0000-0000-00000C000000}"/>
    <cellStyle name="20% - Accent1 3 2" xfId="26114" xr:uid="{00000000-0005-0000-0000-00000D000000}"/>
    <cellStyle name="20% - Accent1 4" xfId="980" xr:uid="{00000000-0005-0000-0000-00000E000000}"/>
    <cellStyle name="20% - Accent1 4 2" xfId="26111" xr:uid="{00000000-0005-0000-0000-00000F000000}"/>
    <cellStyle name="20% - Accent2" xfId="4" xr:uid="{00000000-0005-0000-0000-000010000000}"/>
    <cellStyle name="20% - Accent2 2" xfId="984" xr:uid="{00000000-0005-0000-0000-000011000000}"/>
    <cellStyle name="20% - Accent2 2 2" xfId="25055" xr:uid="{00000000-0005-0000-0000-000012000000}"/>
    <cellStyle name="20% - Accent2 2 2 2" xfId="26117" xr:uid="{00000000-0005-0000-0000-000013000000}"/>
    <cellStyle name="20% - Accent2 2 3" xfId="26116" xr:uid="{00000000-0005-0000-0000-000014000000}"/>
    <cellStyle name="20% - Accent2 2 4" xfId="25054" xr:uid="{00000000-0005-0000-0000-000015000000}"/>
    <cellStyle name="20% - Accent2 3" xfId="985" xr:uid="{00000000-0005-0000-0000-000016000000}"/>
    <cellStyle name="20% - Accent2 3 2" xfId="26118" xr:uid="{00000000-0005-0000-0000-000017000000}"/>
    <cellStyle name="20% - Accent2 4" xfId="983" xr:uid="{00000000-0005-0000-0000-000018000000}"/>
    <cellStyle name="20% - Accent2 4 2" xfId="26115" xr:uid="{00000000-0005-0000-0000-000019000000}"/>
    <cellStyle name="20% - Accent3" xfId="5" xr:uid="{00000000-0005-0000-0000-00001A000000}"/>
    <cellStyle name="20% - Accent3 2" xfId="987" xr:uid="{00000000-0005-0000-0000-00001B000000}"/>
    <cellStyle name="20% - Accent3 2 2" xfId="25057" xr:uid="{00000000-0005-0000-0000-00001C000000}"/>
    <cellStyle name="20% - Accent3 2 2 2" xfId="26121" xr:uid="{00000000-0005-0000-0000-00001D000000}"/>
    <cellStyle name="20% - Accent3 2 3" xfId="26120" xr:uid="{00000000-0005-0000-0000-00001E000000}"/>
    <cellStyle name="20% - Accent3 2 4" xfId="25056" xr:uid="{00000000-0005-0000-0000-00001F000000}"/>
    <cellStyle name="20% - Accent3 3" xfId="988" xr:uid="{00000000-0005-0000-0000-000020000000}"/>
    <cellStyle name="20% - Accent3 3 2" xfId="26122" xr:uid="{00000000-0005-0000-0000-000021000000}"/>
    <cellStyle name="20% - Accent3 4" xfId="986" xr:uid="{00000000-0005-0000-0000-000022000000}"/>
    <cellStyle name="20% - Accent3 4 2" xfId="26119" xr:uid="{00000000-0005-0000-0000-000023000000}"/>
    <cellStyle name="20% - Accent4" xfId="6" xr:uid="{00000000-0005-0000-0000-000024000000}"/>
    <cellStyle name="20% - Accent4 2" xfId="990" xr:uid="{00000000-0005-0000-0000-000025000000}"/>
    <cellStyle name="20% - Accent4 2 2" xfId="25059" xr:uid="{00000000-0005-0000-0000-000026000000}"/>
    <cellStyle name="20% - Accent4 2 2 2" xfId="26125" xr:uid="{00000000-0005-0000-0000-000027000000}"/>
    <cellStyle name="20% - Accent4 2 3" xfId="26124" xr:uid="{00000000-0005-0000-0000-000028000000}"/>
    <cellStyle name="20% - Accent4 2 4" xfId="25058" xr:uid="{00000000-0005-0000-0000-000029000000}"/>
    <cellStyle name="20% - Accent4 3" xfId="991" xr:uid="{00000000-0005-0000-0000-00002A000000}"/>
    <cellStyle name="20% - Accent4 3 2" xfId="26126" xr:uid="{00000000-0005-0000-0000-00002B000000}"/>
    <cellStyle name="20% - Accent4 4" xfId="989" xr:uid="{00000000-0005-0000-0000-00002C000000}"/>
    <cellStyle name="20% - Accent4 4 2" xfId="26123" xr:uid="{00000000-0005-0000-0000-00002D000000}"/>
    <cellStyle name="20% - Accent5" xfId="7" xr:uid="{00000000-0005-0000-0000-00002E000000}"/>
    <cellStyle name="20% - Accent5 2" xfId="993" xr:uid="{00000000-0005-0000-0000-00002F000000}"/>
    <cellStyle name="20% - Accent5 2 2" xfId="25061" xr:uid="{00000000-0005-0000-0000-000030000000}"/>
    <cellStyle name="20% - Accent5 2 2 2" xfId="26129" xr:uid="{00000000-0005-0000-0000-000031000000}"/>
    <cellStyle name="20% - Accent5 2 3" xfId="26128" xr:uid="{00000000-0005-0000-0000-000032000000}"/>
    <cellStyle name="20% - Accent5 2 4" xfId="25060" xr:uid="{00000000-0005-0000-0000-000033000000}"/>
    <cellStyle name="20% - Accent5 3" xfId="994" xr:uid="{00000000-0005-0000-0000-000034000000}"/>
    <cellStyle name="20% - Accent5 3 2" xfId="26130" xr:uid="{00000000-0005-0000-0000-000035000000}"/>
    <cellStyle name="20% - Accent5 4" xfId="992" xr:uid="{00000000-0005-0000-0000-000036000000}"/>
    <cellStyle name="20% - Accent5 4 2" xfId="26127" xr:uid="{00000000-0005-0000-0000-000037000000}"/>
    <cellStyle name="20% - Accent6" xfId="8" xr:uid="{00000000-0005-0000-0000-000038000000}"/>
    <cellStyle name="20% - Accent6 2" xfId="996" xr:uid="{00000000-0005-0000-0000-000039000000}"/>
    <cellStyle name="20% - Accent6 2 2" xfId="25063" xr:uid="{00000000-0005-0000-0000-00003A000000}"/>
    <cellStyle name="20% - Accent6 2 2 2" xfId="26133" xr:uid="{00000000-0005-0000-0000-00003B000000}"/>
    <cellStyle name="20% - Accent6 2 3" xfId="26132" xr:uid="{00000000-0005-0000-0000-00003C000000}"/>
    <cellStyle name="20% - Accent6 2 4" xfId="25062" xr:uid="{00000000-0005-0000-0000-00003D000000}"/>
    <cellStyle name="20% - Accent6 3" xfId="997" xr:uid="{00000000-0005-0000-0000-00003E000000}"/>
    <cellStyle name="20% - Accent6 3 2" xfId="26134" xr:uid="{00000000-0005-0000-0000-00003F000000}"/>
    <cellStyle name="20% - Accent6 4" xfId="995" xr:uid="{00000000-0005-0000-0000-000040000000}"/>
    <cellStyle name="20% - Accent6 4 2" xfId="26131" xr:uid="{00000000-0005-0000-0000-000041000000}"/>
    <cellStyle name="20% - Cor1" xfId="9" xr:uid="{00000000-0005-0000-0000-000042000000}"/>
    <cellStyle name="20% - Cor1 2" xfId="26135" xr:uid="{00000000-0005-0000-0000-000043000000}"/>
    <cellStyle name="20% - Cor2" xfId="10" xr:uid="{00000000-0005-0000-0000-000044000000}"/>
    <cellStyle name="20% - Cor2 2" xfId="26136" xr:uid="{00000000-0005-0000-0000-000045000000}"/>
    <cellStyle name="20% - Cor3" xfId="11" xr:uid="{00000000-0005-0000-0000-000046000000}"/>
    <cellStyle name="20% - Cor3 2" xfId="26137" xr:uid="{00000000-0005-0000-0000-000047000000}"/>
    <cellStyle name="20% - Cor4" xfId="12" xr:uid="{00000000-0005-0000-0000-000048000000}"/>
    <cellStyle name="20% - Cor4 2" xfId="26138" xr:uid="{00000000-0005-0000-0000-000049000000}"/>
    <cellStyle name="20% - Cor5" xfId="13" xr:uid="{00000000-0005-0000-0000-00004A000000}"/>
    <cellStyle name="20% - Cor5 2" xfId="26139" xr:uid="{00000000-0005-0000-0000-00004B000000}"/>
    <cellStyle name="20% - Cor6" xfId="14" xr:uid="{00000000-0005-0000-0000-00004C000000}"/>
    <cellStyle name="20% - Cor6 2" xfId="26140" xr:uid="{00000000-0005-0000-0000-00004D000000}"/>
    <cellStyle name="20% - Ênfase1" xfId="15" builtinId="30" customBuiltin="1"/>
    <cellStyle name="20% - Ênfase1 10" xfId="998" xr:uid="{00000000-0005-0000-0000-00004F000000}"/>
    <cellStyle name="20% - Ênfase1 10 2" xfId="999" xr:uid="{00000000-0005-0000-0000-000050000000}"/>
    <cellStyle name="20% - Ênfase1 10 2 2" xfId="1000" xr:uid="{00000000-0005-0000-0000-000051000000}"/>
    <cellStyle name="20% - Ênfase1 10 2 2 2" xfId="26142" xr:uid="{00000000-0005-0000-0000-000052000000}"/>
    <cellStyle name="20% - Ênfase1 10 2 3" xfId="26141" xr:uid="{00000000-0005-0000-0000-000053000000}"/>
    <cellStyle name="20% - Ênfase1 10 3" xfId="1001" xr:uid="{00000000-0005-0000-0000-000054000000}"/>
    <cellStyle name="20% - Ênfase1 10 3 2" xfId="1002" xr:uid="{00000000-0005-0000-0000-000055000000}"/>
    <cellStyle name="20% - Ênfase1 10 4" xfId="1003" xr:uid="{00000000-0005-0000-0000-000056000000}"/>
    <cellStyle name="20% - Ênfase1 10 4 2" xfId="1004" xr:uid="{00000000-0005-0000-0000-000057000000}"/>
    <cellStyle name="20% - Ênfase1 10 5" xfId="1005" xr:uid="{00000000-0005-0000-0000-000058000000}"/>
    <cellStyle name="20% - Ênfase1 10 5 2" xfId="1006" xr:uid="{00000000-0005-0000-0000-000059000000}"/>
    <cellStyle name="20% - Ênfase1 10 6" xfId="1007" xr:uid="{00000000-0005-0000-0000-00005A000000}"/>
    <cellStyle name="20% - Ênfase1 11" xfId="1008" xr:uid="{00000000-0005-0000-0000-00005B000000}"/>
    <cellStyle name="20% - Ênfase1 11 2" xfId="1009" xr:uid="{00000000-0005-0000-0000-00005C000000}"/>
    <cellStyle name="20% - Ênfase1 11 2 2" xfId="1010" xr:uid="{00000000-0005-0000-0000-00005D000000}"/>
    <cellStyle name="20% - Ênfase1 11 2 3" xfId="26143" xr:uid="{00000000-0005-0000-0000-00005E000000}"/>
    <cellStyle name="20% - Ênfase1 11 3" xfId="1011" xr:uid="{00000000-0005-0000-0000-00005F000000}"/>
    <cellStyle name="20% - Ênfase1 11 3 2" xfId="1012" xr:uid="{00000000-0005-0000-0000-000060000000}"/>
    <cellStyle name="20% - Ênfase1 11 4" xfId="1013" xr:uid="{00000000-0005-0000-0000-000061000000}"/>
    <cellStyle name="20% - Ênfase1 11 4 2" xfId="1014" xr:uid="{00000000-0005-0000-0000-000062000000}"/>
    <cellStyle name="20% - Ênfase1 11 5" xfId="1015" xr:uid="{00000000-0005-0000-0000-000063000000}"/>
    <cellStyle name="20% - Ênfase1 11 5 2" xfId="1016" xr:uid="{00000000-0005-0000-0000-000064000000}"/>
    <cellStyle name="20% - Ênfase1 11 6" xfId="1017" xr:uid="{00000000-0005-0000-0000-000065000000}"/>
    <cellStyle name="20% - Ênfase1 11 7" xfId="25064" xr:uid="{00000000-0005-0000-0000-000066000000}"/>
    <cellStyle name="20% - Ênfase1 12" xfId="1018" xr:uid="{00000000-0005-0000-0000-000067000000}"/>
    <cellStyle name="20% - Ênfase1 12 2" xfId="1019" xr:uid="{00000000-0005-0000-0000-000068000000}"/>
    <cellStyle name="20% - Ênfase1 12 2 2" xfId="1020" xr:uid="{00000000-0005-0000-0000-000069000000}"/>
    <cellStyle name="20% - Ênfase1 12 2 2 2" xfId="26145" xr:uid="{00000000-0005-0000-0000-00006A000000}"/>
    <cellStyle name="20% - Ênfase1 12 2 3" xfId="26144" xr:uid="{00000000-0005-0000-0000-00006B000000}"/>
    <cellStyle name="20% - Ênfase1 12 3" xfId="1021" xr:uid="{00000000-0005-0000-0000-00006C000000}"/>
    <cellStyle name="20% - Ênfase1 12 3 2" xfId="1022" xr:uid="{00000000-0005-0000-0000-00006D000000}"/>
    <cellStyle name="20% - Ênfase1 12 4" xfId="1023" xr:uid="{00000000-0005-0000-0000-00006E000000}"/>
    <cellStyle name="20% - Ênfase1 12 4 2" xfId="1024" xr:uid="{00000000-0005-0000-0000-00006F000000}"/>
    <cellStyle name="20% - Ênfase1 12 5" xfId="1025" xr:uid="{00000000-0005-0000-0000-000070000000}"/>
    <cellStyle name="20% - Ênfase1 12 5 2" xfId="1026" xr:uid="{00000000-0005-0000-0000-000071000000}"/>
    <cellStyle name="20% - Ênfase1 12 6" xfId="1027" xr:uid="{00000000-0005-0000-0000-000072000000}"/>
    <cellStyle name="20% - Ênfase1 13" xfId="1028" xr:uid="{00000000-0005-0000-0000-000073000000}"/>
    <cellStyle name="20% - Ênfase1 13 2" xfId="1029" xr:uid="{00000000-0005-0000-0000-000074000000}"/>
    <cellStyle name="20% - Ênfase1 14" xfId="1030" xr:uid="{00000000-0005-0000-0000-000075000000}"/>
    <cellStyle name="20% - Ênfase1 14 2" xfId="1031" xr:uid="{00000000-0005-0000-0000-000076000000}"/>
    <cellStyle name="20% - Ênfase1 15" xfId="1032" xr:uid="{00000000-0005-0000-0000-000077000000}"/>
    <cellStyle name="20% - Ênfase1 15 2" xfId="1033" xr:uid="{00000000-0005-0000-0000-000078000000}"/>
    <cellStyle name="20% - Ênfase1 16" xfId="1034" xr:uid="{00000000-0005-0000-0000-000079000000}"/>
    <cellStyle name="20% - Ênfase1 16 2" xfId="1035" xr:uid="{00000000-0005-0000-0000-00007A000000}"/>
    <cellStyle name="20% - Ênfase1 17" xfId="1036" xr:uid="{00000000-0005-0000-0000-00007B000000}"/>
    <cellStyle name="20% - Ênfase1 17 2" xfId="1037" xr:uid="{00000000-0005-0000-0000-00007C000000}"/>
    <cellStyle name="20% - Ênfase1 18" xfId="1038" xr:uid="{00000000-0005-0000-0000-00007D000000}"/>
    <cellStyle name="20% - Ênfase1 18 2" xfId="1039" xr:uid="{00000000-0005-0000-0000-00007E000000}"/>
    <cellStyle name="20% - Ênfase1 19" xfId="1040" xr:uid="{00000000-0005-0000-0000-00007F000000}"/>
    <cellStyle name="20% - Ênfase1 19 2" xfId="1041" xr:uid="{00000000-0005-0000-0000-000080000000}"/>
    <cellStyle name="20% - Ênfase1 2" xfId="1042" xr:uid="{00000000-0005-0000-0000-000081000000}"/>
    <cellStyle name="20% - Ênfase1 2 2" xfId="1043" xr:uid="{00000000-0005-0000-0000-000082000000}"/>
    <cellStyle name="20% - Ênfase1 2 2 10" xfId="1044" xr:uid="{00000000-0005-0000-0000-000083000000}"/>
    <cellStyle name="20% - Ênfase1 2 2 10 2" xfId="1045" xr:uid="{00000000-0005-0000-0000-000084000000}"/>
    <cellStyle name="20% - Ênfase1 2 2 11" xfId="1046" xr:uid="{00000000-0005-0000-0000-000085000000}"/>
    <cellStyle name="20% - Ênfase1 2 2 11 2" xfId="1047" xr:uid="{00000000-0005-0000-0000-000086000000}"/>
    <cellStyle name="20% - Ênfase1 2 2 12" xfId="1048" xr:uid="{00000000-0005-0000-0000-000087000000}"/>
    <cellStyle name="20% - Ênfase1 2 2 12 2" xfId="1049" xr:uid="{00000000-0005-0000-0000-000088000000}"/>
    <cellStyle name="20% - Ênfase1 2 2 13" xfId="25065" xr:uid="{00000000-0005-0000-0000-000089000000}"/>
    <cellStyle name="20% - Ênfase1 2 2 2" xfId="1050" xr:uid="{00000000-0005-0000-0000-00008A000000}"/>
    <cellStyle name="20% - Ênfase1 2 2 2 10" xfId="1051" xr:uid="{00000000-0005-0000-0000-00008B000000}"/>
    <cellStyle name="20% - Ênfase1 2 2 2 11" xfId="1052" xr:uid="{00000000-0005-0000-0000-00008C000000}"/>
    <cellStyle name="20% - Ênfase1 2 2 2 2" xfId="1053" xr:uid="{00000000-0005-0000-0000-00008D000000}"/>
    <cellStyle name="20% - Ênfase1 2 2 2 2 2" xfId="25067" xr:uid="{00000000-0005-0000-0000-00008E000000}"/>
    <cellStyle name="20% - Ênfase1 2 2 2 2 2 2" xfId="26150" xr:uid="{00000000-0005-0000-0000-00008F000000}"/>
    <cellStyle name="20% - Ênfase1 2 2 2 2 3" xfId="26149" xr:uid="{00000000-0005-0000-0000-000090000000}"/>
    <cellStyle name="20% - Ênfase1 2 2 2 2 4" xfId="25066" xr:uid="{00000000-0005-0000-0000-000091000000}"/>
    <cellStyle name="20% - Ênfase1 2 2 2 3" xfId="1054" xr:uid="{00000000-0005-0000-0000-000092000000}"/>
    <cellStyle name="20% - Ênfase1 2 2 2 3 2" xfId="26151" xr:uid="{00000000-0005-0000-0000-000093000000}"/>
    <cellStyle name="20% - Ênfase1 2 2 2 3 3" xfId="25068" xr:uid="{00000000-0005-0000-0000-000094000000}"/>
    <cellStyle name="20% - Ênfase1 2 2 2 4" xfId="1055" xr:uid="{00000000-0005-0000-0000-000095000000}"/>
    <cellStyle name="20% - Ênfase1 2 2 2 4 2" xfId="26148" xr:uid="{00000000-0005-0000-0000-000096000000}"/>
    <cellStyle name="20% - Ênfase1 2 2 2 5" xfId="1056" xr:uid="{00000000-0005-0000-0000-000097000000}"/>
    <cellStyle name="20% - Ênfase1 2 2 2 6" xfId="1057" xr:uid="{00000000-0005-0000-0000-000098000000}"/>
    <cellStyle name="20% - Ênfase1 2 2 2 7" xfId="1058" xr:uid="{00000000-0005-0000-0000-000099000000}"/>
    <cellStyle name="20% - Ênfase1 2 2 2 8" xfId="1059" xr:uid="{00000000-0005-0000-0000-00009A000000}"/>
    <cellStyle name="20% - Ênfase1 2 2 2 9" xfId="1060" xr:uid="{00000000-0005-0000-0000-00009B000000}"/>
    <cellStyle name="20% - Ênfase1 2 2 3" xfId="1061" xr:uid="{00000000-0005-0000-0000-00009C000000}"/>
    <cellStyle name="20% - Ênfase1 2 2 3 2" xfId="25070" xr:uid="{00000000-0005-0000-0000-00009D000000}"/>
    <cellStyle name="20% - Ênfase1 2 2 3 2 2" xfId="25071" xr:uid="{00000000-0005-0000-0000-00009E000000}"/>
    <cellStyle name="20% - Ênfase1 2 2 3 2 2 2" xfId="26154" xr:uid="{00000000-0005-0000-0000-00009F000000}"/>
    <cellStyle name="20% - Ênfase1 2 2 3 2 3" xfId="26153" xr:uid="{00000000-0005-0000-0000-0000A0000000}"/>
    <cellStyle name="20% - Ênfase1 2 2 3 3" xfId="25072" xr:uid="{00000000-0005-0000-0000-0000A1000000}"/>
    <cellStyle name="20% - Ênfase1 2 2 3 3 2" xfId="26155" xr:uid="{00000000-0005-0000-0000-0000A2000000}"/>
    <cellStyle name="20% - Ênfase1 2 2 3 4" xfId="26152" xr:uid="{00000000-0005-0000-0000-0000A3000000}"/>
    <cellStyle name="20% - Ênfase1 2 2 3 5" xfId="25069" xr:uid="{00000000-0005-0000-0000-0000A4000000}"/>
    <cellStyle name="20% - Ênfase1 2 2 4" xfId="1062" xr:uid="{00000000-0005-0000-0000-0000A5000000}"/>
    <cellStyle name="20% - Ênfase1 2 2 4 2" xfId="26156" xr:uid="{00000000-0005-0000-0000-0000A6000000}"/>
    <cellStyle name="20% - Ênfase1 2 2 4 3" xfId="25073" xr:uid="{00000000-0005-0000-0000-0000A7000000}"/>
    <cellStyle name="20% - Ênfase1 2 2 5" xfId="1063" xr:uid="{00000000-0005-0000-0000-0000A8000000}"/>
    <cellStyle name="20% - Ênfase1 2 2 5 2" xfId="1064" xr:uid="{00000000-0005-0000-0000-0000A9000000}"/>
    <cellStyle name="20% - Ênfase1 2 2 5 3" xfId="26147" xr:uid="{00000000-0005-0000-0000-0000AA000000}"/>
    <cellStyle name="20% - Ênfase1 2 2 6" xfId="1065" xr:uid="{00000000-0005-0000-0000-0000AB000000}"/>
    <cellStyle name="20% - Ênfase1 2 2 6 2" xfId="1066" xr:uid="{00000000-0005-0000-0000-0000AC000000}"/>
    <cellStyle name="20% - Ênfase1 2 2 7" xfId="1067" xr:uid="{00000000-0005-0000-0000-0000AD000000}"/>
    <cellStyle name="20% - Ênfase1 2 2 7 2" xfId="1068" xr:uid="{00000000-0005-0000-0000-0000AE000000}"/>
    <cellStyle name="20% - Ênfase1 2 2 8" xfId="1069" xr:uid="{00000000-0005-0000-0000-0000AF000000}"/>
    <cellStyle name="20% - Ênfase1 2 2 8 2" xfId="1070" xr:uid="{00000000-0005-0000-0000-0000B0000000}"/>
    <cellStyle name="20% - Ênfase1 2 2 9" xfId="1071" xr:uid="{00000000-0005-0000-0000-0000B1000000}"/>
    <cellStyle name="20% - Ênfase1 2 2 9 2" xfId="1072" xr:uid="{00000000-0005-0000-0000-0000B2000000}"/>
    <cellStyle name="20% - Ênfase1 2 3" xfId="1073" xr:uid="{00000000-0005-0000-0000-0000B3000000}"/>
    <cellStyle name="20% - Ênfase1 2 3 2" xfId="25075" xr:uid="{00000000-0005-0000-0000-0000B4000000}"/>
    <cellStyle name="20% - Ênfase1 2 3 2 2" xfId="25076" xr:uid="{00000000-0005-0000-0000-0000B5000000}"/>
    <cellStyle name="20% - Ênfase1 2 3 2 2 2" xfId="26159" xr:uid="{00000000-0005-0000-0000-0000B6000000}"/>
    <cellStyle name="20% - Ênfase1 2 3 2 3" xfId="26158" xr:uid="{00000000-0005-0000-0000-0000B7000000}"/>
    <cellStyle name="20% - Ênfase1 2 3 3" xfId="25077" xr:uid="{00000000-0005-0000-0000-0000B8000000}"/>
    <cellStyle name="20% - Ênfase1 2 3 3 2" xfId="26160" xr:uid="{00000000-0005-0000-0000-0000B9000000}"/>
    <cellStyle name="20% - Ênfase1 2 3 4" xfId="26157" xr:uid="{00000000-0005-0000-0000-0000BA000000}"/>
    <cellStyle name="20% - Ênfase1 2 3 5" xfId="25074" xr:uid="{00000000-0005-0000-0000-0000BB000000}"/>
    <cellStyle name="20% - Ênfase1 2 4" xfId="1074" xr:uid="{00000000-0005-0000-0000-0000BC000000}"/>
    <cellStyle name="20% - Ênfase1 2 4 2" xfId="25079" xr:uid="{00000000-0005-0000-0000-0000BD000000}"/>
    <cellStyle name="20% - Ênfase1 2 4 2 2" xfId="25080" xr:uid="{00000000-0005-0000-0000-0000BE000000}"/>
    <cellStyle name="20% - Ênfase1 2 4 2 2 2" xfId="26163" xr:uid="{00000000-0005-0000-0000-0000BF000000}"/>
    <cellStyle name="20% - Ênfase1 2 4 2 3" xfId="26162" xr:uid="{00000000-0005-0000-0000-0000C0000000}"/>
    <cellStyle name="20% - Ênfase1 2 4 3" xfId="25081" xr:uid="{00000000-0005-0000-0000-0000C1000000}"/>
    <cellStyle name="20% - Ênfase1 2 4 3 2" xfId="26164" xr:uid="{00000000-0005-0000-0000-0000C2000000}"/>
    <cellStyle name="20% - Ênfase1 2 4 4" xfId="26161" xr:uid="{00000000-0005-0000-0000-0000C3000000}"/>
    <cellStyle name="20% - Ênfase1 2 4 5" xfId="25078" xr:uid="{00000000-0005-0000-0000-0000C4000000}"/>
    <cellStyle name="20% - Ênfase1 2 5" xfId="1075" xr:uid="{00000000-0005-0000-0000-0000C5000000}"/>
    <cellStyle name="20% - Ênfase1 2 5 10" xfId="1076" xr:uid="{00000000-0005-0000-0000-0000C6000000}"/>
    <cellStyle name="20% - Ênfase1 2 5 10 2" xfId="1077" xr:uid="{00000000-0005-0000-0000-0000C7000000}"/>
    <cellStyle name="20% - Ênfase1 2 5 2" xfId="1078" xr:uid="{00000000-0005-0000-0000-0000C8000000}"/>
    <cellStyle name="20% - Ênfase1 2 5 2 2" xfId="1079" xr:uid="{00000000-0005-0000-0000-0000C9000000}"/>
    <cellStyle name="20% - Ênfase1 2 5 3" xfId="1080" xr:uid="{00000000-0005-0000-0000-0000CA000000}"/>
    <cellStyle name="20% - Ênfase1 2 5 3 2" xfId="1081" xr:uid="{00000000-0005-0000-0000-0000CB000000}"/>
    <cellStyle name="20% - Ênfase1 2 5 4" xfId="1082" xr:uid="{00000000-0005-0000-0000-0000CC000000}"/>
    <cellStyle name="20% - Ênfase1 2 5 4 2" xfId="1083" xr:uid="{00000000-0005-0000-0000-0000CD000000}"/>
    <cellStyle name="20% - Ênfase1 2 5 5" xfId="1084" xr:uid="{00000000-0005-0000-0000-0000CE000000}"/>
    <cellStyle name="20% - Ênfase1 2 5 5 2" xfId="1085" xr:uid="{00000000-0005-0000-0000-0000CF000000}"/>
    <cellStyle name="20% - Ênfase1 2 5 6" xfId="1086" xr:uid="{00000000-0005-0000-0000-0000D0000000}"/>
    <cellStyle name="20% - Ênfase1 2 5 6 2" xfId="1087" xr:uid="{00000000-0005-0000-0000-0000D1000000}"/>
    <cellStyle name="20% - Ênfase1 2 5 7" xfId="1088" xr:uid="{00000000-0005-0000-0000-0000D2000000}"/>
    <cellStyle name="20% - Ênfase1 2 5 7 2" xfId="1089" xr:uid="{00000000-0005-0000-0000-0000D3000000}"/>
    <cellStyle name="20% - Ênfase1 2 5 8" xfId="1090" xr:uid="{00000000-0005-0000-0000-0000D4000000}"/>
    <cellStyle name="20% - Ênfase1 2 5 8 2" xfId="1091" xr:uid="{00000000-0005-0000-0000-0000D5000000}"/>
    <cellStyle name="20% - Ênfase1 2 5 9" xfId="1092" xr:uid="{00000000-0005-0000-0000-0000D6000000}"/>
    <cellStyle name="20% - Ênfase1 2 5 9 2" xfId="1093" xr:uid="{00000000-0005-0000-0000-0000D7000000}"/>
    <cellStyle name="20% - Ênfase1 2 6" xfId="1094" xr:uid="{00000000-0005-0000-0000-0000D8000000}"/>
    <cellStyle name="20% - Ênfase1 2 6 2" xfId="1095" xr:uid="{00000000-0005-0000-0000-0000D9000000}"/>
    <cellStyle name="20% - Ênfase1 2 6 2 2" xfId="1096" xr:uid="{00000000-0005-0000-0000-0000DA000000}"/>
    <cellStyle name="20% - Ênfase1 2 6 3" xfId="1097" xr:uid="{00000000-0005-0000-0000-0000DB000000}"/>
    <cellStyle name="20% - Ênfase1 2 6 3 2" xfId="1098" xr:uid="{00000000-0005-0000-0000-0000DC000000}"/>
    <cellStyle name="20% - Ênfase1 2 6 4" xfId="1099" xr:uid="{00000000-0005-0000-0000-0000DD000000}"/>
    <cellStyle name="20% - Ênfase1 2 6 4 2" xfId="1100" xr:uid="{00000000-0005-0000-0000-0000DE000000}"/>
    <cellStyle name="20% - Ênfase1 2 6 5" xfId="1101" xr:uid="{00000000-0005-0000-0000-0000DF000000}"/>
    <cellStyle name="20% - Ênfase1 2 6 5 2" xfId="1102" xr:uid="{00000000-0005-0000-0000-0000E0000000}"/>
    <cellStyle name="20% - Ênfase1 2 6 6" xfId="1103" xr:uid="{00000000-0005-0000-0000-0000E1000000}"/>
    <cellStyle name="20% - Ênfase1 2 7" xfId="26146" xr:uid="{00000000-0005-0000-0000-0000E2000000}"/>
    <cellStyle name="20% - Ênfase1 20" xfId="1104" xr:uid="{00000000-0005-0000-0000-0000E3000000}"/>
    <cellStyle name="20% - Ênfase1 20 2" xfId="1105" xr:uid="{00000000-0005-0000-0000-0000E4000000}"/>
    <cellStyle name="20% - Ênfase1 21" xfId="1106" xr:uid="{00000000-0005-0000-0000-0000E5000000}"/>
    <cellStyle name="20% - Ênfase1 21 2" xfId="1107" xr:uid="{00000000-0005-0000-0000-0000E6000000}"/>
    <cellStyle name="20% - Ênfase1 22" xfId="1108" xr:uid="{00000000-0005-0000-0000-0000E7000000}"/>
    <cellStyle name="20% - Ênfase1 22 2" xfId="1109" xr:uid="{00000000-0005-0000-0000-0000E8000000}"/>
    <cellStyle name="20% - Ênfase1 23" xfId="1110" xr:uid="{00000000-0005-0000-0000-0000E9000000}"/>
    <cellStyle name="20% - Ênfase1 23 2" xfId="1111" xr:uid="{00000000-0005-0000-0000-0000EA000000}"/>
    <cellStyle name="20% - Ênfase1 24" xfId="1112" xr:uid="{00000000-0005-0000-0000-0000EB000000}"/>
    <cellStyle name="20% - Ênfase1 24 2" xfId="1113" xr:uid="{00000000-0005-0000-0000-0000EC000000}"/>
    <cellStyle name="20% - Ênfase1 25" xfId="1114" xr:uid="{00000000-0005-0000-0000-0000ED000000}"/>
    <cellStyle name="20% - Ênfase1 25 2" xfId="1115" xr:uid="{00000000-0005-0000-0000-0000EE000000}"/>
    <cellStyle name="20% - Ênfase1 26" xfId="1116" xr:uid="{00000000-0005-0000-0000-0000EF000000}"/>
    <cellStyle name="20% - Ênfase1 26 2" xfId="1117" xr:uid="{00000000-0005-0000-0000-0000F0000000}"/>
    <cellStyle name="20% - Ênfase1 27" xfId="1118" xr:uid="{00000000-0005-0000-0000-0000F1000000}"/>
    <cellStyle name="20% - Ênfase1 27 2" xfId="1119" xr:uid="{00000000-0005-0000-0000-0000F2000000}"/>
    <cellStyle name="20% - Ênfase1 28" xfId="1120" xr:uid="{00000000-0005-0000-0000-0000F3000000}"/>
    <cellStyle name="20% - Ênfase1 28 2" xfId="1121" xr:uid="{00000000-0005-0000-0000-0000F4000000}"/>
    <cellStyle name="20% - Ênfase1 29" xfId="1122" xr:uid="{00000000-0005-0000-0000-0000F5000000}"/>
    <cellStyle name="20% - Ênfase1 29 2" xfId="1123" xr:uid="{00000000-0005-0000-0000-0000F6000000}"/>
    <cellStyle name="20% - Ênfase1 3" xfId="1124" xr:uid="{00000000-0005-0000-0000-0000F7000000}"/>
    <cellStyle name="20% - Ênfase1 3 2" xfId="1125" xr:uid="{00000000-0005-0000-0000-0000F8000000}"/>
    <cellStyle name="20% - Ênfase1 3 2 10" xfId="1126" xr:uid="{00000000-0005-0000-0000-0000F9000000}"/>
    <cellStyle name="20% - Ênfase1 3 2 10 2" xfId="1127" xr:uid="{00000000-0005-0000-0000-0000FA000000}"/>
    <cellStyle name="20% - Ênfase1 3 2 11" xfId="1128" xr:uid="{00000000-0005-0000-0000-0000FB000000}"/>
    <cellStyle name="20% - Ênfase1 3 2 11 2" xfId="1129" xr:uid="{00000000-0005-0000-0000-0000FC000000}"/>
    <cellStyle name="20% - Ênfase1 3 2 12" xfId="1130" xr:uid="{00000000-0005-0000-0000-0000FD000000}"/>
    <cellStyle name="20% - Ênfase1 3 2 12 2" xfId="1131" xr:uid="{00000000-0005-0000-0000-0000FE000000}"/>
    <cellStyle name="20% - Ênfase1 3 2 2" xfId="1132" xr:uid="{00000000-0005-0000-0000-0000FF000000}"/>
    <cellStyle name="20% - Ênfase1 3 2 2 10" xfId="1133" xr:uid="{00000000-0005-0000-0000-000000010000}"/>
    <cellStyle name="20% - Ênfase1 3 2 2 11" xfId="1134" xr:uid="{00000000-0005-0000-0000-000001010000}"/>
    <cellStyle name="20% - Ênfase1 3 2 2 2" xfId="1135" xr:uid="{00000000-0005-0000-0000-000002010000}"/>
    <cellStyle name="20% - Ênfase1 3 2 2 2 2" xfId="25083" xr:uid="{00000000-0005-0000-0000-000003010000}"/>
    <cellStyle name="20% - Ênfase1 3 2 2 2 2 2" xfId="26168" xr:uid="{00000000-0005-0000-0000-000004010000}"/>
    <cellStyle name="20% - Ênfase1 3 2 2 2 3" xfId="26167" xr:uid="{00000000-0005-0000-0000-000005010000}"/>
    <cellStyle name="20% - Ênfase1 3 2 2 2 4" xfId="25082" xr:uid="{00000000-0005-0000-0000-000006010000}"/>
    <cellStyle name="20% - Ênfase1 3 2 2 3" xfId="1136" xr:uid="{00000000-0005-0000-0000-000007010000}"/>
    <cellStyle name="20% - Ênfase1 3 2 2 3 2" xfId="26169" xr:uid="{00000000-0005-0000-0000-000008010000}"/>
    <cellStyle name="20% - Ênfase1 3 2 2 3 3" xfId="25084" xr:uid="{00000000-0005-0000-0000-000009010000}"/>
    <cellStyle name="20% - Ênfase1 3 2 2 4" xfId="1137" xr:uid="{00000000-0005-0000-0000-00000A010000}"/>
    <cellStyle name="20% - Ênfase1 3 2 2 4 2" xfId="26166" xr:uid="{00000000-0005-0000-0000-00000B010000}"/>
    <cellStyle name="20% - Ênfase1 3 2 2 5" xfId="1138" xr:uid="{00000000-0005-0000-0000-00000C010000}"/>
    <cellStyle name="20% - Ênfase1 3 2 2 6" xfId="1139" xr:uid="{00000000-0005-0000-0000-00000D010000}"/>
    <cellStyle name="20% - Ênfase1 3 2 2 7" xfId="1140" xr:uid="{00000000-0005-0000-0000-00000E010000}"/>
    <cellStyle name="20% - Ênfase1 3 2 2 8" xfId="1141" xr:uid="{00000000-0005-0000-0000-00000F010000}"/>
    <cellStyle name="20% - Ênfase1 3 2 2 9" xfId="1142" xr:uid="{00000000-0005-0000-0000-000010010000}"/>
    <cellStyle name="20% - Ênfase1 3 2 3" xfId="1143" xr:uid="{00000000-0005-0000-0000-000011010000}"/>
    <cellStyle name="20% - Ênfase1 3 2 3 2" xfId="25086" xr:uid="{00000000-0005-0000-0000-000012010000}"/>
    <cellStyle name="20% - Ênfase1 3 2 3 2 2" xfId="26171" xr:uid="{00000000-0005-0000-0000-000013010000}"/>
    <cellStyle name="20% - Ênfase1 3 2 3 3" xfId="26170" xr:uid="{00000000-0005-0000-0000-000014010000}"/>
    <cellStyle name="20% - Ênfase1 3 2 3 4" xfId="25085" xr:uid="{00000000-0005-0000-0000-000015010000}"/>
    <cellStyle name="20% - Ênfase1 3 2 4" xfId="1144" xr:uid="{00000000-0005-0000-0000-000016010000}"/>
    <cellStyle name="20% - Ênfase1 3 2 4 2" xfId="26172" xr:uid="{00000000-0005-0000-0000-000017010000}"/>
    <cellStyle name="20% - Ênfase1 3 2 4 3" xfId="25087" xr:uid="{00000000-0005-0000-0000-000018010000}"/>
    <cellStyle name="20% - Ênfase1 3 2 5" xfId="1145" xr:uid="{00000000-0005-0000-0000-000019010000}"/>
    <cellStyle name="20% - Ênfase1 3 2 5 2" xfId="1146" xr:uid="{00000000-0005-0000-0000-00001A010000}"/>
    <cellStyle name="20% - Ênfase1 3 2 6" xfId="1147" xr:uid="{00000000-0005-0000-0000-00001B010000}"/>
    <cellStyle name="20% - Ênfase1 3 2 6 2" xfId="1148" xr:uid="{00000000-0005-0000-0000-00001C010000}"/>
    <cellStyle name="20% - Ênfase1 3 2 7" xfId="1149" xr:uid="{00000000-0005-0000-0000-00001D010000}"/>
    <cellStyle name="20% - Ênfase1 3 2 7 2" xfId="1150" xr:uid="{00000000-0005-0000-0000-00001E010000}"/>
    <cellStyle name="20% - Ênfase1 3 2 8" xfId="1151" xr:uid="{00000000-0005-0000-0000-00001F010000}"/>
    <cellStyle name="20% - Ênfase1 3 2 8 2" xfId="1152" xr:uid="{00000000-0005-0000-0000-000020010000}"/>
    <cellStyle name="20% - Ênfase1 3 2 9" xfId="1153" xr:uid="{00000000-0005-0000-0000-000021010000}"/>
    <cellStyle name="20% - Ênfase1 3 2 9 2" xfId="1154" xr:uid="{00000000-0005-0000-0000-000022010000}"/>
    <cellStyle name="20% - Ênfase1 3 3" xfId="1155" xr:uid="{00000000-0005-0000-0000-000023010000}"/>
    <cellStyle name="20% - Ênfase1 3 3 2" xfId="25089" xr:uid="{00000000-0005-0000-0000-000024010000}"/>
    <cellStyle name="20% - Ênfase1 3 3 2 2" xfId="25090" xr:uid="{00000000-0005-0000-0000-000025010000}"/>
    <cellStyle name="20% - Ênfase1 3 3 2 2 2" xfId="26175" xr:uid="{00000000-0005-0000-0000-000026010000}"/>
    <cellStyle name="20% - Ênfase1 3 3 2 3" xfId="26174" xr:uid="{00000000-0005-0000-0000-000027010000}"/>
    <cellStyle name="20% - Ênfase1 3 3 3" xfId="25091" xr:uid="{00000000-0005-0000-0000-000028010000}"/>
    <cellStyle name="20% - Ênfase1 3 3 3 2" xfId="26176" xr:uid="{00000000-0005-0000-0000-000029010000}"/>
    <cellStyle name="20% - Ênfase1 3 3 4" xfId="26173" xr:uid="{00000000-0005-0000-0000-00002A010000}"/>
    <cellStyle name="20% - Ênfase1 3 3 5" xfId="25088" xr:uid="{00000000-0005-0000-0000-00002B010000}"/>
    <cellStyle name="20% - Ênfase1 3 4" xfId="1156" xr:uid="{00000000-0005-0000-0000-00002C010000}"/>
    <cellStyle name="20% - Ênfase1 3 4 2" xfId="26177" xr:uid="{00000000-0005-0000-0000-00002D010000}"/>
    <cellStyle name="20% - Ênfase1 3 5" xfId="1157" xr:uid="{00000000-0005-0000-0000-00002E010000}"/>
    <cellStyle name="20% - Ênfase1 3 5 10" xfId="1158" xr:uid="{00000000-0005-0000-0000-00002F010000}"/>
    <cellStyle name="20% - Ênfase1 3 5 10 2" xfId="1159" xr:uid="{00000000-0005-0000-0000-000030010000}"/>
    <cellStyle name="20% - Ênfase1 3 5 2" xfId="1160" xr:uid="{00000000-0005-0000-0000-000031010000}"/>
    <cellStyle name="20% - Ênfase1 3 5 2 2" xfId="1161" xr:uid="{00000000-0005-0000-0000-000032010000}"/>
    <cellStyle name="20% - Ênfase1 3 5 3" xfId="1162" xr:uid="{00000000-0005-0000-0000-000033010000}"/>
    <cellStyle name="20% - Ênfase1 3 5 3 2" xfId="1163" xr:uid="{00000000-0005-0000-0000-000034010000}"/>
    <cellStyle name="20% - Ênfase1 3 5 4" xfId="1164" xr:uid="{00000000-0005-0000-0000-000035010000}"/>
    <cellStyle name="20% - Ênfase1 3 5 4 2" xfId="1165" xr:uid="{00000000-0005-0000-0000-000036010000}"/>
    <cellStyle name="20% - Ênfase1 3 5 5" xfId="1166" xr:uid="{00000000-0005-0000-0000-000037010000}"/>
    <cellStyle name="20% - Ênfase1 3 5 5 2" xfId="1167" xr:uid="{00000000-0005-0000-0000-000038010000}"/>
    <cellStyle name="20% - Ênfase1 3 5 6" xfId="1168" xr:uid="{00000000-0005-0000-0000-000039010000}"/>
    <cellStyle name="20% - Ênfase1 3 5 6 2" xfId="1169" xr:uid="{00000000-0005-0000-0000-00003A010000}"/>
    <cellStyle name="20% - Ênfase1 3 5 7" xfId="1170" xr:uid="{00000000-0005-0000-0000-00003B010000}"/>
    <cellStyle name="20% - Ênfase1 3 5 7 2" xfId="1171" xr:uid="{00000000-0005-0000-0000-00003C010000}"/>
    <cellStyle name="20% - Ênfase1 3 5 8" xfId="1172" xr:uid="{00000000-0005-0000-0000-00003D010000}"/>
    <cellStyle name="20% - Ênfase1 3 5 8 2" xfId="1173" xr:uid="{00000000-0005-0000-0000-00003E010000}"/>
    <cellStyle name="20% - Ênfase1 3 5 9" xfId="1174" xr:uid="{00000000-0005-0000-0000-00003F010000}"/>
    <cellStyle name="20% - Ênfase1 3 5 9 2" xfId="1175" xr:uid="{00000000-0005-0000-0000-000040010000}"/>
    <cellStyle name="20% - Ênfase1 3 6" xfId="1176" xr:uid="{00000000-0005-0000-0000-000041010000}"/>
    <cellStyle name="20% - Ênfase1 3 6 2" xfId="1177" xr:uid="{00000000-0005-0000-0000-000042010000}"/>
    <cellStyle name="20% - Ênfase1 3 6 2 2" xfId="1178" xr:uid="{00000000-0005-0000-0000-000043010000}"/>
    <cellStyle name="20% - Ênfase1 3 6 3" xfId="1179" xr:uid="{00000000-0005-0000-0000-000044010000}"/>
    <cellStyle name="20% - Ênfase1 3 6 3 2" xfId="1180" xr:uid="{00000000-0005-0000-0000-000045010000}"/>
    <cellStyle name="20% - Ênfase1 3 6 4" xfId="1181" xr:uid="{00000000-0005-0000-0000-000046010000}"/>
    <cellStyle name="20% - Ênfase1 3 6 4 2" xfId="1182" xr:uid="{00000000-0005-0000-0000-000047010000}"/>
    <cellStyle name="20% - Ênfase1 3 6 5" xfId="1183" xr:uid="{00000000-0005-0000-0000-000048010000}"/>
    <cellStyle name="20% - Ênfase1 3 6 5 2" xfId="1184" xr:uid="{00000000-0005-0000-0000-000049010000}"/>
    <cellStyle name="20% - Ênfase1 3 6 6" xfId="1185" xr:uid="{00000000-0005-0000-0000-00004A010000}"/>
    <cellStyle name="20% - Ênfase1 3 7" xfId="25092" xr:uid="{00000000-0005-0000-0000-00004B010000}"/>
    <cellStyle name="20% - Ênfase1 3 7 2" xfId="26178" xr:uid="{00000000-0005-0000-0000-00004C010000}"/>
    <cellStyle name="20% - Ênfase1 3 8" xfId="26165" xr:uid="{00000000-0005-0000-0000-00004D010000}"/>
    <cellStyle name="20% - Ênfase1 30" xfId="1186" xr:uid="{00000000-0005-0000-0000-00004E010000}"/>
    <cellStyle name="20% - Ênfase1 30 2" xfId="1187" xr:uid="{00000000-0005-0000-0000-00004F010000}"/>
    <cellStyle name="20% - Ênfase1 31" xfId="1188" xr:uid="{00000000-0005-0000-0000-000050010000}"/>
    <cellStyle name="20% - Ênfase1 31 2" xfId="1189" xr:uid="{00000000-0005-0000-0000-000051010000}"/>
    <cellStyle name="20% - Ênfase1 32" xfId="1190" xr:uid="{00000000-0005-0000-0000-000052010000}"/>
    <cellStyle name="20% - Ênfase1 32 2" xfId="1191" xr:uid="{00000000-0005-0000-0000-000053010000}"/>
    <cellStyle name="20% - Ênfase1 33" xfId="1192" xr:uid="{00000000-0005-0000-0000-000054010000}"/>
    <cellStyle name="20% - Ênfase1 33 2" xfId="1193" xr:uid="{00000000-0005-0000-0000-000055010000}"/>
    <cellStyle name="20% - Ênfase1 34" xfId="1194" xr:uid="{00000000-0005-0000-0000-000056010000}"/>
    <cellStyle name="20% - Ênfase1 34 2" xfId="1195" xr:uid="{00000000-0005-0000-0000-000057010000}"/>
    <cellStyle name="20% - Ênfase1 35" xfId="1196" xr:uid="{00000000-0005-0000-0000-000058010000}"/>
    <cellStyle name="20% - Ênfase1 35 2" xfId="1197" xr:uid="{00000000-0005-0000-0000-000059010000}"/>
    <cellStyle name="20% - Ênfase1 36" xfId="1198" xr:uid="{00000000-0005-0000-0000-00005A010000}"/>
    <cellStyle name="20% - Ênfase1 36 2" xfId="1199" xr:uid="{00000000-0005-0000-0000-00005B010000}"/>
    <cellStyle name="20% - Ênfase1 37" xfId="1200" xr:uid="{00000000-0005-0000-0000-00005C010000}"/>
    <cellStyle name="20% - Ênfase1 37 2" xfId="1201" xr:uid="{00000000-0005-0000-0000-00005D010000}"/>
    <cellStyle name="20% - Ênfase1 38" xfId="1202" xr:uid="{00000000-0005-0000-0000-00005E010000}"/>
    <cellStyle name="20% - Ênfase1 38 2" xfId="1203" xr:uid="{00000000-0005-0000-0000-00005F010000}"/>
    <cellStyle name="20% - Ênfase1 39" xfId="1204" xr:uid="{00000000-0005-0000-0000-000060010000}"/>
    <cellStyle name="20% - Ênfase1 39 2" xfId="1205" xr:uid="{00000000-0005-0000-0000-000061010000}"/>
    <cellStyle name="20% - Ênfase1 4" xfId="1206" xr:uid="{00000000-0005-0000-0000-000062010000}"/>
    <cellStyle name="20% - Ênfase1 4 2" xfId="1207" xr:uid="{00000000-0005-0000-0000-000063010000}"/>
    <cellStyle name="20% - Ênfase1 4 2 10" xfId="1208" xr:uid="{00000000-0005-0000-0000-000064010000}"/>
    <cellStyle name="20% - Ênfase1 4 2 10 2" xfId="1209" xr:uid="{00000000-0005-0000-0000-000065010000}"/>
    <cellStyle name="20% - Ênfase1 4 2 11" xfId="1210" xr:uid="{00000000-0005-0000-0000-000066010000}"/>
    <cellStyle name="20% - Ênfase1 4 2 11 2" xfId="1211" xr:uid="{00000000-0005-0000-0000-000067010000}"/>
    <cellStyle name="20% - Ênfase1 4 2 12" xfId="1212" xr:uid="{00000000-0005-0000-0000-000068010000}"/>
    <cellStyle name="20% - Ênfase1 4 2 12 2" xfId="1213" xr:uid="{00000000-0005-0000-0000-000069010000}"/>
    <cellStyle name="20% - Ênfase1 4 2 2" xfId="1214" xr:uid="{00000000-0005-0000-0000-00006A010000}"/>
    <cellStyle name="20% - Ênfase1 4 2 2 10" xfId="1215" xr:uid="{00000000-0005-0000-0000-00006B010000}"/>
    <cellStyle name="20% - Ênfase1 4 2 2 11" xfId="1216" xr:uid="{00000000-0005-0000-0000-00006C010000}"/>
    <cellStyle name="20% - Ênfase1 4 2 2 2" xfId="1217" xr:uid="{00000000-0005-0000-0000-00006D010000}"/>
    <cellStyle name="20% - Ênfase1 4 2 2 2 2" xfId="25094" xr:uid="{00000000-0005-0000-0000-00006E010000}"/>
    <cellStyle name="20% - Ênfase1 4 2 2 2 2 2" xfId="26182" xr:uid="{00000000-0005-0000-0000-00006F010000}"/>
    <cellStyle name="20% - Ênfase1 4 2 2 2 3" xfId="26181" xr:uid="{00000000-0005-0000-0000-000070010000}"/>
    <cellStyle name="20% - Ênfase1 4 2 2 2 4" xfId="25093" xr:uid="{00000000-0005-0000-0000-000071010000}"/>
    <cellStyle name="20% - Ênfase1 4 2 2 3" xfId="1218" xr:uid="{00000000-0005-0000-0000-000072010000}"/>
    <cellStyle name="20% - Ênfase1 4 2 2 3 2" xfId="26183" xr:uid="{00000000-0005-0000-0000-000073010000}"/>
    <cellStyle name="20% - Ênfase1 4 2 2 3 3" xfId="25095" xr:uid="{00000000-0005-0000-0000-000074010000}"/>
    <cellStyle name="20% - Ênfase1 4 2 2 4" xfId="1219" xr:uid="{00000000-0005-0000-0000-000075010000}"/>
    <cellStyle name="20% - Ênfase1 4 2 2 4 2" xfId="26180" xr:uid="{00000000-0005-0000-0000-000076010000}"/>
    <cellStyle name="20% - Ênfase1 4 2 2 5" xfId="1220" xr:uid="{00000000-0005-0000-0000-000077010000}"/>
    <cellStyle name="20% - Ênfase1 4 2 2 6" xfId="1221" xr:uid="{00000000-0005-0000-0000-000078010000}"/>
    <cellStyle name="20% - Ênfase1 4 2 2 7" xfId="1222" xr:uid="{00000000-0005-0000-0000-000079010000}"/>
    <cellStyle name="20% - Ênfase1 4 2 2 8" xfId="1223" xr:uid="{00000000-0005-0000-0000-00007A010000}"/>
    <cellStyle name="20% - Ênfase1 4 2 2 9" xfId="1224" xr:uid="{00000000-0005-0000-0000-00007B010000}"/>
    <cellStyle name="20% - Ênfase1 4 2 3" xfId="1225" xr:uid="{00000000-0005-0000-0000-00007C010000}"/>
    <cellStyle name="20% - Ênfase1 4 2 3 2" xfId="25097" xr:uid="{00000000-0005-0000-0000-00007D010000}"/>
    <cellStyle name="20% - Ênfase1 4 2 3 2 2" xfId="26185" xr:uid="{00000000-0005-0000-0000-00007E010000}"/>
    <cellStyle name="20% - Ênfase1 4 2 3 3" xfId="26184" xr:uid="{00000000-0005-0000-0000-00007F010000}"/>
    <cellStyle name="20% - Ênfase1 4 2 3 4" xfId="25096" xr:uid="{00000000-0005-0000-0000-000080010000}"/>
    <cellStyle name="20% - Ênfase1 4 2 4" xfId="1226" xr:uid="{00000000-0005-0000-0000-000081010000}"/>
    <cellStyle name="20% - Ênfase1 4 2 4 2" xfId="26186" xr:uid="{00000000-0005-0000-0000-000082010000}"/>
    <cellStyle name="20% - Ênfase1 4 2 4 3" xfId="25098" xr:uid="{00000000-0005-0000-0000-000083010000}"/>
    <cellStyle name="20% - Ênfase1 4 2 5" xfId="1227" xr:uid="{00000000-0005-0000-0000-000084010000}"/>
    <cellStyle name="20% - Ênfase1 4 2 5 2" xfId="1228" xr:uid="{00000000-0005-0000-0000-000085010000}"/>
    <cellStyle name="20% - Ênfase1 4 2 6" xfId="1229" xr:uid="{00000000-0005-0000-0000-000086010000}"/>
    <cellStyle name="20% - Ênfase1 4 2 6 2" xfId="1230" xr:uid="{00000000-0005-0000-0000-000087010000}"/>
    <cellStyle name="20% - Ênfase1 4 2 7" xfId="1231" xr:uid="{00000000-0005-0000-0000-000088010000}"/>
    <cellStyle name="20% - Ênfase1 4 2 7 2" xfId="1232" xr:uid="{00000000-0005-0000-0000-000089010000}"/>
    <cellStyle name="20% - Ênfase1 4 2 8" xfId="1233" xr:uid="{00000000-0005-0000-0000-00008A010000}"/>
    <cellStyle name="20% - Ênfase1 4 2 8 2" xfId="1234" xr:uid="{00000000-0005-0000-0000-00008B010000}"/>
    <cellStyle name="20% - Ênfase1 4 2 9" xfId="1235" xr:uid="{00000000-0005-0000-0000-00008C010000}"/>
    <cellStyle name="20% - Ênfase1 4 2 9 2" xfId="1236" xr:uid="{00000000-0005-0000-0000-00008D010000}"/>
    <cellStyle name="20% - Ênfase1 4 3" xfId="1237" xr:uid="{00000000-0005-0000-0000-00008E010000}"/>
    <cellStyle name="20% - Ênfase1 4 3 2" xfId="25100" xr:uid="{00000000-0005-0000-0000-00008F010000}"/>
    <cellStyle name="20% - Ênfase1 4 3 2 2" xfId="25101" xr:uid="{00000000-0005-0000-0000-000090010000}"/>
    <cellStyle name="20% - Ênfase1 4 3 2 2 2" xfId="26189" xr:uid="{00000000-0005-0000-0000-000091010000}"/>
    <cellStyle name="20% - Ênfase1 4 3 2 3" xfId="26188" xr:uid="{00000000-0005-0000-0000-000092010000}"/>
    <cellStyle name="20% - Ênfase1 4 3 3" xfId="25102" xr:uid="{00000000-0005-0000-0000-000093010000}"/>
    <cellStyle name="20% - Ênfase1 4 3 3 2" xfId="26190" xr:uid="{00000000-0005-0000-0000-000094010000}"/>
    <cellStyle name="20% - Ênfase1 4 3 4" xfId="26187" xr:uid="{00000000-0005-0000-0000-000095010000}"/>
    <cellStyle name="20% - Ênfase1 4 3 5" xfId="25099" xr:uid="{00000000-0005-0000-0000-000096010000}"/>
    <cellStyle name="20% - Ênfase1 4 4" xfId="1238" xr:uid="{00000000-0005-0000-0000-000097010000}"/>
    <cellStyle name="20% - Ênfase1 4 4 2" xfId="26191" xr:uid="{00000000-0005-0000-0000-000098010000}"/>
    <cellStyle name="20% - Ênfase1 4 5" xfId="1239" xr:uid="{00000000-0005-0000-0000-000099010000}"/>
    <cellStyle name="20% - Ênfase1 4 5 10" xfId="1240" xr:uid="{00000000-0005-0000-0000-00009A010000}"/>
    <cellStyle name="20% - Ênfase1 4 5 10 2" xfId="1241" xr:uid="{00000000-0005-0000-0000-00009B010000}"/>
    <cellStyle name="20% - Ênfase1 4 5 2" xfId="1242" xr:uid="{00000000-0005-0000-0000-00009C010000}"/>
    <cellStyle name="20% - Ênfase1 4 5 2 2" xfId="1243" xr:uid="{00000000-0005-0000-0000-00009D010000}"/>
    <cellStyle name="20% - Ênfase1 4 5 3" xfId="1244" xr:uid="{00000000-0005-0000-0000-00009E010000}"/>
    <cellStyle name="20% - Ênfase1 4 5 3 2" xfId="1245" xr:uid="{00000000-0005-0000-0000-00009F010000}"/>
    <cellStyle name="20% - Ênfase1 4 5 4" xfId="1246" xr:uid="{00000000-0005-0000-0000-0000A0010000}"/>
    <cellStyle name="20% - Ênfase1 4 5 4 2" xfId="1247" xr:uid="{00000000-0005-0000-0000-0000A1010000}"/>
    <cellStyle name="20% - Ênfase1 4 5 5" xfId="1248" xr:uid="{00000000-0005-0000-0000-0000A2010000}"/>
    <cellStyle name="20% - Ênfase1 4 5 5 2" xfId="1249" xr:uid="{00000000-0005-0000-0000-0000A3010000}"/>
    <cellStyle name="20% - Ênfase1 4 5 6" xfId="1250" xr:uid="{00000000-0005-0000-0000-0000A4010000}"/>
    <cellStyle name="20% - Ênfase1 4 5 6 2" xfId="1251" xr:uid="{00000000-0005-0000-0000-0000A5010000}"/>
    <cellStyle name="20% - Ênfase1 4 5 7" xfId="1252" xr:uid="{00000000-0005-0000-0000-0000A6010000}"/>
    <cellStyle name="20% - Ênfase1 4 5 7 2" xfId="1253" xr:uid="{00000000-0005-0000-0000-0000A7010000}"/>
    <cellStyle name="20% - Ênfase1 4 5 8" xfId="1254" xr:uid="{00000000-0005-0000-0000-0000A8010000}"/>
    <cellStyle name="20% - Ênfase1 4 5 8 2" xfId="1255" xr:uid="{00000000-0005-0000-0000-0000A9010000}"/>
    <cellStyle name="20% - Ênfase1 4 5 9" xfId="1256" xr:uid="{00000000-0005-0000-0000-0000AA010000}"/>
    <cellStyle name="20% - Ênfase1 4 5 9 2" xfId="1257" xr:uid="{00000000-0005-0000-0000-0000AB010000}"/>
    <cellStyle name="20% - Ênfase1 4 6" xfId="1258" xr:uid="{00000000-0005-0000-0000-0000AC010000}"/>
    <cellStyle name="20% - Ênfase1 4 6 2" xfId="1259" xr:uid="{00000000-0005-0000-0000-0000AD010000}"/>
    <cellStyle name="20% - Ênfase1 4 6 2 2" xfId="1260" xr:uid="{00000000-0005-0000-0000-0000AE010000}"/>
    <cellStyle name="20% - Ênfase1 4 6 3" xfId="1261" xr:uid="{00000000-0005-0000-0000-0000AF010000}"/>
    <cellStyle name="20% - Ênfase1 4 6 3 2" xfId="1262" xr:uid="{00000000-0005-0000-0000-0000B0010000}"/>
    <cellStyle name="20% - Ênfase1 4 6 4" xfId="1263" xr:uid="{00000000-0005-0000-0000-0000B1010000}"/>
    <cellStyle name="20% - Ênfase1 4 6 4 2" xfId="1264" xr:uid="{00000000-0005-0000-0000-0000B2010000}"/>
    <cellStyle name="20% - Ênfase1 4 6 5" xfId="1265" xr:uid="{00000000-0005-0000-0000-0000B3010000}"/>
    <cellStyle name="20% - Ênfase1 4 6 5 2" xfId="1266" xr:uid="{00000000-0005-0000-0000-0000B4010000}"/>
    <cellStyle name="20% - Ênfase1 4 6 6" xfId="1267" xr:uid="{00000000-0005-0000-0000-0000B5010000}"/>
    <cellStyle name="20% - Ênfase1 4 7" xfId="26179" xr:uid="{00000000-0005-0000-0000-0000B6010000}"/>
    <cellStyle name="20% - Ênfase1 40" xfId="1268" xr:uid="{00000000-0005-0000-0000-0000B7010000}"/>
    <cellStyle name="20% - Ênfase1 40 2" xfId="1269" xr:uid="{00000000-0005-0000-0000-0000B8010000}"/>
    <cellStyle name="20% - Ênfase1 41" xfId="1270" xr:uid="{00000000-0005-0000-0000-0000B9010000}"/>
    <cellStyle name="20% - Ênfase1 41 2" xfId="1271" xr:uid="{00000000-0005-0000-0000-0000BA010000}"/>
    <cellStyle name="20% - Ênfase1 42" xfId="1272" xr:uid="{00000000-0005-0000-0000-0000BB010000}"/>
    <cellStyle name="20% - Ênfase1 42 2" xfId="1273" xr:uid="{00000000-0005-0000-0000-0000BC010000}"/>
    <cellStyle name="20% - Ênfase1 43" xfId="1274" xr:uid="{00000000-0005-0000-0000-0000BD010000}"/>
    <cellStyle name="20% - Ênfase1 43 2" xfId="1275" xr:uid="{00000000-0005-0000-0000-0000BE010000}"/>
    <cellStyle name="20% - Ênfase1 44" xfId="1276" xr:uid="{00000000-0005-0000-0000-0000BF010000}"/>
    <cellStyle name="20% - Ênfase1 44 2" xfId="1277" xr:uid="{00000000-0005-0000-0000-0000C0010000}"/>
    <cellStyle name="20% - Ênfase1 45" xfId="1278" xr:uid="{00000000-0005-0000-0000-0000C1010000}"/>
    <cellStyle name="20% - Ênfase1 45 2" xfId="1279" xr:uid="{00000000-0005-0000-0000-0000C2010000}"/>
    <cellStyle name="20% - Ênfase1 46" xfId="1280" xr:uid="{00000000-0005-0000-0000-0000C3010000}"/>
    <cellStyle name="20% - Ênfase1 46 2" xfId="1281" xr:uid="{00000000-0005-0000-0000-0000C4010000}"/>
    <cellStyle name="20% - Ênfase1 47" xfId="1282" xr:uid="{00000000-0005-0000-0000-0000C5010000}"/>
    <cellStyle name="20% - Ênfase1 47 2" xfId="1283" xr:uid="{00000000-0005-0000-0000-0000C6010000}"/>
    <cellStyle name="20% - Ênfase1 48" xfId="1284" xr:uid="{00000000-0005-0000-0000-0000C7010000}"/>
    <cellStyle name="20% - Ênfase1 48 2" xfId="1285" xr:uid="{00000000-0005-0000-0000-0000C8010000}"/>
    <cellStyle name="20% - Ênfase1 49" xfId="1286" xr:uid="{00000000-0005-0000-0000-0000C9010000}"/>
    <cellStyle name="20% - Ênfase1 49 2" xfId="1287" xr:uid="{00000000-0005-0000-0000-0000CA010000}"/>
    <cellStyle name="20% - Ênfase1 5" xfId="1288" xr:uid="{00000000-0005-0000-0000-0000CB010000}"/>
    <cellStyle name="20% - Ênfase1 5 2" xfId="1289" xr:uid="{00000000-0005-0000-0000-0000CC010000}"/>
    <cellStyle name="20% - Ênfase1 5 2 2" xfId="1290" xr:uid="{00000000-0005-0000-0000-0000CD010000}"/>
    <cellStyle name="20% - Ênfase1 5 2 2 2" xfId="25104" xr:uid="{00000000-0005-0000-0000-0000CE010000}"/>
    <cellStyle name="20% - Ênfase1 5 2 2 2 2" xfId="25105" xr:uid="{00000000-0005-0000-0000-0000CF010000}"/>
    <cellStyle name="20% - Ênfase1 5 2 2 2 2 2" xfId="26194" xr:uid="{00000000-0005-0000-0000-0000D0010000}"/>
    <cellStyle name="20% - Ênfase1 5 2 2 2 3" xfId="26193" xr:uid="{00000000-0005-0000-0000-0000D1010000}"/>
    <cellStyle name="20% - Ênfase1 5 2 2 3" xfId="25106" xr:uid="{00000000-0005-0000-0000-0000D2010000}"/>
    <cellStyle name="20% - Ênfase1 5 2 2 3 2" xfId="26195" xr:uid="{00000000-0005-0000-0000-0000D3010000}"/>
    <cellStyle name="20% - Ênfase1 5 2 2 4" xfId="26192" xr:uid="{00000000-0005-0000-0000-0000D4010000}"/>
    <cellStyle name="20% - Ênfase1 5 2 2 5" xfId="25103" xr:uid="{00000000-0005-0000-0000-0000D5010000}"/>
    <cellStyle name="20% - Ênfase1 5 2 3" xfId="1291" xr:uid="{00000000-0005-0000-0000-0000D6010000}"/>
    <cellStyle name="20% - Ênfase1 5 2 3 2" xfId="25108" xr:uid="{00000000-0005-0000-0000-0000D7010000}"/>
    <cellStyle name="20% - Ênfase1 5 2 3 2 2" xfId="26197" xr:uid="{00000000-0005-0000-0000-0000D8010000}"/>
    <cellStyle name="20% - Ênfase1 5 2 3 3" xfId="26196" xr:uid="{00000000-0005-0000-0000-0000D9010000}"/>
    <cellStyle name="20% - Ênfase1 5 2 3 4" xfId="25107" xr:uid="{00000000-0005-0000-0000-0000DA010000}"/>
    <cellStyle name="20% - Ênfase1 5 2 4" xfId="1292" xr:uid="{00000000-0005-0000-0000-0000DB010000}"/>
    <cellStyle name="20% - Ênfase1 5 2 4 2" xfId="26198" xr:uid="{00000000-0005-0000-0000-0000DC010000}"/>
    <cellStyle name="20% - Ênfase1 5 2 4 3" xfId="25109" xr:uid="{00000000-0005-0000-0000-0000DD010000}"/>
    <cellStyle name="20% - Ênfase1 5 2 5" xfId="1293" xr:uid="{00000000-0005-0000-0000-0000DE010000}"/>
    <cellStyle name="20% - Ênfase1 5 2 5 2" xfId="1294" xr:uid="{00000000-0005-0000-0000-0000DF010000}"/>
    <cellStyle name="20% - Ênfase1 5 2 6" xfId="1295" xr:uid="{00000000-0005-0000-0000-0000E0010000}"/>
    <cellStyle name="20% - Ênfase1 5 2 6 2" xfId="1296" xr:uid="{00000000-0005-0000-0000-0000E1010000}"/>
    <cellStyle name="20% - Ênfase1 5 2 7" xfId="1297" xr:uid="{00000000-0005-0000-0000-0000E2010000}"/>
    <cellStyle name="20% - Ênfase1 5 2 7 2" xfId="1298" xr:uid="{00000000-0005-0000-0000-0000E3010000}"/>
    <cellStyle name="20% - Ênfase1 5 2 8" xfId="1299" xr:uid="{00000000-0005-0000-0000-0000E4010000}"/>
    <cellStyle name="20% - Ênfase1 5 2 8 2" xfId="1300" xr:uid="{00000000-0005-0000-0000-0000E5010000}"/>
    <cellStyle name="20% - Ênfase1 5 2 9" xfId="1301" xr:uid="{00000000-0005-0000-0000-0000E6010000}"/>
    <cellStyle name="20% - Ênfase1 5 3" xfId="1302" xr:uid="{00000000-0005-0000-0000-0000E7010000}"/>
    <cellStyle name="20% - Ênfase1 5 3 2" xfId="25111" xr:uid="{00000000-0005-0000-0000-0000E8010000}"/>
    <cellStyle name="20% - Ênfase1 5 3 2 2" xfId="25112" xr:uid="{00000000-0005-0000-0000-0000E9010000}"/>
    <cellStyle name="20% - Ênfase1 5 3 2 2 2" xfId="26201" xr:uid="{00000000-0005-0000-0000-0000EA010000}"/>
    <cellStyle name="20% - Ênfase1 5 3 2 3" xfId="26200" xr:uid="{00000000-0005-0000-0000-0000EB010000}"/>
    <cellStyle name="20% - Ênfase1 5 3 3" xfId="25113" xr:uid="{00000000-0005-0000-0000-0000EC010000}"/>
    <cellStyle name="20% - Ênfase1 5 3 3 2" xfId="26202" xr:uid="{00000000-0005-0000-0000-0000ED010000}"/>
    <cellStyle name="20% - Ênfase1 5 3 4" xfId="26199" xr:uid="{00000000-0005-0000-0000-0000EE010000}"/>
    <cellStyle name="20% - Ênfase1 5 3 5" xfId="25110" xr:uid="{00000000-0005-0000-0000-0000EF010000}"/>
    <cellStyle name="20% - Ênfase1 5 4" xfId="1303" xr:uid="{00000000-0005-0000-0000-0000F0010000}"/>
    <cellStyle name="20% - Ênfase1 5 4 2" xfId="25115" xr:uid="{00000000-0005-0000-0000-0000F1010000}"/>
    <cellStyle name="20% - Ênfase1 5 4 2 2" xfId="26204" xr:uid="{00000000-0005-0000-0000-0000F2010000}"/>
    <cellStyle name="20% - Ênfase1 5 4 3" xfId="26203" xr:uid="{00000000-0005-0000-0000-0000F3010000}"/>
    <cellStyle name="20% - Ênfase1 5 4 4" xfId="25114" xr:uid="{00000000-0005-0000-0000-0000F4010000}"/>
    <cellStyle name="20% - Ênfase1 5 5" xfId="1304" xr:uid="{00000000-0005-0000-0000-0000F5010000}"/>
    <cellStyle name="20% - Ênfase1 5 5 2" xfId="1305" xr:uid="{00000000-0005-0000-0000-0000F6010000}"/>
    <cellStyle name="20% - Ênfase1 5 5 2 2" xfId="1306" xr:uid="{00000000-0005-0000-0000-0000F7010000}"/>
    <cellStyle name="20% - Ênfase1 5 5 3" xfId="1307" xr:uid="{00000000-0005-0000-0000-0000F8010000}"/>
    <cellStyle name="20% - Ênfase1 5 5 3 2" xfId="1308" xr:uid="{00000000-0005-0000-0000-0000F9010000}"/>
    <cellStyle name="20% - Ênfase1 5 5 4" xfId="1309" xr:uid="{00000000-0005-0000-0000-0000FA010000}"/>
    <cellStyle name="20% - Ênfase1 5 5 4 2" xfId="1310" xr:uid="{00000000-0005-0000-0000-0000FB010000}"/>
    <cellStyle name="20% - Ênfase1 5 5 5" xfId="1311" xr:uid="{00000000-0005-0000-0000-0000FC010000}"/>
    <cellStyle name="20% - Ênfase1 5 5 5 2" xfId="1312" xr:uid="{00000000-0005-0000-0000-0000FD010000}"/>
    <cellStyle name="20% - Ênfase1 5 5 6" xfId="1313" xr:uid="{00000000-0005-0000-0000-0000FE010000}"/>
    <cellStyle name="20% - Ênfase1 5 6" xfId="1314" xr:uid="{00000000-0005-0000-0000-0000FF010000}"/>
    <cellStyle name="20% - Ênfase1 5 6 2" xfId="1315" xr:uid="{00000000-0005-0000-0000-000000020000}"/>
    <cellStyle name="20% - Ênfase1 5 6 2 2" xfId="1316" xr:uid="{00000000-0005-0000-0000-000001020000}"/>
    <cellStyle name="20% - Ênfase1 5 6 3" xfId="1317" xr:uid="{00000000-0005-0000-0000-000002020000}"/>
    <cellStyle name="20% - Ênfase1 5 6 3 2" xfId="1318" xr:uid="{00000000-0005-0000-0000-000003020000}"/>
    <cellStyle name="20% - Ênfase1 5 6 4" xfId="1319" xr:uid="{00000000-0005-0000-0000-000004020000}"/>
    <cellStyle name="20% - Ênfase1 5 6 4 2" xfId="1320" xr:uid="{00000000-0005-0000-0000-000005020000}"/>
    <cellStyle name="20% - Ênfase1 5 6 5" xfId="1321" xr:uid="{00000000-0005-0000-0000-000006020000}"/>
    <cellStyle name="20% - Ênfase1 5 6 5 2" xfId="1322" xr:uid="{00000000-0005-0000-0000-000007020000}"/>
    <cellStyle name="20% - Ênfase1 5 6 6" xfId="1323" xr:uid="{00000000-0005-0000-0000-000008020000}"/>
    <cellStyle name="20% - Ênfase1 50" xfId="1324" xr:uid="{00000000-0005-0000-0000-000009020000}"/>
    <cellStyle name="20% - Ênfase1 50 2" xfId="1325" xr:uid="{00000000-0005-0000-0000-00000A020000}"/>
    <cellStyle name="20% - Ênfase1 51" xfId="1326" xr:uid="{00000000-0005-0000-0000-00000B020000}"/>
    <cellStyle name="20% - Ênfase1 51 2" xfId="1327" xr:uid="{00000000-0005-0000-0000-00000C020000}"/>
    <cellStyle name="20% - Ênfase1 52" xfId="1328" xr:uid="{00000000-0005-0000-0000-00000D020000}"/>
    <cellStyle name="20% - Ênfase1 52 2" xfId="1329" xr:uid="{00000000-0005-0000-0000-00000E020000}"/>
    <cellStyle name="20% - Ênfase1 53" xfId="1330" xr:uid="{00000000-0005-0000-0000-00000F020000}"/>
    <cellStyle name="20% - Ênfase1 53 2" xfId="1331" xr:uid="{00000000-0005-0000-0000-000010020000}"/>
    <cellStyle name="20% - Ênfase1 54" xfId="1332" xr:uid="{00000000-0005-0000-0000-000011020000}"/>
    <cellStyle name="20% - Ênfase1 54 2" xfId="1333" xr:uid="{00000000-0005-0000-0000-000012020000}"/>
    <cellStyle name="20% - Ênfase1 55" xfId="1334" xr:uid="{00000000-0005-0000-0000-000013020000}"/>
    <cellStyle name="20% - Ênfase1 55 2" xfId="1335" xr:uid="{00000000-0005-0000-0000-000014020000}"/>
    <cellStyle name="20% - Ênfase1 6" xfId="1336" xr:uid="{00000000-0005-0000-0000-000015020000}"/>
    <cellStyle name="20% - Ênfase1 6 10" xfId="1337" xr:uid="{00000000-0005-0000-0000-000016020000}"/>
    <cellStyle name="20% - Ênfase1 6 10 2" xfId="1338" xr:uid="{00000000-0005-0000-0000-000017020000}"/>
    <cellStyle name="20% - Ênfase1 6 11" xfId="1339" xr:uid="{00000000-0005-0000-0000-000018020000}"/>
    <cellStyle name="20% - Ênfase1 6 11 2" xfId="1340" xr:uid="{00000000-0005-0000-0000-000019020000}"/>
    <cellStyle name="20% - Ênfase1 6 12" xfId="1341" xr:uid="{00000000-0005-0000-0000-00001A020000}"/>
    <cellStyle name="20% - Ênfase1 6 12 2" xfId="1342" xr:uid="{00000000-0005-0000-0000-00001B020000}"/>
    <cellStyle name="20% - Ênfase1 6 13" xfId="1343" xr:uid="{00000000-0005-0000-0000-00001C020000}"/>
    <cellStyle name="20% - Ênfase1 6 13 2" xfId="1344" xr:uid="{00000000-0005-0000-0000-00001D020000}"/>
    <cellStyle name="20% - Ênfase1 6 14" xfId="1345" xr:uid="{00000000-0005-0000-0000-00001E020000}"/>
    <cellStyle name="20% - Ênfase1 6 14 2" xfId="1346" xr:uid="{00000000-0005-0000-0000-00001F020000}"/>
    <cellStyle name="20% - Ênfase1 6 15" xfId="1347" xr:uid="{00000000-0005-0000-0000-000020020000}"/>
    <cellStyle name="20% - Ênfase1 6 15 2" xfId="1348" xr:uid="{00000000-0005-0000-0000-000021020000}"/>
    <cellStyle name="20% - Ênfase1 6 16" xfId="1349" xr:uid="{00000000-0005-0000-0000-000022020000}"/>
    <cellStyle name="20% - Ênfase1 6 16 2" xfId="1350" xr:uid="{00000000-0005-0000-0000-000023020000}"/>
    <cellStyle name="20% - Ênfase1 6 17" xfId="1351" xr:uid="{00000000-0005-0000-0000-000024020000}"/>
    <cellStyle name="20% - Ênfase1 6 17 2" xfId="1352" xr:uid="{00000000-0005-0000-0000-000025020000}"/>
    <cellStyle name="20% - Ênfase1 6 18" xfId="1353" xr:uid="{00000000-0005-0000-0000-000026020000}"/>
    <cellStyle name="20% - Ênfase1 6 18 2" xfId="1354" xr:uid="{00000000-0005-0000-0000-000027020000}"/>
    <cellStyle name="20% - Ênfase1 6 19" xfId="1355" xr:uid="{00000000-0005-0000-0000-000028020000}"/>
    <cellStyle name="20% - Ênfase1 6 19 2" xfId="1356" xr:uid="{00000000-0005-0000-0000-000029020000}"/>
    <cellStyle name="20% - Ênfase1 6 2" xfId="1357" xr:uid="{00000000-0005-0000-0000-00002A020000}"/>
    <cellStyle name="20% - Ênfase1 6 2 2" xfId="1358" xr:uid="{00000000-0005-0000-0000-00002B020000}"/>
    <cellStyle name="20% - Ênfase1 6 2 2 2" xfId="1359" xr:uid="{00000000-0005-0000-0000-00002C020000}"/>
    <cellStyle name="20% - Ênfase1 6 2 2 2 2" xfId="26206" xr:uid="{00000000-0005-0000-0000-00002D020000}"/>
    <cellStyle name="20% - Ênfase1 6 2 2 3" xfId="26205" xr:uid="{00000000-0005-0000-0000-00002E020000}"/>
    <cellStyle name="20% - Ênfase1 6 2 3" xfId="1360" xr:uid="{00000000-0005-0000-0000-00002F020000}"/>
    <cellStyle name="20% - Ênfase1 6 2 3 2" xfId="1361" xr:uid="{00000000-0005-0000-0000-000030020000}"/>
    <cellStyle name="20% - Ênfase1 6 2 4" xfId="1362" xr:uid="{00000000-0005-0000-0000-000031020000}"/>
    <cellStyle name="20% - Ênfase1 6 2 4 2" xfId="1363" xr:uid="{00000000-0005-0000-0000-000032020000}"/>
    <cellStyle name="20% - Ênfase1 6 2 5" xfId="1364" xr:uid="{00000000-0005-0000-0000-000033020000}"/>
    <cellStyle name="20% - Ênfase1 6 2 5 2" xfId="1365" xr:uid="{00000000-0005-0000-0000-000034020000}"/>
    <cellStyle name="20% - Ênfase1 6 2 6" xfId="1366" xr:uid="{00000000-0005-0000-0000-000035020000}"/>
    <cellStyle name="20% - Ênfase1 6 20" xfId="1367" xr:uid="{00000000-0005-0000-0000-000036020000}"/>
    <cellStyle name="20% - Ênfase1 6 20 2" xfId="1368" xr:uid="{00000000-0005-0000-0000-000037020000}"/>
    <cellStyle name="20% - Ênfase1 6 21" xfId="1369" xr:uid="{00000000-0005-0000-0000-000038020000}"/>
    <cellStyle name="20% - Ênfase1 6 21 2" xfId="1370" xr:uid="{00000000-0005-0000-0000-000039020000}"/>
    <cellStyle name="20% - Ênfase1 6 22" xfId="1371" xr:uid="{00000000-0005-0000-0000-00003A020000}"/>
    <cellStyle name="20% - Ênfase1 6 22 2" xfId="1372" xr:uid="{00000000-0005-0000-0000-00003B020000}"/>
    <cellStyle name="20% - Ênfase1 6 23" xfId="1373" xr:uid="{00000000-0005-0000-0000-00003C020000}"/>
    <cellStyle name="20% - Ênfase1 6 23 2" xfId="1374" xr:uid="{00000000-0005-0000-0000-00003D020000}"/>
    <cellStyle name="20% - Ênfase1 6 24" xfId="1375" xr:uid="{00000000-0005-0000-0000-00003E020000}"/>
    <cellStyle name="20% - Ênfase1 6 24 2" xfId="1376" xr:uid="{00000000-0005-0000-0000-00003F020000}"/>
    <cellStyle name="20% - Ênfase1 6 25" xfId="1377" xr:uid="{00000000-0005-0000-0000-000040020000}"/>
    <cellStyle name="20% - Ênfase1 6 25 2" xfId="1378" xr:uid="{00000000-0005-0000-0000-000041020000}"/>
    <cellStyle name="20% - Ênfase1 6 26" xfId="1379" xr:uid="{00000000-0005-0000-0000-000042020000}"/>
    <cellStyle name="20% - Ênfase1 6 26 2" xfId="1380" xr:uid="{00000000-0005-0000-0000-000043020000}"/>
    <cellStyle name="20% - Ênfase1 6 27" xfId="1381" xr:uid="{00000000-0005-0000-0000-000044020000}"/>
    <cellStyle name="20% - Ênfase1 6 27 2" xfId="1382" xr:uid="{00000000-0005-0000-0000-000045020000}"/>
    <cellStyle name="20% - Ênfase1 6 28" xfId="1383" xr:uid="{00000000-0005-0000-0000-000046020000}"/>
    <cellStyle name="20% - Ênfase1 6 28 2" xfId="1384" xr:uid="{00000000-0005-0000-0000-000047020000}"/>
    <cellStyle name="20% - Ênfase1 6 29" xfId="1385" xr:uid="{00000000-0005-0000-0000-000048020000}"/>
    <cellStyle name="20% - Ênfase1 6 29 2" xfId="1386" xr:uid="{00000000-0005-0000-0000-000049020000}"/>
    <cellStyle name="20% - Ênfase1 6 3" xfId="1387" xr:uid="{00000000-0005-0000-0000-00004A020000}"/>
    <cellStyle name="20% - Ênfase1 6 3 2" xfId="1388" xr:uid="{00000000-0005-0000-0000-00004B020000}"/>
    <cellStyle name="20% - Ênfase1 6 3 2 2" xfId="1389" xr:uid="{00000000-0005-0000-0000-00004C020000}"/>
    <cellStyle name="20% - Ênfase1 6 3 3" xfId="1390" xr:uid="{00000000-0005-0000-0000-00004D020000}"/>
    <cellStyle name="20% - Ênfase1 6 3 3 2" xfId="1391" xr:uid="{00000000-0005-0000-0000-00004E020000}"/>
    <cellStyle name="20% - Ênfase1 6 3 4" xfId="1392" xr:uid="{00000000-0005-0000-0000-00004F020000}"/>
    <cellStyle name="20% - Ênfase1 6 3 4 2" xfId="1393" xr:uid="{00000000-0005-0000-0000-000050020000}"/>
    <cellStyle name="20% - Ênfase1 6 3 5" xfId="1394" xr:uid="{00000000-0005-0000-0000-000051020000}"/>
    <cellStyle name="20% - Ênfase1 6 3 5 2" xfId="1395" xr:uid="{00000000-0005-0000-0000-000052020000}"/>
    <cellStyle name="20% - Ênfase1 6 3 6" xfId="1396" xr:uid="{00000000-0005-0000-0000-000053020000}"/>
    <cellStyle name="20% - Ênfase1 6 30" xfId="1397" xr:uid="{00000000-0005-0000-0000-000054020000}"/>
    <cellStyle name="20% - Ênfase1 6 30 2" xfId="1398" xr:uid="{00000000-0005-0000-0000-000055020000}"/>
    <cellStyle name="20% - Ênfase1 6 31" xfId="1399" xr:uid="{00000000-0005-0000-0000-000056020000}"/>
    <cellStyle name="20% - Ênfase1 6 31 2" xfId="1400" xr:uid="{00000000-0005-0000-0000-000057020000}"/>
    <cellStyle name="20% - Ênfase1 6 32" xfId="1401" xr:uid="{00000000-0005-0000-0000-000058020000}"/>
    <cellStyle name="20% - Ênfase1 6 32 2" xfId="1402" xr:uid="{00000000-0005-0000-0000-000059020000}"/>
    <cellStyle name="20% - Ênfase1 6 33" xfId="1403" xr:uid="{00000000-0005-0000-0000-00005A020000}"/>
    <cellStyle name="20% - Ênfase1 6 33 2" xfId="1404" xr:uid="{00000000-0005-0000-0000-00005B020000}"/>
    <cellStyle name="20% - Ênfase1 6 34" xfId="1405" xr:uid="{00000000-0005-0000-0000-00005C020000}"/>
    <cellStyle name="20% - Ênfase1 6 34 2" xfId="1406" xr:uid="{00000000-0005-0000-0000-00005D020000}"/>
    <cellStyle name="20% - Ênfase1 6 35" xfId="1407" xr:uid="{00000000-0005-0000-0000-00005E020000}"/>
    <cellStyle name="20% - Ênfase1 6 35 2" xfId="1408" xr:uid="{00000000-0005-0000-0000-00005F020000}"/>
    <cellStyle name="20% - Ênfase1 6 36" xfId="1409" xr:uid="{00000000-0005-0000-0000-000060020000}"/>
    <cellStyle name="20% - Ênfase1 6 36 2" xfId="1410" xr:uid="{00000000-0005-0000-0000-000061020000}"/>
    <cellStyle name="20% - Ênfase1 6 37" xfId="1411" xr:uid="{00000000-0005-0000-0000-000062020000}"/>
    <cellStyle name="20% - Ênfase1 6 4" xfId="1412" xr:uid="{00000000-0005-0000-0000-000063020000}"/>
    <cellStyle name="20% - Ênfase1 6 4 2" xfId="1413" xr:uid="{00000000-0005-0000-0000-000064020000}"/>
    <cellStyle name="20% - Ênfase1 6 4 2 2" xfId="1414" xr:uid="{00000000-0005-0000-0000-000065020000}"/>
    <cellStyle name="20% - Ênfase1 6 4 3" xfId="1415" xr:uid="{00000000-0005-0000-0000-000066020000}"/>
    <cellStyle name="20% - Ênfase1 6 4 3 2" xfId="1416" xr:uid="{00000000-0005-0000-0000-000067020000}"/>
    <cellStyle name="20% - Ênfase1 6 4 4" xfId="1417" xr:uid="{00000000-0005-0000-0000-000068020000}"/>
    <cellStyle name="20% - Ênfase1 6 4 4 2" xfId="1418" xr:uid="{00000000-0005-0000-0000-000069020000}"/>
    <cellStyle name="20% - Ênfase1 6 4 5" xfId="1419" xr:uid="{00000000-0005-0000-0000-00006A020000}"/>
    <cellStyle name="20% - Ênfase1 6 4 5 2" xfId="1420" xr:uid="{00000000-0005-0000-0000-00006B020000}"/>
    <cellStyle name="20% - Ênfase1 6 4 6" xfId="1421" xr:uid="{00000000-0005-0000-0000-00006C020000}"/>
    <cellStyle name="20% - Ênfase1 6 5" xfId="1422" xr:uid="{00000000-0005-0000-0000-00006D020000}"/>
    <cellStyle name="20% - Ênfase1 6 5 2" xfId="1423" xr:uid="{00000000-0005-0000-0000-00006E020000}"/>
    <cellStyle name="20% - Ênfase1 6 6" xfId="1424" xr:uid="{00000000-0005-0000-0000-00006F020000}"/>
    <cellStyle name="20% - Ênfase1 6 6 2" xfId="1425" xr:uid="{00000000-0005-0000-0000-000070020000}"/>
    <cellStyle name="20% - Ênfase1 6 7" xfId="1426" xr:uid="{00000000-0005-0000-0000-000071020000}"/>
    <cellStyle name="20% - Ênfase1 6 7 2" xfId="1427" xr:uid="{00000000-0005-0000-0000-000072020000}"/>
    <cellStyle name="20% - Ênfase1 6 8" xfId="1428" xr:uid="{00000000-0005-0000-0000-000073020000}"/>
    <cellStyle name="20% - Ênfase1 6 8 2" xfId="1429" xr:uid="{00000000-0005-0000-0000-000074020000}"/>
    <cellStyle name="20% - Ênfase1 6 9" xfId="1430" xr:uid="{00000000-0005-0000-0000-000075020000}"/>
    <cellStyle name="20% - Ênfase1 6 9 2" xfId="1431" xr:uid="{00000000-0005-0000-0000-000076020000}"/>
    <cellStyle name="20% - Ênfase1 7" xfId="1432" xr:uid="{00000000-0005-0000-0000-000077020000}"/>
    <cellStyle name="20% - Ênfase1 7 10" xfId="1433" xr:uid="{00000000-0005-0000-0000-000078020000}"/>
    <cellStyle name="20% - Ênfase1 7 10 2" xfId="1434" xr:uid="{00000000-0005-0000-0000-000079020000}"/>
    <cellStyle name="20% - Ênfase1 7 11" xfId="1435" xr:uid="{00000000-0005-0000-0000-00007A020000}"/>
    <cellStyle name="20% - Ênfase1 7 11 2" xfId="1436" xr:uid="{00000000-0005-0000-0000-00007B020000}"/>
    <cellStyle name="20% - Ênfase1 7 12" xfId="1437" xr:uid="{00000000-0005-0000-0000-00007C020000}"/>
    <cellStyle name="20% - Ênfase1 7 12 2" xfId="1438" xr:uid="{00000000-0005-0000-0000-00007D020000}"/>
    <cellStyle name="20% - Ênfase1 7 13" xfId="1439" xr:uid="{00000000-0005-0000-0000-00007E020000}"/>
    <cellStyle name="20% - Ênfase1 7 13 2" xfId="1440" xr:uid="{00000000-0005-0000-0000-00007F020000}"/>
    <cellStyle name="20% - Ênfase1 7 14" xfId="1441" xr:uid="{00000000-0005-0000-0000-000080020000}"/>
    <cellStyle name="20% - Ênfase1 7 14 2" xfId="1442" xr:uid="{00000000-0005-0000-0000-000081020000}"/>
    <cellStyle name="20% - Ênfase1 7 15" xfId="1443" xr:uid="{00000000-0005-0000-0000-000082020000}"/>
    <cellStyle name="20% - Ênfase1 7 15 2" xfId="1444" xr:uid="{00000000-0005-0000-0000-000083020000}"/>
    <cellStyle name="20% - Ênfase1 7 16" xfId="1445" xr:uid="{00000000-0005-0000-0000-000084020000}"/>
    <cellStyle name="20% - Ênfase1 7 16 2" xfId="1446" xr:uid="{00000000-0005-0000-0000-000085020000}"/>
    <cellStyle name="20% - Ênfase1 7 17" xfId="1447" xr:uid="{00000000-0005-0000-0000-000086020000}"/>
    <cellStyle name="20% - Ênfase1 7 17 2" xfId="1448" xr:uid="{00000000-0005-0000-0000-000087020000}"/>
    <cellStyle name="20% - Ênfase1 7 18" xfId="1449" xr:uid="{00000000-0005-0000-0000-000088020000}"/>
    <cellStyle name="20% - Ênfase1 7 18 2" xfId="1450" xr:uid="{00000000-0005-0000-0000-000089020000}"/>
    <cellStyle name="20% - Ênfase1 7 19" xfId="1451" xr:uid="{00000000-0005-0000-0000-00008A020000}"/>
    <cellStyle name="20% - Ênfase1 7 19 2" xfId="1452" xr:uid="{00000000-0005-0000-0000-00008B020000}"/>
    <cellStyle name="20% - Ênfase1 7 2" xfId="1453" xr:uid="{00000000-0005-0000-0000-00008C020000}"/>
    <cellStyle name="20% - Ênfase1 7 2 2" xfId="1454" xr:uid="{00000000-0005-0000-0000-00008D020000}"/>
    <cellStyle name="20% - Ênfase1 7 2 2 2" xfId="1455" xr:uid="{00000000-0005-0000-0000-00008E020000}"/>
    <cellStyle name="20% - Ênfase1 7 2 2 2 2" xfId="26208" xr:uid="{00000000-0005-0000-0000-00008F020000}"/>
    <cellStyle name="20% - Ênfase1 7 2 2 3" xfId="26207" xr:uid="{00000000-0005-0000-0000-000090020000}"/>
    <cellStyle name="20% - Ênfase1 7 2 3" xfId="1456" xr:uid="{00000000-0005-0000-0000-000091020000}"/>
    <cellStyle name="20% - Ênfase1 7 2 3 2" xfId="1457" xr:uid="{00000000-0005-0000-0000-000092020000}"/>
    <cellStyle name="20% - Ênfase1 7 2 4" xfId="1458" xr:uid="{00000000-0005-0000-0000-000093020000}"/>
    <cellStyle name="20% - Ênfase1 7 2 4 2" xfId="1459" xr:uid="{00000000-0005-0000-0000-000094020000}"/>
    <cellStyle name="20% - Ênfase1 7 2 5" xfId="1460" xr:uid="{00000000-0005-0000-0000-000095020000}"/>
    <cellStyle name="20% - Ênfase1 7 2 5 2" xfId="1461" xr:uid="{00000000-0005-0000-0000-000096020000}"/>
    <cellStyle name="20% - Ênfase1 7 2 6" xfId="1462" xr:uid="{00000000-0005-0000-0000-000097020000}"/>
    <cellStyle name="20% - Ênfase1 7 20" xfId="1463" xr:uid="{00000000-0005-0000-0000-000098020000}"/>
    <cellStyle name="20% - Ênfase1 7 20 2" xfId="1464" xr:uid="{00000000-0005-0000-0000-000099020000}"/>
    <cellStyle name="20% - Ênfase1 7 21" xfId="1465" xr:uid="{00000000-0005-0000-0000-00009A020000}"/>
    <cellStyle name="20% - Ênfase1 7 21 2" xfId="1466" xr:uid="{00000000-0005-0000-0000-00009B020000}"/>
    <cellStyle name="20% - Ênfase1 7 22" xfId="1467" xr:uid="{00000000-0005-0000-0000-00009C020000}"/>
    <cellStyle name="20% - Ênfase1 7 22 2" xfId="1468" xr:uid="{00000000-0005-0000-0000-00009D020000}"/>
    <cellStyle name="20% - Ênfase1 7 23" xfId="1469" xr:uid="{00000000-0005-0000-0000-00009E020000}"/>
    <cellStyle name="20% - Ênfase1 7 23 2" xfId="1470" xr:uid="{00000000-0005-0000-0000-00009F020000}"/>
    <cellStyle name="20% - Ênfase1 7 24" xfId="1471" xr:uid="{00000000-0005-0000-0000-0000A0020000}"/>
    <cellStyle name="20% - Ênfase1 7 24 2" xfId="1472" xr:uid="{00000000-0005-0000-0000-0000A1020000}"/>
    <cellStyle name="20% - Ênfase1 7 25" xfId="1473" xr:uid="{00000000-0005-0000-0000-0000A2020000}"/>
    <cellStyle name="20% - Ênfase1 7 25 2" xfId="1474" xr:uid="{00000000-0005-0000-0000-0000A3020000}"/>
    <cellStyle name="20% - Ênfase1 7 26" xfId="1475" xr:uid="{00000000-0005-0000-0000-0000A4020000}"/>
    <cellStyle name="20% - Ênfase1 7 26 2" xfId="1476" xr:uid="{00000000-0005-0000-0000-0000A5020000}"/>
    <cellStyle name="20% - Ênfase1 7 27" xfId="1477" xr:uid="{00000000-0005-0000-0000-0000A6020000}"/>
    <cellStyle name="20% - Ênfase1 7 27 2" xfId="1478" xr:uid="{00000000-0005-0000-0000-0000A7020000}"/>
    <cellStyle name="20% - Ênfase1 7 28" xfId="1479" xr:uid="{00000000-0005-0000-0000-0000A8020000}"/>
    <cellStyle name="20% - Ênfase1 7 28 2" xfId="1480" xr:uid="{00000000-0005-0000-0000-0000A9020000}"/>
    <cellStyle name="20% - Ênfase1 7 29" xfId="1481" xr:uid="{00000000-0005-0000-0000-0000AA020000}"/>
    <cellStyle name="20% - Ênfase1 7 29 2" xfId="1482" xr:uid="{00000000-0005-0000-0000-0000AB020000}"/>
    <cellStyle name="20% - Ênfase1 7 3" xfId="1483" xr:uid="{00000000-0005-0000-0000-0000AC020000}"/>
    <cellStyle name="20% - Ênfase1 7 3 2" xfId="1484" xr:uid="{00000000-0005-0000-0000-0000AD020000}"/>
    <cellStyle name="20% - Ênfase1 7 3 2 2" xfId="1485" xr:uid="{00000000-0005-0000-0000-0000AE020000}"/>
    <cellStyle name="20% - Ênfase1 7 3 3" xfId="1486" xr:uid="{00000000-0005-0000-0000-0000AF020000}"/>
    <cellStyle name="20% - Ênfase1 7 3 3 2" xfId="1487" xr:uid="{00000000-0005-0000-0000-0000B0020000}"/>
    <cellStyle name="20% - Ênfase1 7 3 4" xfId="1488" xr:uid="{00000000-0005-0000-0000-0000B1020000}"/>
    <cellStyle name="20% - Ênfase1 7 3 4 2" xfId="1489" xr:uid="{00000000-0005-0000-0000-0000B2020000}"/>
    <cellStyle name="20% - Ênfase1 7 3 5" xfId="1490" xr:uid="{00000000-0005-0000-0000-0000B3020000}"/>
    <cellStyle name="20% - Ênfase1 7 3 5 2" xfId="1491" xr:uid="{00000000-0005-0000-0000-0000B4020000}"/>
    <cellStyle name="20% - Ênfase1 7 3 6" xfId="1492" xr:uid="{00000000-0005-0000-0000-0000B5020000}"/>
    <cellStyle name="20% - Ênfase1 7 30" xfId="1493" xr:uid="{00000000-0005-0000-0000-0000B6020000}"/>
    <cellStyle name="20% - Ênfase1 7 30 2" xfId="1494" xr:uid="{00000000-0005-0000-0000-0000B7020000}"/>
    <cellStyle name="20% - Ênfase1 7 31" xfId="1495" xr:uid="{00000000-0005-0000-0000-0000B8020000}"/>
    <cellStyle name="20% - Ênfase1 7 31 2" xfId="1496" xr:uid="{00000000-0005-0000-0000-0000B9020000}"/>
    <cellStyle name="20% - Ênfase1 7 32" xfId="1497" xr:uid="{00000000-0005-0000-0000-0000BA020000}"/>
    <cellStyle name="20% - Ênfase1 7 32 2" xfId="1498" xr:uid="{00000000-0005-0000-0000-0000BB020000}"/>
    <cellStyle name="20% - Ênfase1 7 33" xfId="1499" xr:uid="{00000000-0005-0000-0000-0000BC020000}"/>
    <cellStyle name="20% - Ênfase1 7 33 2" xfId="1500" xr:uid="{00000000-0005-0000-0000-0000BD020000}"/>
    <cellStyle name="20% - Ênfase1 7 34" xfId="1501" xr:uid="{00000000-0005-0000-0000-0000BE020000}"/>
    <cellStyle name="20% - Ênfase1 7 34 2" xfId="1502" xr:uid="{00000000-0005-0000-0000-0000BF020000}"/>
    <cellStyle name="20% - Ênfase1 7 35" xfId="1503" xr:uid="{00000000-0005-0000-0000-0000C0020000}"/>
    <cellStyle name="20% - Ênfase1 7 35 2" xfId="1504" xr:uid="{00000000-0005-0000-0000-0000C1020000}"/>
    <cellStyle name="20% - Ênfase1 7 36" xfId="1505" xr:uid="{00000000-0005-0000-0000-0000C2020000}"/>
    <cellStyle name="20% - Ênfase1 7 36 2" xfId="1506" xr:uid="{00000000-0005-0000-0000-0000C3020000}"/>
    <cellStyle name="20% - Ênfase1 7 37" xfId="1507" xr:uid="{00000000-0005-0000-0000-0000C4020000}"/>
    <cellStyle name="20% - Ênfase1 7 4" xfId="1508" xr:uid="{00000000-0005-0000-0000-0000C5020000}"/>
    <cellStyle name="20% - Ênfase1 7 4 2" xfId="1509" xr:uid="{00000000-0005-0000-0000-0000C6020000}"/>
    <cellStyle name="20% - Ênfase1 7 4 2 2" xfId="1510" xr:uid="{00000000-0005-0000-0000-0000C7020000}"/>
    <cellStyle name="20% - Ênfase1 7 4 3" xfId="1511" xr:uid="{00000000-0005-0000-0000-0000C8020000}"/>
    <cellStyle name="20% - Ênfase1 7 4 3 2" xfId="1512" xr:uid="{00000000-0005-0000-0000-0000C9020000}"/>
    <cellStyle name="20% - Ênfase1 7 4 4" xfId="1513" xr:uid="{00000000-0005-0000-0000-0000CA020000}"/>
    <cellStyle name="20% - Ênfase1 7 4 4 2" xfId="1514" xr:uid="{00000000-0005-0000-0000-0000CB020000}"/>
    <cellStyle name="20% - Ênfase1 7 4 5" xfId="1515" xr:uid="{00000000-0005-0000-0000-0000CC020000}"/>
    <cellStyle name="20% - Ênfase1 7 4 5 2" xfId="1516" xr:uid="{00000000-0005-0000-0000-0000CD020000}"/>
    <cellStyle name="20% - Ênfase1 7 4 6" xfId="1517" xr:uid="{00000000-0005-0000-0000-0000CE020000}"/>
    <cellStyle name="20% - Ênfase1 7 5" xfId="1518" xr:uid="{00000000-0005-0000-0000-0000CF020000}"/>
    <cellStyle name="20% - Ênfase1 7 5 2" xfId="1519" xr:uid="{00000000-0005-0000-0000-0000D0020000}"/>
    <cellStyle name="20% - Ênfase1 7 6" xfId="1520" xr:uid="{00000000-0005-0000-0000-0000D1020000}"/>
    <cellStyle name="20% - Ênfase1 7 6 2" xfId="1521" xr:uid="{00000000-0005-0000-0000-0000D2020000}"/>
    <cellStyle name="20% - Ênfase1 7 7" xfId="1522" xr:uid="{00000000-0005-0000-0000-0000D3020000}"/>
    <cellStyle name="20% - Ênfase1 7 7 2" xfId="1523" xr:uid="{00000000-0005-0000-0000-0000D4020000}"/>
    <cellStyle name="20% - Ênfase1 7 8" xfId="1524" xr:uid="{00000000-0005-0000-0000-0000D5020000}"/>
    <cellStyle name="20% - Ênfase1 7 8 2" xfId="1525" xr:uid="{00000000-0005-0000-0000-0000D6020000}"/>
    <cellStyle name="20% - Ênfase1 7 9" xfId="1526" xr:uid="{00000000-0005-0000-0000-0000D7020000}"/>
    <cellStyle name="20% - Ênfase1 7 9 2" xfId="1527" xr:uid="{00000000-0005-0000-0000-0000D8020000}"/>
    <cellStyle name="20% - Ênfase1 8" xfId="1528" xr:uid="{00000000-0005-0000-0000-0000D9020000}"/>
    <cellStyle name="20% - Ênfase1 8 10" xfId="1529" xr:uid="{00000000-0005-0000-0000-0000DA020000}"/>
    <cellStyle name="20% - Ênfase1 8 10 2" xfId="1530" xr:uid="{00000000-0005-0000-0000-0000DB020000}"/>
    <cellStyle name="20% - Ênfase1 8 2" xfId="1531" xr:uid="{00000000-0005-0000-0000-0000DC020000}"/>
    <cellStyle name="20% - Ênfase1 8 2 2" xfId="1532" xr:uid="{00000000-0005-0000-0000-0000DD020000}"/>
    <cellStyle name="20% - Ênfase1 8 2 2 2" xfId="25116" xr:uid="{00000000-0005-0000-0000-0000DE020000}"/>
    <cellStyle name="20% - Ênfase1 8 2 2 2 2" xfId="26211" xr:uid="{00000000-0005-0000-0000-0000DF020000}"/>
    <cellStyle name="20% - Ênfase1 8 2 2 3" xfId="26210" xr:uid="{00000000-0005-0000-0000-0000E0020000}"/>
    <cellStyle name="20% - Ênfase1 8 2 3" xfId="25117" xr:uid="{00000000-0005-0000-0000-0000E1020000}"/>
    <cellStyle name="20% - Ênfase1 8 2 3 2" xfId="26212" xr:uid="{00000000-0005-0000-0000-0000E2020000}"/>
    <cellStyle name="20% - Ênfase1 8 2 4" xfId="26209" xr:uid="{00000000-0005-0000-0000-0000E3020000}"/>
    <cellStyle name="20% - Ênfase1 8 3" xfId="1533" xr:uid="{00000000-0005-0000-0000-0000E4020000}"/>
    <cellStyle name="20% - Ênfase1 8 3 2" xfId="1534" xr:uid="{00000000-0005-0000-0000-0000E5020000}"/>
    <cellStyle name="20% - Ênfase1 8 3 2 2" xfId="26214" xr:uid="{00000000-0005-0000-0000-0000E6020000}"/>
    <cellStyle name="20% - Ênfase1 8 3 3" xfId="26213" xr:uid="{00000000-0005-0000-0000-0000E7020000}"/>
    <cellStyle name="20% - Ênfase1 8 4" xfId="1535" xr:uid="{00000000-0005-0000-0000-0000E8020000}"/>
    <cellStyle name="20% - Ênfase1 8 4 2" xfId="1536" xr:uid="{00000000-0005-0000-0000-0000E9020000}"/>
    <cellStyle name="20% - Ênfase1 8 5" xfId="1537" xr:uid="{00000000-0005-0000-0000-0000EA020000}"/>
    <cellStyle name="20% - Ênfase1 8 5 2" xfId="1538" xr:uid="{00000000-0005-0000-0000-0000EB020000}"/>
    <cellStyle name="20% - Ênfase1 8 6" xfId="1539" xr:uid="{00000000-0005-0000-0000-0000EC020000}"/>
    <cellStyle name="20% - Ênfase1 8 6 2" xfId="1540" xr:uid="{00000000-0005-0000-0000-0000ED020000}"/>
    <cellStyle name="20% - Ênfase1 8 7" xfId="1541" xr:uid="{00000000-0005-0000-0000-0000EE020000}"/>
    <cellStyle name="20% - Ênfase1 8 7 2" xfId="1542" xr:uid="{00000000-0005-0000-0000-0000EF020000}"/>
    <cellStyle name="20% - Ênfase1 8 8" xfId="1543" xr:uid="{00000000-0005-0000-0000-0000F0020000}"/>
    <cellStyle name="20% - Ênfase1 8 8 2" xfId="1544" xr:uid="{00000000-0005-0000-0000-0000F1020000}"/>
    <cellStyle name="20% - Ênfase1 8 9" xfId="1545" xr:uid="{00000000-0005-0000-0000-0000F2020000}"/>
    <cellStyle name="20% - Ênfase1 8 9 2" xfId="1546" xr:uid="{00000000-0005-0000-0000-0000F3020000}"/>
    <cellStyle name="20% - Ênfase1 9" xfId="1547" xr:uid="{00000000-0005-0000-0000-0000F4020000}"/>
    <cellStyle name="20% - Ênfase1 9 10" xfId="1548" xr:uid="{00000000-0005-0000-0000-0000F5020000}"/>
    <cellStyle name="20% - Ênfase1 9 10 2" xfId="1549" xr:uid="{00000000-0005-0000-0000-0000F6020000}"/>
    <cellStyle name="20% - Ênfase1 9 11" xfId="1550" xr:uid="{00000000-0005-0000-0000-0000F7020000}"/>
    <cellStyle name="20% - Ênfase1 9 12" xfId="1551" xr:uid="{00000000-0005-0000-0000-0000F8020000}"/>
    <cellStyle name="20% - Ênfase1 9 2" xfId="1552" xr:uid="{00000000-0005-0000-0000-0000F9020000}"/>
    <cellStyle name="20% - Ênfase1 9 2 2" xfId="1553" xr:uid="{00000000-0005-0000-0000-0000FA020000}"/>
    <cellStyle name="20% - Ênfase1 9 2 2 2" xfId="26216" xr:uid="{00000000-0005-0000-0000-0000FB020000}"/>
    <cellStyle name="20% - Ênfase1 9 2 3" xfId="26215" xr:uid="{00000000-0005-0000-0000-0000FC020000}"/>
    <cellStyle name="20% - Ênfase1 9 3" xfId="1554" xr:uid="{00000000-0005-0000-0000-0000FD020000}"/>
    <cellStyle name="20% - Ênfase1 9 3 2" xfId="1555" xr:uid="{00000000-0005-0000-0000-0000FE020000}"/>
    <cellStyle name="20% - Ênfase1 9 4" xfId="1556" xr:uid="{00000000-0005-0000-0000-0000FF020000}"/>
    <cellStyle name="20% - Ênfase1 9 4 2" xfId="1557" xr:uid="{00000000-0005-0000-0000-000000030000}"/>
    <cellStyle name="20% - Ênfase1 9 5" xfId="1558" xr:uid="{00000000-0005-0000-0000-000001030000}"/>
    <cellStyle name="20% - Ênfase1 9 5 2" xfId="1559" xr:uid="{00000000-0005-0000-0000-000002030000}"/>
    <cellStyle name="20% - Ênfase1 9 6" xfId="1560" xr:uid="{00000000-0005-0000-0000-000003030000}"/>
    <cellStyle name="20% - Ênfase1 9 6 2" xfId="1561" xr:uid="{00000000-0005-0000-0000-000004030000}"/>
    <cellStyle name="20% - Ênfase1 9 7" xfId="1562" xr:uid="{00000000-0005-0000-0000-000005030000}"/>
    <cellStyle name="20% - Ênfase1 9 7 2" xfId="1563" xr:uid="{00000000-0005-0000-0000-000006030000}"/>
    <cellStyle name="20% - Ênfase1 9 8" xfId="1564" xr:uid="{00000000-0005-0000-0000-000007030000}"/>
    <cellStyle name="20% - Ênfase1 9 8 2" xfId="1565" xr:uid="{00000000-0005-0000-0000-000008030000}"/>
    <cellStyle name="20% - Ênfase1 9 9" xfId="1566" xr:uid="{00000000-0005-0000-0000-000009030000}"/>
    <cellStyle name="20% - Ênfase1 9 9 2" xfId="1567" xr:uid="{00000000-0005-0000-0000-00000A030000}"/>
    <cellStyle name="20% - Ênfase2" xfId="16" builtinId="34" customBuiltin="1"/>
    <cellStyle name="20% - Ênfase2 10" xfId="1568" xr:uid="{00000000-0005-0000-0000-00000C030000}"/>
    <cellStyle name="20% - Ênfase2 10 2" xfId="1569" xr:uid="{00000000-0005-0000-0000-00000D030000}"/>
    <cellStyle name="20% - Ênfase2 10 2 2" xfId="1570" xr:uid="{00000000-0005-0000-0000-00000E030000}"/>
    <cellStyle name="20% - Ênfase2 10 2 2 2" xfId="26218" xr:uid="{00000000-0005-0000-0000-00000F030000}"/>
    <cellStyle name="20% - Ênfase2 10 2 3" xfId="26217" xr:uid="{00000000-0005-0000-0000-000010030000}"/>
    <cellStyle name="20% - Ênfase2 10 3" xfId="1571" xr:uid="{00000000-0005-0000-0000-000011030000}"/>
    <cellStyle name="20% - Ênfase2 10 3 2" xfId="1572" xr:uid="{00000000-0005-0000-0000-000012030000}"/>
    <cellStyle name="20% - Ênfase2 10 4" xfId="1573" xr:uid="{00000000-0005-0000-0000-000013030000}"/>
    <cellStyle name="20% - Ênfase2 10 4 2" xfId="1574" xr:uid="{00000000-0005-0000-0000-000014030000}"/>
    <cellStyle name="20% - Ênfase2 10 5" xfId="1575" xr:uid="{00000000-0005-0000-0000-000015030000}"/>
    <cellStyle name="20% - Ênfase2 10 5 2" xfId="1576" xr:uid="{00000000-0005-0000-0000-000016030000}"/>
    <cellStyle name="20% - Ênfase2 10 6" xfId="1577" xr:uid="{00000000-0005-0000-0000-000017030000}"/>
    <cellStyle name="20% - Ênfase2 11" xfId="1578" xr:uid="{00000000-0005-0000-0000-000018030000}"/>
    <cellStyle name="20% - Ênfase2 11 2" xfId="1579" xr:uid="{00000000-0005-0000-0000-000019030000}"/>
    <cellStyle name="20% - Ênfase2 11 2 2" xfId="1580" xr:uid="{00000000-0005-0000-0000-00001A030000}"/>
    <cellStyle name="20% - Ênfase2 11 2 3" xfId="26219" xr:uid="{00000000-0005-0000-0000-00001B030000}"/>
    <cellStyle name="20% - Ênfase2 11 3" xfId="1581" xr:uid="{00000000-0005-0000-0000-00001C030000}"/>
    <cellStyle name="20% - Ênfase2 11 3 2" xfId="1582" xr:uid="{00000000-0005-0000-0000-00001D030000}"/>
    <cellStyle name="20% - Ênfase2 11 4" xfId="1583" xr:uid="{00000000-0005-0000-0000-00001E030000}"/>
    <cellStyle name="20% - Ênfase2 11 4 2" xfId="1584" xr:uid="{00000000-0005-0000-0000-00001F030000}"/>
    <cellStyle name="20% - Ênfase2 11 5" xfId="1585" xr:uid="{00000000-0005-0000-0000-000020030000}"/>
    <cellStyle name="20% - Ênfase2 11 5 2" xfId="1586" xr:uid="{00000000-0005-0000-0000-000021030000}"/>
    <cellStyle name="20% - Ênfase2 11 6" xfId="1587" xr:uid="{00000000-0005-0000-0000-000022030000}"/>
    <cellStyle name="20% - Ênfase2 11 7" xfId="25118" xr:uid="{00000000-0005-0000-0000-000023030000}"/>
    <cellStyle name="20% - Ênfase2 12" xfId="1588" xr:uid="{00000000-0005-0000-0000-000024030000}"/>
    <cellStyle name="20% - Ênfase2 12 2" xfId="1589" xr:uid="{00000000-0005-0000-0000-000025030000}"/>
    <cellStyle name="20% - Ênfase2 12 2 2" xfId="1590" xr:uid="{00000000-0005-0000-0000-000026030000}"/>
    <cellStyle name="20% - Ênfase2 12 2 2 2" xfId="26221" xr:uid="{00000000-0005-0000-0000-000027030000}"/>
    <cellStyle name="20% - Ênfase2 12 2 3" xfId="26220" xr:uid="{00000000-0005-0000-0000-000028030000}"/>
    <cellStyle name="20% - Ênfase2 12 3" xfId="1591" xr:uid="{00000000-0005-0000-0000-000029030000}"/>
    <cellStyle name="20% - Ênfase2 12 3 2" xfId="1592" xr:uid="{00000000-0005-0000-0000-00002A030000}"/>
    <cellStyle name="20% - Ênfase2 12 4" xfId="1593" xr:uid="{00000000-0005-0000-0000-00002B030000}"/>
    <cellStyle name="20% - Ênfase2 12 4 2" xfId="1594" xr:uid="{00000000-0005-0000-0000-00002C030000}"/>
    <cellStyle name="20% - Ênfase2 12 5" xfId="1595" xr:uid="{00000000-0005-0000-0000-00002D030000}"/>
    <cellStyle name="20% - Ênfase2 12 5 2" xfId="1596" xr:uid="{00000000-0005-0000-0000-00002E030000}"/>
    <cellStyle name="20% - Ênfase2 12 6" xfId="1597" xr:uid="{00000000-0005-0000-0000-00002F030000}"/>
    <cellStyle name="20% - Ênfase2 13" xfId="1598" xr:uid="{00000000-0005-0000-0000-000030030000}"/>
    <cellStyle name="20% - Ênfase2 13 2" xfId="1599" xr:uid="{00000000-0005-0000-0000-000031030000}"/>
    <cellStyle name="20% - Ênfase2 14" xfId="1600" xr:uid="{00000000-0005-0000-0000-000032030000}"/>
    <cellStyle name="20% - Ênfase2 14 2" xfId="1601" xr:uid="{00000000-0005-0000-0000-000033030000}"/>
    <cellStyle name="20% - Ênfase2 15" xfId="1602" xr:uid="{00000000-0005-0000-0000-000034030000}"/>
    <cellStyle name="20% - Ênfase2 15 2" xfId="1603" xr:uid="{00000000-0005-0000-0000-000035030000}"/>
    <cellStyle name="20% - Ênfase2 16" xfId="1604" xr:uid="{00000000-0005-0000-0000-000036030000}"/>
    <cellStyle name="20% - Ênfase2 16 2" xfId="1605" xr:uid="{00000000-0005-0000-0000-000037030000}"/>
    <cellStyle name="20% - Ênfase2 17" xfId="1606" xr:uid="{00000000-0005-0000-0000-000038030000}"/>
    <cellStyle name="20% - Ênfase2 17 2" xfId="1607" xr:uid="{00000000-0005-0000-0000-000039030000}"/>
    <cellStyle name="20% - Ênfase2 18" xfId="1608" xr:uid="{00000000-0005-0000-0000-00003A030000}"/>
    <cellStyle name="20% - Ênfase2 18 2" xfId="1609" xr:uid="{00000000-0005-0000-0000-00003B030000}"/>
    <cellStyle name="20% - Ênfase2 19" xfId="1610" xr:uid="{00000000-0005-0000-0000-00003C030000}"/>
    <cellStyle name="20% - Ênfase2 19 2" xfId="1611" xr:uid="{00000000-0005-0000-0000-00003D030000}"/>
    <cellStyle name="20% - Ênfase2 2" xfId="1612" xr:uid="{00000000-0005-0000-0000-00003E030000}"/>
    <cellStyle name="20% - Ênfase2 2 2" xfId="1613" xr:uid="{00000000-0005-0000-0000-00003F030000}"/>
    <cellStyle name="20% - Ênfase2 2 2 10" xfId="1614" xr:uid="{00000000-0005-0000-0000-000040030000}"/>
    <cellStyle name="20% - Ênfase2 2 2 10 2" xfId="1615" xr:uid="{00000000-0005-0000-0000-000041030000}"/>
    <cellStyle name="20% - Ênfase2 2 2 11" xfId="1616" xr:uid="{00000000-0005-0000-0000-000042030000}"/>
    <cellStyle name="20% - Ênfase2 2 2 11 2" xfId="1617" xr:uid="{00000000-0005-0000-0000-000043030000}"/>
    <cellStyle name="20% - Ênfase2 2 2 12" xfId="1618" xr:uid="{00000000-0005-0000-0000-000044030000}"/>
    <cellStyle name="20% - Ênfase2 2 2 12 2" xfId="1619" xr:uid="{00000000-0005-0000-0000-000045030000}"/>
    <cellStyle name="20% - Ênfase2 2 2 13" xfId="25119" xr:uid="{00000000-0005-0000-0000-000046030000}"/>
    <cellStyle name="20% - Ênfase2 2 2 2" xfId="1620" xr:uid="{00000000-0005-0000-0000-000047030000}"/>
    <cellStyle name="20% - Ênfase2 2 2 2 10" xfId="1621" xr:uid="{00000000-0005-0000-0000-000048030000}"/>
    <cellStyle name="20% - Ênfase2 2 2 2 11" xfId="1622" xr:uid="{00000000-0005-0000-0000-000049030000}"/>
    <cellStyle name="20% - Ênfase2 2 2 2 2" xfId="1623" xr:uid="{00000000-0005-0000-0000-00004A030000}"/>
    <cellStyle name="20% - Ênfase2 2 2 2 2 2" xfId="25121" xr:uid="{00000000-0005-0000-0000-00004B030000}"/>
    <cellStyle name="20% - Ênfase2 2 2 2 2 2 2" xfId="26226" xr:uid="{00000000-0005-0000-0000-00004C030000}"/>
    <cellStyle name="20% - Ênfase2 2 2 2 2 3" xfId="26225" xr:uid="{00000000-0005-0000-0000-00004D030000}"/>
    <cellStyle name="20% - Ênfase2 2 2 2 2 4" xfId="25120" xr:uid="{00000000-0005-0000-0000-00004E030000}"/>
    <cellStyle name="20% - Ênfase2 2 2 2 3" xfId="1624" xr:uid="{00000000-0005-0000-0000-00004F030000}"/>
    <cellStyle name="20% - Ênfase2 2 2 2 3 2" xfId="26227" xr:uid="{00000000-0005-0000-0000-000050030000}"/>
    <cellStyle name="20% - Ênfase2 2 2 2 3 3" xfId="25122" xr:uid="{00000000-0005-0000-0000-000051030000}"/>
    <cellStyle name="20% - Ênfase2 2 2 2 4" xfId="1625" xr:uid="{00000000-0005-0000-0000-000052030000}"/>
    <cellStyle name="20% - Ênfase2 2 2 2 4 2" xfId="26224" xr:uid="{00000000-0005-0000-0000-000053030000}"/>
    <cellStyle name="20% - Ênfase2 2 2 2 5" xfId="1626" xr:uid="{00000000-0005-0000-0000-000054030000}"/>
    <cellStyle name="20% - Ênfase2 2 2 2 6" xfId="1627" xr:uid="{00000000-0005-0000-0000-000055030000}"/>
    <cellStyle name="20% - Ênfase2 2 2 2 7" xfId="1628" xr:uid="{00000000-0005-0000-0000-000056030000}"/>
    <cellStyle name="20% - Ênfase2 2 2 2 8" xfId="1629" xr:uid="{00000000-0005-0000-0000-000057030000}"/>
    <cellStyle name="20% - Ênfase2 2 2 2 9" xfId="1630" xr:uid="{00000000-0005-0000-0000-000058030000}"/>
    <cellStyle name="20% - Ênfase2 2 2 3" xfId="1631" xr:uid="{00000000-0005-0000-0000-000059030000}"/>
    <cellStyle name="20% - Ênfase2 2 2 3 2" xfId="25124" xr:uid="{00000000-0005-0000-0000-00005A030000}"/>
    <cellStyle name="20% - Ênfase2 2 2 3 2 2" xfId="25125" xr:uid="{00000000-0005-0000-0000-00005B030000}"/>
    <cellStyle name="20% - Ênfase2 2 2 3 2 2 2" xfId="26230" xr:uid="{00000000-0005-0000-0000-00005C030000}"/>
    <cellStyle name="20% - Ênfase2 2 2 3 2 3" xfId="26229" xr:uid="{00000000-0005-0000-0000-00005D030000}"/>
    <cellStyle name="20% - Ênfase2 2 2 3 3" xfId="25126" xr:uid="{00000000-0005-0000-0000-00005E030000}"/>
    <cellStyle name="20% - Ênfase2 2 2 3 3 2" xfId="26231" xr:uid="{00000000-0005-0000-0000-00005F030000}"/>
    <cellStyle name="20% - Ênfase2 2 2 3 4" xfId="26228" xr:uid="{00000000-0005-0000-0000-000060030000}"/>
    <cellStyle name="20% - Ênfase2 2 2 3 5" xfId="25123" xr:uid="{00000000-0005-0000-0000-000061030000}"/>
    <cellStyle name="20% - Ênfase2 2 2 4" xfId="1632" xr:uid="{00000000-0005-0000-0000-000062030000}"/>
    <cellStyle name="20% - Ênfase2 2 2 4 2" xfId="26232" xr:uid="{00000000-0005-0000-0000-000063030000}"/>
    <cellStyle name="20% - Ênfase2 2 2 4 3" xfId="25127" xr:uid="{00000000-0005-0000-0000-000064030000}"/>
    <cellStyle name="20% - Ênfase2 2 2 5" xfId="1633" xr:uid="{00000000-0005-0000-0000-000065030000}"/>
    <cellStyle name="20% - Ênfase2 2 2 5 2" xfId="1634" xr:uid="{00000000-0005-0000-0000-000066030000}"/>
    <cellStyle name="20% - Ênfase2 2 2 5 3" xfId="26223" xr:uid="{00000000-0005-0000-0000-000067030000}"/>
    <cellStyle name="20% - Ênfase2 2 2 6" xfId="1635" xr:uid="{00000000-0005-0000-0000-000068030000}"/>
    <cellStyle name="20% - Ênfase2 2 2 6 2" xfId="1636" xr:uid="{00000000-0005-0000-0000-000069030000}"/>
    <cellStyle name="20% - Ênfase2 2 2 7" xfId="1637" xr:uid="{00000000-0005-0000-0000-00006A030000}"/>
    <cellStyle name="20% - Ênfase2 2 2 7 2" xfId="1638" xr:uid="{00000000-0005-0000-0000-00006B030000}"/>
    <cellStyle name="20% - Ênfase2 2 2 8" xfId="1639" xr:uid="{00000000-0005-0000-0000-00006C030000}"/>
    <cellStyle name="20% - Ênfase2 2 2 8 2" xfId="1640" xr:uid="{00000000-0005-0000-0000-00006D030000}"/>
    <cellStyle name="20% - Ênfase2 2 2 9" xfId="1641" xr:uid="{00000000-0005-0000-0000-00006E030000}"/>
    <cellStyle name="20% - Ênfase2 2 2 9 2" xfId="1642" xr:uid="{00000000-0005-0000-0000-00006F030000}"/>
    <cellStyle name="20% - Ênfase2 2 3" xfId="1643" xr:uid="{00000000-0005-0000-0000-000070030000}"/>
    <cellStyle name="20% - Ênfase2 2 3 2" xfId="25129" xr:uid="{00000000-0005-0000-0000-000071030000}"/>
    <cellStyle name="20% - Ênfase2 2 3 2 2" xfId="25130" xr:uid="{00000000-0005-0000-0000-000072030000}"/>
    <cellStyle name="20% - Ênfase2 2 3 2 2 2" xfId="26235" xr:uid="{00000000-0005-0000-0000-000073030000}"/>
    <cellStyle name="20% - Ênfase2 2 3 2 3" xfId="26234" xr:uid="{00000000-0005-0000-0000-000074030000}"/>
    <cellStyle name="20% - Ênfase2 2 3 3" xfId="25131" xr:uid="{00000000-0005-0000-0000-000075030000}"/>
    <cellStyle name="20% - Ênfase2 2 3 3 2" xfId="26236" xr:uid="{00000000-0005-0000-0000-000076030000}"/>
    <cellStyle name="20% - Ênfase2 2 3 4" xfId="26233" xr:uid="{00000000-0005-0000-0000-000077030000}"/>
    <cellStyle name="20% - Ênfase2 2 3 5" xfId="25128" xr:uid="{00000000-0005-0000-0000-000078030000}"/>
    <cellStyle name="20% - Ênfase2 2 4" xfId="1644" xr:uid="{00000000-0005-0000-0000-000079030000}"/>
    <cellStyle name="20% - Ênfase2 2 4 2" xfId="25133" xr:uid="{00000000-0005-0000-0000-00007A030000}"/>
    <cellStyle name="20% - Ênfase2 2 4 2 2" xfId="25134" xr:uid="{00000000-0005-0000-0000-00007B030000}"/>
    <cellStyle name="20% - Ênfase2 2 4 2 2 2" xfId="26239" xr:uid="{00000000-0005-0000-0000-00007C030000}"/>
    <cellStyle name="20% - Ênfase2 2 4 2 3" xfId="26238" xr:uid="{00000000-0005-0000-0000-00007D030000}"/>
    <cellStyle name="20% - Ênfase2 2 4 3" xfId="25135" xr:uid="{00000000-0005-0000-0000-00007E030000}"/>
    <cellStyle name="20% - Ênfase2 2 4 3 2" xfId="26240" xr:uid="{00000000-0005-0000-0000-00007F030000}"/>
    <cellStyle name="20% - Ênfase2 2 4 4" xfId="26237" xr:uid="{00000000-0005-0000-0000-000080030000}"/>
    <cellStyle name="20% - Ênfase2 2 4 5" xfId="25132" xr:uid="{00000000-0005-0000-0000-000081030000}"/>
    <cellStyle name="20% - Ênfase2 2 5" xfId="1645" xr:uid="{00000000-0005-0000-0000-000082030000}"/>
    <cellStyle name="20% - Ênfase2 2 5 10" xfId="1646" xr:uid="{00000000-0005-0000-0000-000083030000}"/>
    <cellStyle name="20% - Ênfase2 2 5 10 2" xfId="1647" xr:uid="{00000000-0005-0000-0000-000084030000}"/>
    <cellStyle name="20% - Ênfase2 2 5 2" xfId="1648" xr:uid="{00000000-0005-0000-0000-000085030000}"/>
    <cellStyle name="20% - Ênfase2 2 5 2 2" xfId="1649" xr:uid="{00000000-0005-0000-0000-000086030000}"/>
    <cellStyle name="20% - Ênfase2 2 5 3" xfId="1650" xr:uid="{00000000-0005-0000-0000-000087030000}"/>
    <cellStyle name="20% - Ênfase2 2 5 3 2" xfId="1651" xr:uid="{00000000-0005-0000-0000-000088030000}"/>
    <cellStyle name="20% - Ênfase2 2 5 4" xfId="1652" xr:uid="{00000000-0005-0000-0000-000089030000}"/>
    <cellStyle name="20% - Ênfase2 2 5 4 2" xfId="1653" xr:uid="{00000000-0005-0000-0000-00008A030000}"/>
    <cellStyle name="20% - Ênfase2 2 5 5" xfId="1654" xr:uid="{00000000-0005-0000-0000-00008B030000}"/>
    <cellStyle name="20% - Ênfase2 2 5 5 2" xfId="1655" xr:uid="{00000000-0005-0000-0000-00008C030000}"/>
    <cellStyle name="20% - Ênfase2 2 5 6" xfId="1656" xr:uid="{00000000-0005-0000-0000-00008D030000}"/>
    <cellStyle name="20% - Ênfase2 2 5 6 2" xfId="1657" xr:uid="{00000000-0005-0000-0000-00008E030000}"/>
    <cellStyle name="20% - Ênfase2 2 5 7" xfId="1658" xr:uid="{00000000-0005-0000-0000-00008F030000}"/>
    <cellStyle name="20% - Ênfase2 2 5 7 2" xfId="1659" xr:uid="{00000000-0005-0000-0000-000090030000}"/>
    <cellStyle name="20% - Ênfase2 2 5 8" xfId="1660" xr:uid="{00000000-0005-0000-0000-000091030000}"/>
    <cellStyle name="20% - Ênfase2 2 5 8 2" xfId="1661" xr:uid="{00000000-0005-0000-0000-000092030000}"/>
    <cellStyle name="20% - Ênfase2 2 5 9" xfId="1662" xr:uid="{00000000-0005-0000-0000-000093030000}"/>
    <cellStyle name="20% - Ênfase2 2 5 9 2" xfId="1663" xr:uid="{00000000-0005-0000-0000-000094030000}"/>
    <cellStyle name="20% - Ênfase2 2 6" xfId="1664" xr:uid="{00000000-0005-0000-0000-000095030000}"/>
    <cellStyle name="20% - Ênfase2 2 6 2" xfId="1665" xr:uid="{00000000-0005-0000-0000-000096030000}"/>
    <cellStyle name="20% - Ênfase2 2 6 2 2" xfId="1666" xr:uid="{00000000-0005-0000-0000-000097030000}"/>
    <cellStyle name="20% - Ênfase2 2 6 3" xfId="1667" xr:uid="{00000000-0005-0000-0000-000098030000}"/>
    <cellStyle name="20% - Ênfase2 2 6 3 2" xfId="1668" xr:uid="{00000000-0005-0000-0000-000099030000}"/>
    <cellStyle name="20% - Ênfase2 2 6 4" xfId="1669" xr:uid="{00000000-0005-0000-0000-00009A030000}"/>
    <cellStyle name="20% - Ênfase2 2 6 4 2" xfId="1670" xr:uid="{00000000-0005-0000-0000-00009B030000}"/>
    <cellStyle name="20% - Ênfase2 2 6 5" xfId="1671" xr:uid="{00000000-0005-0000-0000-00009C030000}"/>
    <cellStyle name="20% - Ênfase2 2 6 5 2" xfId="1672" xr:uid="{00000000-0005-0000-0000-00009D030000}"/>
    <cellStyle name="20% - Ênfase2 2 6 6" xfId="1673" xr:uid="{00000000-0005-0000-0000-00009E030000}"/>
    <cellStyle name="20% - Ênfase2 2 7" xfId="26222" xr:uid="{00000000-0005-0000-0000-00009F030000}"/>
    <cellStyle name="20% - Ênfase2 20" xfId="1674" xr:uid="{00000000-0005-0000-0000-0000A0030000}"/>
    <cellStyle name="20% - Ênfase2 20 2" xfId="1675" xr:uid="{00000000-0005-0000-0000-0000A1030000}"/>
    <cellStyle name="20% - Ênfase2 21" xfId="1676" xr:uid="{00000000-0005-0000-0000-0000A2030000}"/>
    <cellStyle name="20% - Ênfase2 21 2" xfId="1677" xr:uid="{00000000-0005-0000-0000-0000A3030000}"/>
    <cellStyle name="20% - Ênfase2 22" xfId="1678" xr:uid="{00000000-0005-0000-0000-0000A4030000}"/>
    <cellStyle name="20% - Ênfase2 22 2" xfId="1679" xr:uid="{00000000-0005-0000-0000-0000A5030000}"/>
    <cellStyle name="20% - Ênfase2 23" xfId="1680" xr:uid="{00000000-0005-0000-0000-0000A6030000}"/>
    <cellStyle name="20% - Ênfase2 23 2" xfId="1681" xr:uid="{00000000-0005-0000-0000-0000A7030000}"/>
    <cellStyle name="20% - Ênfase2 24" xfId="1682" xr:uid="{00000000-0005-0000-0000-0000A8030000}"/>
    <cellStyle name="20% - Ênfase2 24 2" xfId="1683" xr:uid="{00000000-0005-0000-0000-0000A9030000}"/>
    <cellStyle name="20% - Ênfase2 25" xfId="1684" xr:uid="{00000000-0005-0000-0000-0000AA030000}"/>
    <cellStyle name="20% - Ênfase2 25 2" xfId="1685" xr:uid="{00000000-0005-0000-0000-0000AB030000}"/>
    <cellStyle name="20% - Ênfase2 26" xfId="1686" xr:uid="{00000000-0005-0000-0000-0000AC030000}"/>
    <cellStyle name="20% - Ênfase2 26 2" xfId="1687" xr:uid="{00000000-0005-0000-0000-0000AD030000}"/>
    <cellStyle name="20% - Ênfase2 27" xfId="1688" xr:uid="{00000000-0005-0000-0000-0000AE030000}"/>
    <cellStyle name="20% - Ênfase2 27 2" xfId="1689" xr:uid="{00000000-0005-0000-0000-0000AF030000}"/>
    <cellStyle name="20% - Ênfase2 28" xfId="1690" xr:uid="{00000000-0005-0000-0000-0000B0030000}"/>
    <cellStyle name="20% - Ênfase2 28 2" xfId="1691" xr:uid="{00000000-0005-0000-0000-0000B1030000}"/>
    <cellStyle name="20% - Ênfase2 29" xfId="1692" xr:uid="{00000000-0005-0000-0000-0000B2030000}"/>
    <cellStyle name="20% - Ênfase2 29 2" xfId="1693" xr:uid="{00000000-0005-0000-0000-0000B3030000}"/>
    <cellStyle name="20% - Ênfase2 3" xfId="1694" xr:uid="{00000000-0005-0000-0000-0000B4030000}"/>
    <cellStyle name="20% - Ênfase2 3 2" xfId="1695" xr:uid="{00000000-0005-0000-0000-0000B5030000}"/>
    <cellStyle name="20% - Ênfase2 3 2 10" xfId="1696" xr:uid="{00000000-0005-0000-0000-0000B6030000}"/>
    <cellStyle name="20% - Ênfase2 3 2 10 2" xfId="1697" xr:uid="{00000000-0005-0000-0000-0000B7030000}"/>
    <cellStyle name="20% - Ênfase2 3 2 11" xfId="1698" xr:uid="{00000000-0005-0000-0000-0000B8030000}"/>
    <cellStyle name="20% - Ênfase2 3 2 11 2" xfId="1699" xr:uid="{00000000-0005-0000-0000-0000B9030000}"/>
    <cellStyle name="20% - Ênfase2 3 2 12" xfId="1700" xr:uid="{00000000-0005-0000-0000-0000BA030000}"/>
    <cellStyle name="20% - Ênfase2 3 2 12 2" xfId="1701" xr:uid="{00000000-0005-0000-0000-0000BB030000}"/>
    <cellStyle name="20% - Ênfase2 3 2 2" xfId="1702" xr:uid="{00000000-0005-0000-0000-0000BC030000}"/>
    <cellStyle name="20% - Ênfase2 3 2 2 10" xfId="1703" xr:uid="{00000000-0005-0000-0000-0000BD030000}"/>
    <cellStyle name="20% - Ênfase2 3 2 2 11" xfId="1704" xr:uid="{00000000-0005-0000-0000-0000BE030000}"/>
    <cellStyle name="20% - Ênfase2 3 2 2 2" xfId="1705" xr:uid="{00000000-0005-0000-0000-0000BF030000}"/>
    <cellStyle name="20% - Ênfase2 3 2 2 2 2" xfId="25137" xr:uid="{00000000-0005-0000-0000-0000C0030000}"/>
    <cellStyle name="20% - Ênfase2 3 2 2 2 2 2" xfId="26244" xr:uid="{00000000-0005-0000-0000-0000C1030000}"/>
    <cellStyle name="20% - Ênfase2 3 2 2 2 3" xfId="26243" xr:uid="{00000000-0005-0000-0000-0000C2030000}"/>
    <cellStyle name="20% - Ênfase2 3 2 2 2 4" xfId="25136" xr:uid="{00000000-0005-0000-0000-0000C3030000}"/>
    <cellStyle name="20% - Ênfase2 3 2 2 3" xfId="1706" xr:uid="{00000000-0005-0000-0000-0000C4030000}"/>
    <cellStyle name="20% - Ênfase2 3 2 2 3 2" xfId="26245" xr:uid="{00000000-0005-0000-0000-0000C5030000}"/>
    <cellStyle name="20% - Ênfase2 3 2 2 3 3" xfId="25138" xr:uid="{00000000-0005-0000-0000-0000C6030000}"/>
    <cellStyle name="20% - Ênfase2 3 2 2 4" xfId="1707" xr:uid="{00000000-0005-0000-0000-0000C7030000}"/>
    <cellStyle name="20% - Ênfase2 3 2 2 4 2" xfId="26242" xr:uid="{00000000-0005-0000-0000-0000C8030000}"/>
    <cellStyle name="20% - Ênfase2 3 2 2 5" xfId="1708" xr:uid="{00000000-0005-0000-0000-0000C9030000}"/>
    <cellStyle name="20% - Ênfase2 3 2 2 6" xfId="1709" xr:uid="{00000000-0005-0000-0000-0000CA030000}"/>
    <cellStyle name="20% - Ênfase2 3 2 2 7" xfId="1710" xr:uid="{00000000-0005-0000-0000-0000CB030000}"/>
    <cellStyle name="20% - Ênfase2 3 2 2 8" xfId="1711" xr:uid="{00000000-0005-0000-0000-0000CC030000}"/>
    <cellStyle name="20% - Ênfase2 3 2 2 9" xfId="1712" xr:uid="{00000000-0005-0000-0000-0000CD030000}"/>
    <cellStyle name="20% - Ênfase2 3 2 3" xfId="1713" xr:uid="{00000000-0005-0000-0000-0000CE030000}"/>
    <cellStyle name="20% - Ênfase2 3 2 3 2" xfId="25140" xr:uid="{00000000-0005-0000-0000-0000CF030000}"/>
    <cellStyle name="20% - Ênfase2 3 2 3 2 2" xfId="26247" xr:uid="{00000000-0005-0000-0000-0000D0030000}"/>
    <cellStyle name="20% - Ênfase2 3 2 3 3" xfId="26246" xr:uid="{00000000-0005-0000-0000-0000D1030000}"/>
    <cellStyle name="20% - Ênfase2 3 2 3 4" xfId="25139" xr:uid="{00000000-0005-0000-0000-0000D2030000}"/>
    <cellStyle name="20% - Ênfase2 3 2 4" xfId="1714" xr:uid="{00000000-0005-0000-0000-0000D3030000}"/>
    <cellStyle name="20% - Ênfase2 3 2 4 2" xfId="26248" xr:uid="{00000000-0005-0000-0000-0000D4030000}"/>
    <cellStyle name="20% - Ênfase2 3 2 4 3" xfId="25141" xr:uid="{00000000-0005-0000-0000-0000D5030000}"/>
    <cellStyle name="20% - Ênfase2 3 2 5" xfId="1715" xr:uid="{00000000-0005-0000-0000-0000D6030000}"/>
    <cellStyle name="20% - Ênfase2 3 2 5 2" xfId="1716" xr:uid="{00000000-0005-0000-0000-0000D7030000}"/>
    <cellStyle name="20% - Ênfase2 3 2 6" xfId="1717" xr:uid="{00000000-0005-0000-0000-0000D8030000}"/>
    <cellStyle name="20% - Ênfase2 3 2 6 2" xfId="1718" xr:uid="{00000000-0005-0000-0000-0000D9030000}"/>
    <cellStyle name="20% - Ênfase2 3 2 7" xfId="1719" xr:uid="{00000000-0005-0000-0000-0000DA030000}"/>
    <cellStyle name="20% - Ênfase2 3 2 7 2" xfId="1720" xr:uid="{00000000-0005-0000-0000-0000DB030000}"/>
    <cellStyle name="20% - Ênfase2 3 2 8" xfId="1721" xr:uid="{00000000-0005-0000-0000-0000DC030000}"/>
    <cellStyle name="20% - Ênfase2 3 2 8 2" xfId="1722" xr:uid="{00000000-0005-0000-0000-0000DD030000}"/>
    <cellStyle name="20% - Ênfase2 3 2 9" xfId="1723" xr:uid="{00000000-0005-0000-0000-0000DE030000}"/>
    <cellStyle name="20% - Ênfase2 3 2 9 2" xfId="1724" xr:uid="{00000000-0005-0000-0000-0000DF030000}"/>
    <cellStyle name="20% - Ênfase2 3 3" xfId="1725" xr:uid="{00000000-0005-0000-0000-0000E0030000}"/>
    <cellStyle name="20% - Ênfase2 3 3 2" xfId="25143" xr:uid="{00000000-0005-0000-0000-0000E1030000}"/>
    <cellStyle name="20% - Ênfase2 3 3 2 2" xfId="25144" xr:uid="{00000000-0005-0000-0000-0000E2030000}"/>
    <cellStyle name="20% - Ênfase2 3 3 2 2 2" xfId="26251" xr:uid="{00000000-0005-0000-0000-0000E3030000}"/>
    <cellStyle name="20% - Ênfase2 3 3 2 3" xfId="26250" xr:uid="{00000000-0005-0000-0000-0000E4030000}"/>
    <cellStyle name="20% - Ênfase2 3 3 3" xfId="25145" xr:uid="{00000000-0005-0000-0000-0000E5030000}"/>
    <cellStyle name="20% - Ênfase2 3 3 3 2" xfId="26252" xr:uid="{00000000-0005-0000-0000-0000E6030000}"/>
    <cellStyle name="20% - Ênfase2 3 3 4" xfId="26249" xr:uid="{00000000-0005-0000-0000-0000E7030000}"/>
    <cellStyle name="20% - Ênfase2 3 3 5" xfId="25142" xr:uid="{00000000-0005-0000-0000-0000E8030000}"/>
    <cellStyle name="20% - Ênfase2 3 4" xfId="1726" xr:uid="{00000000-0005-0000-0000-0000E9030000}"/>
    <cellStyle name="20% - Ênfase2 3 4 2" xfId="26253" xr:uid="{00000000-0005-0000-0000-0000EA030000}"/>
    <cellStyle name="20% - Ênfase2 3 5" xfId="1727" xr:uid="{00000000-0005-0000-0000-0000EB030000}"/>
    <cellStyle name="20% - Ênfase2 3 5 10" xfId="1728" xr:uid="{00000000-0005-0000-0000-0000EC030000}"/>
    <cellStyle name="20% - Ênfase2 3 5 10 2" xfId="1729" xr:uid="{00000000-0005-0000-0000-0000ED030000}"/>
    <cellStyle name="20% - Ênfase2 3 5 2" xfId="1730" xr:uid="{00000000-0005-0000-0000-0000EE030000}"/>
    <cellStyle name="20% - Ênfase2 3 5 2 2" xfId="1731" xr:uid="{00000000-0005-0000-0000-0000EF030000}"/>
    <cellStyle name="20% - Ênfase2 3 5 3" xfId="1732" xr:uid="{00000000-0005-0000-0000-0000F0030000}"/>
    <cellStyle name="20% - Ênfase2 3 5 3 2" xfId="1733" xr:uid="{00000000-0005-0000-0000-0000F1030000}"/>
    <cellStyle name="20% - Ênfase2 3 5 4" xfId="1734" xr:uid="{00000000-0005-0000-0000-0000F2030000}"/>
    <cellStyle name="20% - Ênfase2 3 5 4 2" xfId="1735" xr:uid="{00000000-0005-0000-0000-0000F3030000}"/>
    <cellStyle name="20% - Ênfase2 3 5 5" xfId="1736" xr:uid="{00000000-0005-0000-0000-0000F4030000}"/>
    <cellStyle name="20% - Ênfase2 3 5 5 2" xfId="1737" xr:uid="{00000000-0005-0000-0000-0000F5030000}"/>
    <cellStyle name="20% - Ênfase2 3 5 6" xfId="1738" xr:uid="{00000000-0005-0000-0000-0000F6030000}"/>
    <cellStyle name="20% - Ênfase2 3 5 6 2" xfId="1739" xr:uid="{00000000-0005-0000-0000-0000F7030000}"/>
    <cellStyle name="20% - Ênfase2 3 5 7" xfId="1740" xr:uid="{00000000-0005-0000-0000-0000F8030000}"/>
    <cellStyle name="20% - Ênfase2 3 5 7 2" xfId="1741" xr:uid="{00000000-0005-0000-0000-0000F9030000}"/>
    <cellStyle name="20% - Ênfase2 3 5 8" xfId="1742" xr:uid="{00000000-0005-0000-0000-0000FA030000}"/>
    <cellStyle name="20% - Ênfase2 3 5 8 2" xfId="1743" xr:uid="{00000000-0005-0000-0000-0000FB030000}"/>
    <cellStyle name="20% - Ênfase2 3 5 9" xfId="1744" xr:uid="{00000000-0005-0000-0000-0000FC030000}"/>
    <cellStyle name="20% - Ênfase2 3 5 9 2" xfId="1745" xr:uid="{00000000-0005-0000-0000-0000FD030000}"/>
    <cellStyle name="20% - Ênfase2 3 6" xfId="1746" xr:uid="{00000000-0005-0000-0000-0000FE030000}"/>
    <cellStyle name="20% - Ênfase2 3 6 2" xfId="1747" xr:uid="{00000000-0005-0000-0000-0000FF030000}"/>
    <cellStyle name="20% - Ênfase2 3 6 2 2" xfId="1748" xr:uid="{00000000-0005-0000-0000-000000040000}"/>
    <cellStyle name="20% - Ênfase2 3 6 3" xfId="1749" xr:uid="{00000000-0005-0000-0000-000001040000}"/>
    <cellStyle name="20% - Ênfase2 3 6 3 2" xfId="1750" xr:uid="{00000000-0005-0000-0000-000002040000}"/>
    <cellStyle name="20% - Ênfase2 3 6 4" xfId="1751" xr:uid="{00000000-0005-0000-0000-000003040000}"/>
    <cellStyle name="20% - Ênfase2 3 6 4 2" xfId="1752" xr:uid="{00000000-0005-0000-0000-000004040000}"/>
    <cellStyle name="20% - Ênfase2 3 6 5" xfId="1753" xr:uid="{00000000-0005-0000-0000-000005040000}"/>
    <cellStyle name="20% - Ênfase2 3 6 5 2" xfId="1754" xr:uid="{00000000-0005-0000-0000-000006040000}"/>
    <cellStyle name="20% - Ênfase2 3 6 6" xfId="1755" xr:uid="{00000000-0005-0000-0000-000007040000}"/>
    <cellStyle name="20% - Ênfase2 3 7" xfId="25146" xr:uid="{00000000-0005-0000-0000-000008040000}"/>
    <cellStyle name="20% - Ênfase2 3 7 2" xfId="26254" xr:uid="{00000000-0005-0000-0000-000009040000}"/>
    <cellStyle name="20% - Ênfase2 3 8" xfId="26241" xr:uid="{00000000-0005-0000-0000-00000A040000}"/>
    <cellStyle name="20% - Ênfase2 30" xfId="1756" xr:uid="{00000000-0005-0000-0000-00000B040000}"/>
    <cellStyle name="20% - Ênfase2 30 2" xfId="1757" xr:uid="{00000000-0005-0000-0000-00000C040000}"/>
    <cellStyle name="20% - Ênfase2 31" xfId="1758" xr:uid="{00000000-0005-0000-0000-00000D040000}"/>
    <cellStyle name="20% - Ênfase2 31 2" xfId="1759" xr:uid="{00000000-0005-0000-0000-00000E040000}"/>
    <cellStyle name="20% - Ênfase2 32" xfId="1760" xr:uid="{00000000-0005-0000-0000-00000F040000}"/>
    <cellStyle name="20% - Ênfase2 32 2" xfId="1761" xr:uid="{00000000-0005-0000-0000-000010040000}"/>
    <cellStyle name="20% - Ênfase2 33" xfId="1762" xr:uid="{00000000-0005-0000-0000-000011040000}"/>
    <cellStyle name="20% - Ênfase2 33 2" xfId="1763" xr:uid="{00000000-0005-0000-0000-000012040000}"/>
    <cellStyle name="20% - Ênfase2 34" xfId="1764" xr:uid="{00000000-0005-0000-0000-000013040000}"/>
    <cellStyle name="20% - Ênfase2 34 2" xfId="1765" xr:uid="{00000000-0005-0000-0000-000014040000}"/>
    <cellStyle name="20% - Ênfase2 35" xfId="1766" xr:uid="{00000000-0005-0000-0000-000015040000}"/>
    <cellStyle name="20% - Ênfase2 35 2" xfId="1767" xr:uid="{00000000-0005-0000-0000-000016040000}"/>
    <cellStyle name="20% - Ênfase2 36" xfId="1768" xr:uid="{00000000-0005-0000-0000-000017040000}"/>
    <cellStyle name="20% - Ênfase2 36 2" xfId="1769" xr:uid="{00000000-0005-0000-0000-000018040000}"/>
    <cellStyle name="20% - Ênfase2 37" xfId="1770" xr:uid="{00000000-0005-0000-0000-000019040000}"/>
    <cellStyle name="20% - Ênfase2 37 2" xfId="1771" xr:uid="{00000000-0005-0000-0000-00001A040000}"/>
    <cellStyle name="20% - Ênfase2 38" xfId="1772" xr:uid="{00000000-0005-0000-0000-00001B040000}"/>
    <cellStyle name="20% - Ênfase2 38 2" xfId="1773" xr:uid="{00000000-0005-0000-0000-00001C040000}"/>
    <cellStyle name="20% - Ênfase2 39" xfId="1774" xr:uid="{00000000-0005-0000-0000-00001D040000}"/>
    <cellStyle name="20% - Ênfase2 39 2" xfId="1775" xr:uid="{00000000-0005-0000-0000-00001E040000}"/>
    <cellStyle name="20% - Ênfase2 4" xfId="1776" xr:uid="{00000000-0005-0000-0000-00001F040000}"/>
    <cellStyle name="20% - Ênfase2 4 2" xfId="1777" xr:uid="{00000000-0005-0000-0000-000020040000}"/>
    <cellStyle name="20% - Ênfase2 4 2 10" xfId="1778" xr:uid="{00000000-0005-0000-0000-000021040000}"/>
    <cellStyle name="20% - Ênfase2 4 2 10 2" xfId="1779" xr:uid="{00000000-0005-0000-0000-000022040000}"/>
    <cellStyle name="20% - Ênfase2 4 2 11" xfId="1780" xr:uid="{00000000-0005-0000-0000-000023040000}"/>
    <cellStyle name="20% - Ênfase2 4 2 11 2" xfId="1781" xr:uid="{00000000-0005-0000-0000-000024040000}"/>
    <cellStyle name="20% - Ênfase2 4 2 12" xfId="1782" xr:uid="{00000000-0005-0000-0000-000025040000}"/>
    <cellStyle name="20% - Ênfase2 4 2 12 2" xfId="1783" xr:uid="{00000000-0005-0000-0000-000026040000}"/>
    <cellStyle name="20% - Ênfase2 4 2 2" xfId="1784" xr:uid="{00000000-0005-0000-0000-000027040000}"/>
    <cellStyle name="20% - Ênfase2 4 2 2 10" xfId="1785" xr:uid="{00000000-0005-0000-0000-000028040000}"/>
    <cellStyle name="20% - Ênfase2 4 2 2 11" xfId="1786" xr:uid="{00000000-0005-0000-0000-000029040000}"/>
    <cellStyle name="20% - Ênfase2 4 2 2 2" xfId="1787" xr:uid="{00000000-0005-0000-0000-00002A040000}"/>
    <cellStyle name="20% - Ênfase2 4 2 2 2 2" xfId="25148" xr:uid="{00000000-0005-0000-0000-00002B040000}"/>
    <cellStyle name="20% - Ênfase2 4 2 2 2 2 2" xfId="26258" xr:uid="{00000000-0005-0000-0000-00002C040000}"/>
    <cellStyle name="20% - Ênfase2 4 2 2 2 3" xfId="26257" xr:uid="{00000000-0005-0000-0000-00002D040000}"/>
    <cellStyle name="20% - Ênfase2 4 2 2 2 4" xfId="25147" xr:uid="{00000000-0005-0000-0000-00002E040000}"/>
    <cellStyle name="20% - Ênfase2 4 2 2 3" xfId="1788" xr:uid="{00000000-0005-0000-0000-00002F040000}"/>
    <cellStyle name="20% - Ênfase2 4 2 2 3 2" xfId="26259" xr:uid="{00000000-0005-0000-0000-000030040000}"/>
    <cellStyle name="20% - Ênfase2 4 2 2 3 3" xfId="25149" xr:uid="{00000000-0005-0000-0000-000031040000}"/>
    <cellStyle name="20% - Ênfase2 4 2 2 4" xfId="1789" xr:uid="{00000000-0005-0000-0000-000032040000}"/>
    <cellStyle name="20% - Ênfase2 4 2 2 4 2" xfId="26256" xr:uid="{00000000-0005-0000-0000-000033040000}"/>
    <cellStyle name="20% - Ênfase2 4 2 2 5" xfId="1790" xr:uid="{00000000-0005-0000-0000-000034040000}"/>
    <cellStyle name="20% - Ênfase2 4 2 2 6" xfId="1791" xr:uid="{00000000-0005-0000-0000-000035040000}"/>
    <cellStyle name="20% - Ênfase2 4 2 2 7" xfId="1792" xr:uid="{00000000-0005-0000-0000-000036040000}"/>
    <cellStyle name="20% - Ênfase2 4 2 2 8" xfId="1793" xr:uid="{00000000-0005-0000-0000-000037040000}"/>
    <cellStyle name="20% - Ênfase2 4 2 2 9" xfId="1794" xr:uid="{00000000-0005-0000-0000-000038040000}"/>
    <cellStyle name="20% - Ênfase2 4 2 3" xfId="1795" xr:uid="{00000000-0005-0000-0000-000039040000}"/>
    <cellStyle name="20% - Ênfase2 4 2 3 2" xfId="25151" xr:uid="{00000000-0005-0000-0000-00003A040000}"/>
    <cellStyle name="20% - Ênfase2 4 2 3 2 2" xfId="26261" xr:uid="{00000000-0005-0000-0000-00003B040000}"/>
    <cellStyle name="20% - Ênfase2 4 2 3 3" xfId="26260" xr:uid="{00000000-0005-0000-0000-00003C040000}"/>
    <cellStyle name="20% - Ênfase2 4 2 3 4" xfId="25150" xr:uid="{00000000-0005-0000-0000-00003D040000}"/>
    <cellStyle name="20% - Ênfase2 4 2 4" xfId="1796" xr:uid="{00000000-0005-0000-0000-00003E040000}"/>
    <cellStyle name="20% - Ênfase2 4 2 4 2" xfId="26262" xr:uid="{00000000-0005-0000-0000-00003F040000}"/>
    <cellStyle name="20% - Ênfase2 4 2 4 3" xfId="25152" xr:uid="{00000000-0005-0000-0000-000040040000}"/>
    <cellStyle name="20% - Ênfase2 4 2 5" xfId="1797" xr:uid="{00000000-0005-0000-0000-000041040000}"/>
    <cellStyle name="20% - Ênfase2 4 2 5 2" xfId="1798" xr:uid="{00000000-0005-0000-0000-000042040000}"/>
    <cellStyle name="20% - Ênfase2 4 2 6" xfId="1799" xr:uid="{00000000-0005-0000-0000-000043040000}"/>
    <cellStyle name="20% - Ênfase2 4 2 6 2" xfId="1800" xr:uid="{00000000-0005-0000-0000-000044040000}"/>
    <cellStyle name="20% - Ênfase2 4 2 7" xfId="1801" xr:uid="{00000000-0005-0000-0000-000045040000}"/>
    <cellStyle name="20% - Ênfase2 4 2 7 2" xfId="1802" xr:uid="{00000000-0005-0000-0000-000046040000}"/>
    <cellStyle name="20% - Ênfase2 4 2 8" xfId="1803" xr:uid="{00000000-0005-0000-0000-000047040000}"/>
    <cellStyle name="20% - Ênfase2 4 2 8 2" xfId="1804" xr:uid="{00000000-0005-0000-0000-000048040000}"/>
    <cellStyle name="20% - Ênfase2 4 2 9" xfId="1805" xr:uid="{00000000-0005-0000-0000-000049040000}"/>
    <cellStyle name="20% - Ênfase2 4 2 9 2" xfId="1806" xr:uid="{00000000-0005-0000-0000-00004A040000}"/>
    <cellStyle name="20% - Ênfase2 4 3" xfId="1807" xr:uid="{00000000-0005-0000-0000-00004B040000}"/>
    <cellStyle name="20% - Ênfase2 4 3 2" xfId="25154" xr:uid="{00000000-0005-0000-0000-00004C040000}"/>
    <cellStyle name="20% - Ênfase2 4 3 2 2" xfId="25155" xr:uid="{00000000-0005-0000-0000-00004D040000}"/>
    <cellStyle name="20% - Ênfase2 4 3 2 2 2" xfId="26265" xr:uid="{00000000-0005-0000-0000-00004E040000}"/>
    <cellStyle name="20% - Ênfase2 4 3 2 3" xfId="26264" xr:uid="{00000000-0005-0000-0000-00004F040000}"/>
    <cellStyle name="20% - Ênfase2 4 3 3" xfId="25156" xr:uid="{00000000-0005-0000-0000-000050040000}"/>
    <cellStyle name="20% - Ênfase2 4 3 3 2" xfId="26266" xr:uid="{00000000-0005-0000-0000-000051040000}"/>
    <cellStyle name="20% - Ênfase2 4 3 4" xfId="26263" xr:uid="{00000000-0005-0000-0000-000052040000}"/>
    <cellStyle name="20% - Ênfase2 4 3 5" xfId="25153" xr:uid="{00000000-0005-0000-0000-000053040000}"/>
    <cellStyle name="20% - Ênfase2 4 4" xfId="1808" xr:uid="{00000000-0005-0000-0000-000054040000}"/>
    <cellStyle name="20% - Ênfase2 4 4 2" xfId="26267" xr:uid="{00000000-0005-0000-0000-000055040000}"/>
    <cellStyle name="20% - Ênfase2 4 5" xfId="1809" xr:uid="{00000000-0005-0000-0000-000056040000}"/>
    <cellStyle name="20% - Ênfase2 4 5 10" xfId="1810" xr:uid="{00000000-0005-0000-0000-000057040000}"/>
    <cellStyle name="20% - Ênfase2 4 5 10 2" xfId="1811" xr:uid="{00000000-0005-0000-0000-000058040000}"/>
    <cellStyle name="20% - Ênfase2 4 5 2" xfId="1812" xr:uid="{00000000-0005-0000-0000-000059040000}"/>
    <cellStyle name="20% - Ênfase2 4 5 2 2" xfId="1813" xr:uid="{00000000-0005-0000-0000-00005A040000}"/>
    <cellStyle name="20% - Ênfase2 4 5 3" xfId="1814" xr:uid="{00000000-0005-0000-0000-00005B040000}"/>
    <cellStyle name="20% - Ênfase2 4 5 3 2" xfId="1815" xr:uid="{00000000-0005-0000-0000-00005C040000}"/>
    <cellStyle name="20% - Ênfase2 4 5 4" xfId="1816" xr:uid="{00000000-0005-0000-0000-00005D040000}"/>
    <cellStyle name="20% - Ênfase2 4 5 4 2" xfId="1817" xr:uid="{00000000-0005-0000-0000-00005E040000}"/>
    <cellStyle name="20% - Ênfase2 4 5 5" xfId="1818" xr:uid="{00000000-0005-0000-0000-00005F040000}"/>
    <cellStyle name="20% - Ênfase2 4 5 5 2" xfId="1819" xr:uid="{00000000-0005-0000-0000-000060040000}"/>
    <cellStyle name="20% - Ênfase2 4 5 6" xfId="1820" xr:uid="{00000000-0005-0000-0000-000061040000}"/>
    <cellStyle name="20% - Ênfase2 4 5 6 2" xfId="1821" xr:uid="{00000000-0005-0000-0000-000062040000}"/>
    <cellStyle name="20% - Ênfase2 4 5 7" xfId="1822" xr:uid="{00000000-0005-0000-0000-000063040000}"/>
    <cellStyle name="20% - Ênfase2 4 5 7 2" xfId="1823" xr:uid="{00000000-0005-0000-0000-000064040000}"/>
    <cellStyle name="20% - Ênfase2 4 5 8" xfId="1824" xr:uid="{00000000-0005-0000-0000-000065040000}"/>
    <cellStyle name="20% - Ênfase2 4 5 8 2" xfId="1825" xr:uid="{00000000-0005-0000-0000-000066040000}"/>
    <cellStyle name="20% - Ênfase2 4 5 9" xfId="1826" xr:uid="{00000000-0005-0000-0000-000067040000}"/>
    <cellStyle name="20% - Ênfase2 4 5 9 2" xfId="1827" xr:uid="{00000000-0005-0000-0000-000068040000}"/>
    <cellStyle name="20% - Ênfase2 4 6" xfId="1828" xr:uid="{00000000-0005-0000-0000-000069040000}"/>
    <cellStyle name="20% - Ênfase2 4 6 2" xfId="1829" xr:uid="{00000000-0005-0000-0000-00006A040000}"/>
    <cellStyle name="20% - Ênfase2 4 6 2 2" xfId="1830" xr:uid="{00000000-0005-0000-0000-00006B040000}"/>
    <cellStyle name="20% - Ênfase2 4 6 3" xfId="1831" xr:uid="{00000000-0005-0000-0000-00006C040000}"/>
    <cellStyle name="20% - Ênfase2 4 6 3 2" xfId="1832" xr:uid="{00000000-0005-0000-0000-00006D040000}"/>
    <cellStyle name="20% - Ênfase2 4 6 4" xfId="1833" xr:uid="{00000000-0005-0000-0000-00006E040000}"/>
    <cellStyle name="20% - Ênfase2 4 6 4 2" xfId="1834" xr:uid="{00000000-0005-0000-0000-00006F040000}"/>
    <cellStyle name="20% - Ênfase2 4 6 5" xfId="1835" xr:uid="{00000000-0005-0000-0000-000070040000}"/>
    <cellStyle name="20% - Ênfase2 4 6 5 2" xfId="1836" xr:uid="{00000000-0005-0000-0000-000071040000}"/>
    <cellStyle name="20% - Ênfase2 4 6 6" xfId="1837" xr:uid="{00000000-0005-0000-0000-000072040000}"/>
    <cellStyle name="20% - Ênfase2 4 7" xfId="26255" xr:uid="{00000000-0005-0000-0000-000073040000}"/>
    <cellStyle name="20% - Ênfase2 40" xfId="1838" xr:uid="{00000000-0005-0000-0000-000074040000}"/>
    <cellStyle name="20% - Ênfase2 40 2" xfId="1839" xr:uid="{00000000-0005-0000-0000-000075040000}"/>
    <cellStyle name="20% - Ênfase2 41" xfId="1840" xr:uid="{00000000-0005-0000-0000-000076040000}"/>
    <cellStyle name="20% - Ênfase2 41 2" xfId="1841" xr:uid="{00000000-0005-0000-0000-000077040000}"/>
    <cellStyle name="20% - Ênfase2 42" xfId="1842" xr:uid="{00000000-0005-0000-0000-000078040000}"/>
    <cellStyle name="20% - Ênfase2 42 2" xfId="1843" xr:uid="{00000000-0005-0000-0000-000079040000}"/>
    <cellStyle name="20% - Ênfase2 43" xfId="1844" xr:uid="{00000000-0005-0000-0000-00007A040000}"/>
    <cellStyle name="20% - Ênfase2 43 2" xfId="1845" xr:uid="{00000000-0005-0000-0000-00007B040000}"/>
    <cellStyle name="20% - Ênfase2 44" xfId="1846" xr:uid="{00000000-0005-0000-0000-00007C040000}"/>
    <cellStyle name="20% - Ênfase2 44 2" xfId="1847" xr:uid="{00000000-0005-0000-0000-00007D040000}"/>
    <cellStyle name="20% - Ênfase2 45" xfId="1848" xr:uid="{00000000-0005-0000-0000-00007E040000}"/>
    <cellStyle name="20% - Ênfase2 45 2" xfId="1849" xr:uid="{00000000-0005-0000-0000-00007F040000}"/>
    <cellStyle name="20% - Ênfase2 46" xfId="1850" xr:uid="{00000000-0005-0000-0000-000080040000}"/>
    <cellStyle name="20% - Ênfase2 46 2" xfId="1851" xr:uid="{00000000-0005-0000-0000-000081040000}"/>
    <cellStyle name="20% - Ênfase2 47" xfId="1852" xr:uid="{00000000-0005-0000-0000-000082040000}"/>
    <cellStyle name="20% - Ênfase2 47 2" xfId="1853" xr:uid="{00000000-0005-0000-0000-000083040000}"/>
    <cellStyle name="20% - Ênfase2 48" xfId="1854" xr:uid="{00000000-0005-0000-0000-000084040000}"/>
    <cellStyle name="20% - Ênfase2 48 2" xfId="1855" xr:uid="{00000000-0005-0000-0000-000085040000}"/>
    <cellStyle name="20% - Ênfase2 49" xfId="1856" xr:uid="{00000000-0005-0000-0000-000086040000}"/>
    <cellStyle name="20% - Ênfase2 49 2" xfId="1857" xr:uid="{00000000-0005-0000-0000-000087040000}"/>
    <cellStyle name="20% - Ênfase2 5" xfId="1858" xr:uid="{00000000-0005-0000-0000-000088040000}"/>
    <cellStyle name="20% - Ênfase2 5 2" xfId="1859" xr:uid="{00000000-0005-0000-0000-000089040000}"/>
    <cellStyle name="20% - Ênfase2 5 2 2" xfId="1860" xr:uid="{00000000-0005-0000-0000-00008A040000}"/>
    <cellStyle name="20% - Ênfase2 5 2 2 2" xfId="25158" xr:uid="{00000000-0005-0000-0000-00008B040000}"/>
    <cellStyle name="20% - Ênfase2 5 2 2 2 2" xfId="25159" xr:uid="{00000000-0005-0000-0000-00008C040000}"/>
    <cellStyle name="20% - Ênfase2 5 2 2 2 2 2" xfId="26270" xr:uid="{00000000-0005-0000-0000-00008D040000}"/>
    <cellStyle name="20% - Ênfase2 5 2 2 2 3" xfId="26269" xr:uid="{00000000-0005-0000-0000-00008E040000}"/>
    <cellStyle name="20% - Ênfase2 5 2 2 3" xfId="25160" xr:uid="{00000000-0005-0000-0000-00008F040000}"/>
    <cellStyle name="20% - Ênfase2 5 2 2 3 2" xfId="26271" xr:uid="{00000000-0005-0000-0000-000090040000}"/>
    <cellStyle name="20% - Ênfase2 5 2 2 4" xfId="26268" xr:uid="{00000000-0005-0000-0000-000091040000}"/>
    <cellStyle name="20% - Ênfase2 5 2 2 5" xfId="25157" xr:uid="{00000000-0005-0000-0000-000092040000}"/>
    <cellStyle name="20% - Ênfase2 5 2 3" xfId="1861" xr:uid="{00000000-0005-0000-0000-000093040000}"/>
    <cellStyle name="20% - Ênfase2 5 2 3 2" xfId="25162" xr:uid="{00000000-0005-0000-0000-000094040000}"/>
    <cellStyle name="20% - Ênfase2 5 2 3 2 2" xfId="26273" xr:uid="{00000000-0005-0000-0000-000095040000}"/>
    <cellStyle name="20% - Ênfase2 5 2 3 3" xfId="26272" xr:uid="{00000000-0005-0000-0000-000096040000}"/>
    <cellStyle name="20% - Ênfase2 5 2 3 4" xfId="25161" xr:uid="{00000000-0005-0000-0000-000097040000}"/>
    <cellStyle name="20% - Ênfase2 5 2 4" xfId="1862" xr:uid="{00000000-0005-0000-0000-000098040000}"/>
    <cellStyle name="20% - Ênfase2 5 2 4 2" xfId="26274" xr:uid="{00000000-0005-0000-0000-000099040000}"/>
    <cellStyle name="20% - Ênfase2 5 2 4 3" xfId="25163" xr:uid="{00000000-0005-0000-0000-00009A040000}"/>
    <cellStyle name="20% - Ênfase2 5 2 5" xfId="1863" xr:uid="{00000000-0005-0000-0000-00009B040000}"/>
    <cellStyle name="20% - Ênfase2 5 2 5 2" xfId="1864" xr:uid="{00000000-0005-0000-0000-00009C040000}"/>
    <cellStyle name="20% - Ênfase2 5 2 6" xfId="1865" xr:uid="{00000000-0005-0000-0000-00009D040000}"/>
    <cellStyle name="20% - Ênfase2 5 2 6 2" xfId="1866" xr:uid="{00000000-0005-0000-0000-00009E040000}"/>
    <cellStyle name="20% - Ênfase2 5 2 7" xfId="1867" xr:uid="{00000000-0005-0000-0000-00009F040000}"/>
    <cellStyle name="20% - Ênfase2 5 2 7 2" xfId="1868" xr:uid="{00000000-0005-0000-0000-0000A0040000}"/>
    <cellStyle name="20% - Ênfase2 5 2 8" xfId="1869" xr:uid="{00000000-0005-0000-0000-0000A1040000}"/>
    <cellStyle name="20% - Ênfase2 5 2 8 2" xfId="1870" xr:uid="{00000000-0005-0000-0000-0000A2040000}"/>
    <cellStyle name="20% - Ênfase2 5 2 9" xfId="1871" xr:uid="{00000000-0005-0000-0000-0000A3040000}"/>
    <cellStyle name="20% - Ênfase2 5 3" xfId="1872" xr:uid="{00000000-0005-0000-0000-0000A4040000}"/>
    <cellStyle name="20% - Ênfase2 5 3 2" xfId="25165" xr:uid="{00000000-0005-0000-0000-0000A5040000}"/>
    <cellStyle name="20% - Ênfase2 5 3 2 2" xfId="25166" xr:uid="{00000000-0005-0000-0000-0000A6040000}"/>
    <cellStyle name="20% - Ênfase2 5 3 2 2 2" xfId="26277" xr:uid="{00000000-0005-0000-0000-0000A7040000}"/>
    <cellStyle name="20% - Ênfase2 5 3 2 3" xfId="26276" xr:uid="{00000000-0005-0000-0000-0000A8040000}"/>
    <cellStyle name="20% - Ênfase2 5 3 3" xfId="25167" xr:uid="{00000000-0005-0000-0000-0000A9040000}"/>
    <cellStyle name="20% - Ênfase2 5 3 3 2" xfId="26278" xr:uid="{00000000-0005-0000-0000-0000AA040000}"/>
    <cellStyle name="20% - Ênfase2 5 3 4" xfId="26275" xr:uid="{00000000-0005-0000-0000-0000AB040000}"/>
    <cellStyle name="20% - Ênfase2 5 3 5" xfId="25164" xr:uid="{00000000-0005-0000-0000-0000AC040000}"/>
    <cellStyle name="20% - Ênfase2 5 4" xfId="1873" xr:uid="{00000000-0005-0000-0000-0000AD040000}"/>
    <cellStyle name="20% - Ênfase2 5 4 2" xfId="25169" xr:uid="{00000000-0005-0000-0000-0000AE040000}"/>
    <cellStyle name="20% - Ênfase2 5 4 2 2" xfId="26280" xr:uid="{00000000-0005-0000-0000-0000AF040000}"/>
    <cellStyle name="20% - Ênfase2 5 4 3" xfId="26279" xr:uid="{00000000-0005-0000-0000-0000B0040000}"/>
    <cellStyle name="20% - Ênfase2 5 4 4" xfId="25168" xr:uid="{00000000-0005-0000-0000-0000B1040000}"/>
    <cellStyle name="20% - Ênfase2 5 5" xfId="1874" xr:uid="{00000000-0005-0000-0000-0000B2040000}"/>
    <cellStyle name="20% - Ênfase2 5 5 2" xfId="1875" xr:uid="{00000000-0005-0000-0000-0000B3040000}"/>
    <cellStyle name="20% - Ênfase2 5 5 2 2" xfId="1876" xr:uid="{00000000-0005-0000-0000-0000B4040000}"/>
    <cellStyle name="20% - Ênfase2 5 5 3" xfId="1877" xr:uid="{00000000-0005-0000-0000-0000B5040000}"/>
    <cellStyle name="20% - Ênfase2 5 5 3 2" xfId="1878" xr:uid="{00000000-0005-0000-0000-0000B6040000}"/>
    <cellStyle name="20% - Ênfase2 5 5 4" xfId="1879" xr:uid="{00000000-0005-0000-0000-0000B7040000}"/>
    <cellStyle name="20% - Ênfase2 5 5 4 2" xfId="1880" xr:uid="{00000000-0005-0000-0000-0000B8040000}"/>
    <cellStyle name="20% - Ênfase2 5 5 5" xfId="1881" xr:uid="{00000000-0005-0000-0000-0000B9040000}"/>
    <cellStyle name="20% - Ênfase2 5 5 5 2" xfId="1882" xr:uid="{00000000-0005-0000-0000-0000BA040000}"/>
    <cellStyle name="20% - Ênfase2 5 5 6" xfId="1883" xr:uid="{00000000-0005-0000-0000-0000BB040000}"/>
    <cellStyle name="20% - Ênfase2 5 6" xfId="1884" xr:uid="{00000000-0005-0000-0000-0000BC040000}"/>
    <cellStyle name="20% - Ênfase2 5 6 2" xfId="1885" xr:uid="{00000000-0005-0000-0000-0000BD040000}"/>
    <cellStyle name="20% - Ênfase2 5 6 2 2" xfId="1886" xr:uid="{00000000-0005-0000-0000-0000BE040000}"/>
    <cellStyle name="20% - Ênfase2 5 6 3" xfId="1887" xr:uid="{00000000-0005-0000-0000-0000BF040000}"/>
    <cellStyle name="20% - Ênfase2 5 6 3 2" xfId="1888" xr:uid="{00000000-0005-0000-0000-0000C0040000}"/>
    <cellStyle name="20% - Ênfase2 5 6 4" xfId="1889" xr:uid="{00000000-0005-0000-0000-0000C1040000}"/>
    <cellStyle name="20% - Ênfase2 5 6 4 2" xfId="1890" xr:uid="{00000000-0005-0000-0000-0000C2040000}"/>
    <cellStyle name="20% - Ênfase2 5 6 5" xfId="1891" xr:uid="{00000000-0005-0000-0000-0000C3040000}"/>
    <cellStyle name="20% - Ênfase2 5 6 5 2" xfId="1892" xr:uid="{00000000-0005-0000-0000-0000C4040000}"/>
    <cellStyle name="20% - Ênfase2 5 6 6" xfId="1893" xr:uid="{00000000-0005-0000-0000-0000C5040000}"/>
    <cellStyle name="20% - Ênfase2 50" xfId="1894" xr:uid="{00000000-0005-0000-0000-0000C6040000}"/>
    <cellStyle name="20% - Ênfase2 50 2" xfId="1895" xr:uid="{00000000-0005-0000-0000-0000C7040000}"/>
    <cellStyle name="20% - Ênfase2 51" xfId="1896" xr:uid="{00000000-0005-0000-0000-0000C8040000}"/>
    <cellStyle name="20% - Ênfase2 51 2" xfId="1897" xr:uid="{00000000-0005-0000-0000-0000C9040000}"/>
    <cellStyle name="20% - Ênfase2 52" xfId="1898" xr:uid="{00000000-0005-0000-0000-0000CA040000}"/>
    <cellStyle name="20% - Ênfase2 52 2" xfId="1899" xr:uid="{00000000-0005-0000-0000-0000CB040000}"/>
    <cellStyle name="20% - Ênfase2 53" xfId="1900" xr:uid="{00000000-0005-0000-0000-0000CC040000}"/>
    <cellStyle name="20% - Ênfase2 53 2" xfId="1901" xr:uid="{00000000-0005-0000-0000-0000CD040000}"/>
    <cellStyle name="20% - Ênfase2 54" xfId="1902" xr:uid="{00000000-0005-0000-0000-0000CE040000}"/>
    <cellStyle name="20% - Ênfase2 54 2" xfId="1903" xr:uid="{00000000-0005-0000-0000-0000CF040000}"/>
    <cellStyle name="20% - Ênfase2 55" xfId="1904" xr:uid="{00000000-0005-0000-0000-0000D0040000}"/>
    <cellStyle name="20% - Ênfase2 55 2" xfId="1905" xr:uid="{00000000-0005-0000-0000-0000D1040000}"/>
    <cellStyle name="20% - Ênfase2 6" xfId="1906" xr:uid="{00000000-0005-0000-0000-0000D2040000}"/>
    <cellStyle name="20% - Ênfase2 6 10" xfId="1907" xr:uid="{00000000-0005-0000-0000-0000D3040000}"/>
    <cellStyle name="20% - Ênfase2 6 10 2" xfId="1908" xr:uid="{00000000-0005-0000-0000-0000D4040000}"/>
    <cellStyle name="20% - Ênfase2 6 11" xfId="1909" xr:uid="{00000000-0005-0000-0000-0000D5040000}"/>
    <cellStyle name="20% - Ênfase2 6 11 2" xfId="1910" xr:uid="{00000000-0005-0000-0000-0000D6040000}"/>
    <cellStyle name="20% - Ênfase2 6 12" xfId="1911" xr:uid="{00000000-0005-0000-0000-0000D7040000}"/>
    <cellStyle name="20% - Ênfase2 6 12 2" xfId="1912" xr:uid="{00000000-0005-0000-0000-0000D8040000}"/>
    <cellStyle name="20% - Ênfase2 6 13" xfId="1913" xr:uid="{00000000-0005-0000-0000-0000D9040000}"/>
    <cellStyle name="20% - Ênfase2 6 13 2" xfId="1914" xr:uid="{00000000-0005-0000-0000-0000DA040000}"/>
    <cellStyle name="20% - Ênfase2 6 14" xfId="1915" xr:uid="{00000000-0005-0000-0000-0000DB040000}"/>
    <cellStyle name="20% - Ênfase2 6 14 2" xfId="1916" xr:uid="{00000000-0005-0000-0000-0000DC040000}"/>
    <cellStyle name="20% - Ênfase2 6 15" xfId="1917" xr:uid="{00000000-0005-0000-0000-0000DD040000}"/>
    <cellStyle name="20% - Ênfase2 6 15 2" xfId="1918" xr:uid="{00000000-0005-0000-0000-0000DE040000}"/>
    <cellStyle name="20% - Ênfase2 6 16" xfId="1919" xr:uid="{00000000-0005-0000-0000-0000DF040000}"/>
    <cellStyle name="20% - Ênfase2 6 16 2" xfId="1920" xr:uid="{00000000-0005-0000-0000-0000E0040000}"/>
    <cellStyle name="20% - Ênfase2 6 17" xfId="1921" xr:uid="{00000000-0005-0000-0000-0000E1040000}"/>
    <cellStyle name="20% - Ênfase2 6 17 2" xfId="1922" xr:uid="{00000000-0005-0000-0000-0000E2040000}"/>
    <cellStyle name="20% - Ênfase2 6 18" xfId="1923" xr:uid="{00000000-0005-0000-0000-0000E3040000}"/>
    <cellStyle name="20% - Ênfase2 6 18 2" xfId="1924" xr:uid="{00000000-0005-0000-0000-0000E4040000}"/>
    <cellStyle name="20% - Ênfase2 6 19" xfId="1925" xr:uid="{00000000-0005-0000-0000-0000E5040000}"/>
    <cellStyle name="20% - Ênfase2 6 19 2" xfId="1926" xr:uid="{00000000-0005-0000-0000-0000E6040000}"/>
    <cellStyle name="20% - Ênfase2 6 2" xfId="1927" xr:uid="{00000000-0005-0000-0000-0000E7040000}"/>
    <cellStyle name="20% - Ênfase2 6 2 2" xfId="1928" xr:uid="{00000000-0005-0000-0000-0000E8040000}"/>
    <cellStyle name="20% - Ênfase2 6 2 2 2" xfId="1929" xr:uid="{00000000-0005-0000-0000-0000E9040000}"/>
    <cellStyle name="20% - Ênfase2 6 2 2 2 2" xfId="26282" xr:uid="{00000000-0005-0000-0000-0000EA040000}"/>
    <cellStyle name="20% - Ênfase2 6 2 2 3" xfId="26281" xr:uid="{00000000-0005-0000-0000-0000EB040000}"/>
    <cellStyle name="20% - Ênfase2 6 2 3" xfId="1930" xr:uid="{00000000-0005-0000-0000-0000EC040000}"/>
    <cellStyle name="20% - Ênfase2 6 2 3 2" xfId="1931" xr:uid="{00000000-0005-0000-0000-0000ED040000}"/>
    <cellStyle name="20% - Ênfase2 6 2 4" xfId="1932" xr:uid="{00000000-0005-0000-0000-0000EE040000}"/>
    <cellStyle name="20% - Ênfase2 6 2 4 2" xfId="1933" xr:uid="{00000000-0005-0000-0000-0000EF040000}"/>
    <cellStyle name="20% - Ênfase2 6 2 5" xfId="1934" xr:uid="{00000000-0005-0000-0000-0000F0040000}"/>
    <cellStyle name="20% - Ênfase2 6 2 5 2" xfId="1935" xr:uid="{00000000-0005-0000-0000-0000F1040000}"/>
    <cellStyle name="20% - Ênfase2 6 2 6" xfId="1936" xr:uid="{00000000-0005-0000-0000-0000F2040000}"/>
    <cellStyle name="20% - Ênfase2 6 20" xfId="1937" xr:uid="{00000000-0005-0000-0000-0000F3040000}"/>
    <cellStyle name="20% - Ênfase2 6 20 2" xfId="1938" xr:uid="{00000000-0005-0000-0000-0000F4040000}"/>
    <cellStyle name="20% - Ênfase2 6 21" xfId="1939" xr:uid="{00000000-0005-0000-0000-0000F5040000}"/>
    <cellStyle name="20% - Ênfase2 6 21 2" xfId="1940" xr:uid="{00000000-0005-0000-0000-0000F6040000}"/>
    <cellStyle name="20% - Ênfase2 6 22" xfId="1941" xr:uid="{00000000-0005-0000-0000-0000F7040000}"/>
    <cellStyle name="20% - Ênfase2 6 22 2" xfId="1942" xr:uid="{00000000-0005-0000-0000-0000F8040000}"/>
    <cellStyle name="20% - Ênfase2 6 23" xfId="1943" xr:uid="{00000000-0005-0000-0000-0000F9040000}"/>
    <cellStyle name="20% - Ênfase2 6 23 2" xfId="1944" xr:uid="{00000000-0005-0000-0000-0000FA040000}"/>
    <cellStyle name="20% - Ênfase2 6 24" xfId="1945" xr:uid="{00000000-0005-0000-0000-0000FB040000}"/>
    <cellStyle name="20% - Ênfase2 6 24 2" xfId="1946" xr:uid="{00000000-0005-0000-0000-0000FC040000}"/>
    <cellStyle name="20% - Ênfase2 6 25" xfId="1947" xr:uid="{00000000-0005-0000-0000-0000FD040000}"/>
    <cellStyle name="20% - Ênfase2 6 25 2" xfId="1948" xr:uid="{00000000-0005-0000-0000-0000FE040000}"/>
    <cellStyle name="20% - Ênfase2 6 26" xfId="1949" xr:uid="{00000000-0005-0000-0000-0000FF040000}"/>
    <cellStyle name="20% - Ênfase2 6 26 2" xfId="1950" xr:uid="{00000000-0005-0000-0000-000000050000}"/>
    <cellStyle name="20% - Ênfase2 6 27" xfId="1951" xr:uid="{00000000-0005-0000-0000-000001050000}"/>
    <cellStyle name="20% - Ênfase2 6 27 2" xfId="1952" xr:uid="{00000000-0005-0000-0000-000002050000}"/>
    <cellStyle name="20% - Ênfase2 6 28" xfId="1953" xr:uid="{00000000-0005-0000-0000-000003050000}"/>
    <cellStyle name="20% - Ênfase2 6 28 2" xfId="1954" xr:uid="{00000000-0005-0000-0000-000004050000}"/>
    <cellStyle name="20% - Ênfase2 6 29" xfId="1955" xr:uid="{00000000-0005-0000-0000-000005050000}"/>
    <cellStyle name="20% - Ênfase2 6 29 2" xfId="1956" xr:uid="{00000000-0005-0000-0000-000006050000}"/>
    <cellStyle name="20% - Ênfase2 6 3" xfId="1957" xr:uid="{00000000-0005-0000-0000-000007050000}"/>
    <cellStyle name="20% - Ênfase2 6 3 2" xfId="1958" xr:uid="{00000000-0005-0000-0000-000008050000}"/>
    <cellStyle name="20% - Ênfase2 6 3 2 2" xfId="1959" xr:uid="{00000000-0005-0000-0000-000009050000}"/>
    <cellStyle name="20% - Ênfase2 6 3 3" xfId="1960" xr:uid="{00000000-0005-0000-0000-00000A050000}"/>
    <cellStyle name="20% - Ênfase2 6 3 3 2" xfId="1961" xr:uid="{00000000-0005-0000-0000-00000B050000}"/>
    <cellStyle name="20% - Ênfase2 6 3 4" xfId="1962" xr:uid="{00000000-0005-0000-0000-00000C050000}"/>
    <cellStyle name="20% - Ênfase2 6 3 4 2" xfId="1963" xr:uid="{00000000-0005-0000-0000-00000D050000}"/>
    <cellStyle name="20% - Ênfase2 6 3 5" xfId="1964" xr:uid="{00000000-0005-0000-0000-00000E050000}"/>
    <cellStyle name="20% - Ênfase2 6 3 5 2" xfId="1965" xr:uid="{00000000-0005-0000-0000-00000F050000}"/>
    <cellStyle name="20% - Ênfase2 6 3 6" xfId="1966" xr:uid="{00000000-0005-0000-0000-000010050000}"/>
    <cellStyle name="20% - Ênfase2 6 30" xfId="1967" xr:uid="{00000000-0005-0000-0000-000011050000}"/>
    <cellStyle name="20% - Ênfase2 6 30 2" xfId="1968" xr:uid="{00000000-0005-0000-0000-000012050000}"/>
    <cellStyle name="20% - Ênfase2 6 31" xfId="1969" xr:uid="{00000000-0005-0000-0000-000013050000}"/>
    <cellStyle name="20% - Ênfase2 6 31 2" xfId="1970" xr:uid="{00000000-0005-0000-0000-000014050000}"/>
    <cellStyle name="20% - Ênfase2 6 32" xfId="1971" xr:uid="{00000000-0005-0000-0000-000015050000}"/>
    <cellStyle name="20% - Ênfase2 6 32 2" xfId="1972" xr:uid="{00000000-0005-0000-0000-000016050000}"/>
    <cellStyle name="20% - Ênfase2 6 33" xfId="1973" xr:uid="{00000000-0005-0000-0000-000017050000}"/>
    <cellStyle name="20% - Ênfase2 6 33 2" xfId="1974" xr:uid="{00000000-0005-0000-0000-000018050000}"/>
    <cellStyle name="20% - Ênfase2 6 34" xfId="1975" xr:uid="{00000000-0005-0000-0000-000019050000}"/>
    <cellStyle name="20% - Ênfase2 6 34 2" xfId="1976" xr:uid="{00000000-0005-0000-0000-00001A050000}"/>
    <cellStyle name="20% - Ênfase2 6 35" xfId="1977" xr:uid="{00000000-0005-0000-0000-00001B050000}"/>
    <cellStyle name="20% - Ênfase2 6 35 2" xfId="1978" xr:uid="{00000000-0005-0000-0000-00001C050000}"/>
    <cellStyle name="20% - Ênfase2 6 36" xfId="1979" xr:uid="{00000000-0005-0000-0000-00001D050000}"/>
    <cellStyle name="20% - Ênfase2 6 36 2" xfId="1980" xr:uid="{00000000-0005-0000-0000-00001E050000}"/>
    <cellStyle name="20% - Ênfase2 6 37" xfId="1981" xr:uid="{00000000-0005-0000-0000-00001F050000}"/>
    <cellStyle name="20% - Ênfase2 6 4" xfId="1982" xr:uid="{00000000-0005-0000-0000-000020050000}"/>
    <cellStyle name="20% - Ênfase2 6 4 2" xfId="1983" xr:uid="{00000000-0005-0000-0000-000021050000}"/>
    <cellStyle name="20% - Ênfase2 6 4 2 2" xfId="1984" xr:uid="{00000000-0005-0000-0000-000022050000}"/>
    <cellStyle name="20% - Ênfase2 6 4 3" xfId="1985" xr:uid="{00000000-0005-0000-0000-000023050000}"/>
    <cellStyle name="20% - Ênfase2 6 4 3 2" xfId="1986" xr:uid="{00000000-0005-0000-0000-000024050000}"/>
    <cellStyle name="20% - Ênfase2 6 4 4" xfId="1987" xr:uid="{00000000-0005-0000-0000-000025050000}"/>
    <cellStyle name="20% - Ênfase2 6 4 4 2" xfId="1988" xr:uid="{00000000-0005-0000-0000-000026050000}"/>
    <cellStyle name="20% - Ênfase2 6 4 5" xfId="1989" xr:uid="{00000000-0005-0000-0000-000027050000}"/>
    <cellStyle name="20% - Ênfase2 6 4 5 2" xfId="1990" xr:uid="{00000000-0005-0000-0000-000028050000}"/>
    <cellStyle name="20% - Ênfase2 6 4 6" xfId="1991" xr:uid="{00000000-0005-0000-0000-000029050000}"/>
    <cellStyle name="20% - Ênfase2 6 5" xfId="1992" xr:uid="{00000000-0005-0000-0000-00002A050000}"/>
    <cellStyle name="20% - Ênfase2 6 5 2" xfId="1993" xr:uid="{00000000-0005-0000-0000-00002B050000}"/>
    <cellStyle name="20% - Ênfase2 6 6" xfId="1994" xr:uid="{00000000-0005-0000-0000-00002C050000}"/>
    <cellStyle name="20% - Ênfase2 6 6 2" xfId="1995" xr:uid="{00000000-0005-0000-0000-00002D050000}"/>
    <cellStyle name="20% - Ênfase2 6 7" xfId="1996" xr:uid="{00000000-0005-0000-0000-00002E050000}"/>
    <cellStyle name="20% - Ênfase2 6 7 2" xfId="1997" xr:uid="{00000000-0005-0000-0000-00002F050000}"/>
    <cellStyle name="20% - Ênfase2 6 8" xfId="1998" xr:uid="{00000000-0005-0000-0000-000030050000}"/>
    <cellStyle name="20% - Ênfase2 6 8 2" xfId="1999" xr:uid="{00000000-0005-0000-0000-000031050000}"/>
    <cellStyle name="20% - Ênfase2 6 9" xfId="2000" xr:uid="{00000000-0005-0000-0000-000032050000}"/>
    <cellStyle name="20% - Ênfase2 6 9 2" xfId="2001" xr:uid="{00000000-0005-0000-0000-000033050000}"/>
    <cellStyle name="20% - Ênfase2 7" xfId="2002" xr:uid="{00000000-0005-0000-0000-000034050000}"/>
    <cellStyle name="20% - Ênfase2 7 10" xfId="2003" xr:uid="{00000000-0005-0000-0000-000035050000}"/>
    <cellStyle name="20% - Ênfase2 7 10 2" xfId="2004" xr:uid="{00000000-0005-0000-0000-000036050000}"/>
    <cellStyle name="20% - Ênfase2 7 11" xfId="2005" xr:uid="{00000000-0005-0000-0000-000037050000}"/>
    <cellStyle name="20% - Ênfase2 7 11 2" xfId="2006" xr:uid="{00000000-0005-0000-0000-000038050000}"/>
    <cellStyle name="20% - Ênfase2 7 12" xfId="2007" xr:uid="{00000000-0005-0000-0000-000039050000}"/>
    <cellStyle name="20% - Ênfase2 7 12 2" xfId="2008" xr:uid="{00000000-0005-0000-0000-00003A050000}"/>
    <cellStyle name="20% - Ênfase2 7 13" xfId="2009" xr:uid="{00000000-0005-0000-0000-00003B050000}"/>
    <cellStyle name="20% - Ênfase2 7 13 2" xfId="2010" xr:uid="{00000000-0005-0000-0000-00003C050000}"/>
    <cellStyle name="20% - Ênfase2 7 14" xfId="2011" xr:uid="{00000000-0005-0000-0000-00003D050000}"/>
    <cellStyle name="20% - Ênfase2 7 14 2" xfId="2012" xr:uid="{00000000-0005-0000-0000-00003E050000}"/>
    <cellStyle name="20% - Ênfase2 7 15" xfId="2013" xr:uid="{00000000-0005-0000-0000-00003F050000}"/>
    <cellStyle name="20% - Ênfase2 7 15 2" xfId="2014" xr:uid="{00000000-0005-0000-0000-000040050000}"/>
    <cellStyle name="20% - Ênfase2 7 16" xfId="2015" xr:uid="{00000000-0005-0000-0000-000041050000}"/>
    <cellStyle name="20% - Ênfase2 7 16 2" xfId="2016" xr:uid="{00000000-0005-0000-0000-000042050000}"/>
    <cellStyle name="20% - Ênfase2 7 17" xfId="2017" xr:uid="{00000000-0005-0000-0000-000043050000}"/>
    <cellStyle name="20% - Ênfase2 7 17 2" xfId="2018" xr:uid="{00000000-0005-0000-0000-000044050000}"/>
    <cellStyle name="20% - Ênfase2 7 18" xfId="2019" xr:uid="{00000000-0005-0000-0000-000045050000}"/>
    <cellStyle name="20% - Ênfase2 7 18 2" xfId="2020" xr:uid="{00000000-0005-0000-0000-000046050000}"/>
    <cellStyle name="20% - Ênfase2 7 19" xfId="2021" xr:uid="{00000000-0005-0000-0000-000047050000}"/>
    <cellStyle name="20% - Ênfase2 7 19 2" xfId="2022" xr:uid="{00000000-0005-0000-0000-000048050000}"/>
    <cellStyle name="20% - Ênfase2 7 2" xfId="2023" xr:uid="{00000000-0005-0000-0000-000049050000}"/>
    <cellStyle name="20% - Ênfase2 7 2 2" xfId="2024" xr:uid="{00000000-0005-0000-0000-00004A050000}"/>
    <cellStyle name="20% - Ênfase2 7 2 2 2" xfId="2025" xr:uid="{00000000-0005-0000-0000-00004B050000}"/>
    <cellStyle name="20% - Ênfase2 7 2 2 2 2" xfId="26284" xr:uid="{00000000-0005-0000-0000-00004C050000}"/>
    <cellStyle name="20% - Ênfase2 7 2 2 3" xfId="26283" xr:uid="{00000000-0005-0000-0000-00004D050000}"/>
    <cellStyle name="20% - Ênfase2 7 2 3" xfId="2026" xr:uid="{00000000-0005-0000-0000-00004E050000}"/>
    <cellStyle name="20% - Ênfase2 7 2 3 2" xfId="2027" xr:uid="{00000000-0005-0000-0000-00004F050000}"/>
    <cellStyle name="20% - Ênfase2 7 2 4" xfId="2028" xr:uid="{00000000-0005-0000-0000-000050050000}"/>
    <cellStyle name="20% - Ênfase2 7 2 4 2" xfId="2029" xr:uid="{00000000-0005-0000-0000-000051050000}"/>
    <cellStyle name="20% - Ênfase2 7 2 5" xfId="2030" xr:uid="{00000000-0005-0000-0000-000052050000}"/>
    <cellStyle name="20% - Ênfase2 7 2 5 2" xfId="2031" xr:uid="{00000000-0005-0000-0000-000053050000}"/>
    <cellStyle name="20% - Ênfase2 7 2 6" xfId="2032" xr:uid="{00000000-0005-0000-0000-000054050000}"/>
    <cellStyle name="20% - Ênfase2 7 20" xfId="2033" xr:uid="{00000000-0005-0000-0000-000055050000}"/>
    <cellStyle name="20% - Ênfase2 7 20 2" xfId="2034" xr:uid="{00000000-0005-0000-0000-000056050000}"/>
    <cellStyle name="20% - Ênfase2 7 21" xfId="2035" xr:uid="{00000000-0005-0000-0000-000057050000}"/>
    <cellStyle name="20% - Ênfase2 7 21 2" xfId="2036" xr:uid="{00000000-0005-0000-0000-000058050000}"/>
    <cellStyle name="20% - Ênfase2 7 22" xfId="2037" xr:uid="{00000000-0005-0000-0000-000059050000}"/>
    <cellStyle name="20% - Ênfase2 7 22 2" xfId="2038" xr:uid="{00000000-0005-0000-0000-00005A050000}"/>
    <cellStyle name="20% - Ênfase2 7 23" xfId="2039" xr:uid="{00000000-0005-0000-0000-00005B050000}"/>
    <cellStyle name="20% - Ênfase2 7 23 2" xfId="2040" xr:uid="{00000000-0005-0000-0000-00005C050000}"/>
    <cellStyle name="20% - Ênfase2 7 24" xfId="2041" xr:uid="{00000000-0005-0000-0000-00005D050000}"/>
    <cellStyle name="20% - Ênfase2 7 24 2" xfId="2042" xr:uid="{00000000-0005-0000-0000-00005E050000}"/>
    <cellStyle name="20% - Ênfase2 7 25" xfId="2043" xr:uid="{00000000-0005-0000-0000-00005F050000}"/>
    <cellStyle name="20% - Ênfase2 7 25 2" xfId="2044" xr:uid="{00000000-0005-0000-0000-000060050000}"/>
    <cellStyle name="20% - Ênfase2 7 26" xfId="2045" xr:uid="{00000000-0005-0000-0000-000061050000}"/>
    <cellStyle name="20% - Ênfase2 7 26 2" xfId="2046" xr:uid="{00000000-0005-0000-0000-000062050000}"/>
    <cellStyle name="20% - Ênfase2 7 27" xfId="2047" xr:uid="{00000000-0005-0000-0000-000063050000}"/>
    <cellStyle name="20% - Ênfase2 7 27 2" xfId="2048" xr:uid="{00000000-0005-0000-0000-000064050000}"/>
    <cellStyle name="20% - Ênfase2 7 28" xfId="2049" xr:uid="{00000000-0005-0000-0000-000065050000}"/>
    <cellStyle name="20% - Ênfase2 7 28 2" xfId="2050" xr:uid="{00000000-0005-0000-0000-000066050000}"/>
    <cellStyle name="20% - Ênfase2 7 29" xfId="2051" xr:uid="{00000000-0005-0000-0000-000067050000}"/>
    <cellStyle name="20% - Ênfase2 7 29 2" xfId="2052" xr:uid="{00000000-0005-0000-0000-000068050000}"/>
    <cellStyle name="20% - Ênfase2 7 3" xfId="2053" xr:uid="{00000000-0005-0000-0000-000069050000}"/>
    <cellStyle name="20% - Ênfase2 7 3 2" xfId="2054" xr:uid="{00000000-0005-0000-0000-00006A050000}"/>
    <cellStyle name="20% - Ênfase2 7 3 2 2" xfId="2055" xr:uid="{00000000-0005-0000-0000-00006B050000}"/>
    <cellStyle name="20% - Ênfase2 7 3 3" xfId="2056" xr:uid="{00000000-0005-0000-0000-00006C050000}"/>
    <cellStyle name="20% - Ênfase2 7 3 3 2" xfId="2057" xr:uid="{00000000-0005-0000-0000-00006D050000}"/>
    <cellStyle name="20% - Ênfase2 7 3 4" xfId="2058" xr:uid="{00000000-0005-0000-0000-00006E050000}"/>
    <cellStyle name="20% - Ênfase2 7 3 4 2" xfId="2059" xr:uid="{00000000-0005-0000-0000-00006F050000}"/>
    <cellStyle name="20% - Ênfase2 7 3 5" xfId="2060" xr:uid="{00000000-0005-0000-0000-000070050000}"/>
    <cellStyle name="20% - Ênfase2 7 3 5 2" xfId="2061" xr:uid="{00000000-0005-0000-0000-000071050000}"/>
    <cellStyle name="20% - Ênfase2 7 3 6" xfId="2062" xr:uid="{00000000-0005-0000-0000-000072050000}"/>
    <cellStyle name="20% - Ênfase2 7 30" xfId="2063" xr:uid="{00000000-0005-0000-0000-000073050000}"/>
    <cellStyle name="20% - Ênfase2 7 30 2" xfId="2064" xr:uid="{00000000-0005-0000-0000-000074050000}"/>
    <cellStyle name="20% - Ênfase2 7 31" xfId="2065" xr:uid="{00000000-0005-0000-0000-000075050000}"/>
    <cellStyle name="20% - Ênfase2 7 31 2" xfId="2066" xr:uid="{00000000-0005-0000-0000-000076050000}"/>
    <cellStyle name="20% - Ênfase2 7 32" xfId="2067" xr:uid="{00000000-0005-0000-0000-000077050000}"/>
    <cellStyle name="20% - Ênfase2 7 32 2" xfId="2068" xr:uid="{00000000-0005-0000-0000-000078050000}"/>
    <cellStyle name="20% - Ênfase2 7 33" xfId="2069" xr:uid="{00000000-0005-0000-0000-000079050000}"/>
    <cellStyle name="20% - Ênfase2 7 33 2" xfId="2070" xr:uid="{00000000-0005-0000-0000-00007A050000}"/>
    <cellStyle name="20% - Ênfase2 7 34" xfId="2071" xr:uid="{00000000-0005-0000-0000-00007B050000}"/>
    <cellStyle name="20% - Ênfase2 7 34 2" xfId="2072" xr:uid="{00000000-0005-0000-0000-00007C050000}"/>
    <cellStyle name="20% - Ênfase2 7 35" xfId="2073" xr:uid="{00000000-0005-0000-0000-00007D050000}"/>
    <cellStyle name="20% - Ênfase2 7 35 2" xfId="2074" xr:uid="{00000000-0005-0000-0000-00007E050000}"/>
    <cellStyle name="20% - Ênfase2 7 36" xfId="2075" xr:uid="{00000000-0005-0000-0000-00007F050000}"/>
    <cellStyle name="20% - Ênfase2 7 36 2" xfId="2076" xr:uid="{00000000-0005-0000-0000-000080050000}"/>
    <cellStyle name="20% - Ênfase2 7 37" xfId="2077" xr:uid="{00000000-0005-0000-0000-000081050000}"/>
    <cellStyle name="20% - Ênfase2 7 4" xfId="2078" xr:uid="{00000000-0005-0000-0000-000082050000}"/>
    <cellStyle name="20% - Ênfase2 7 4 2" xfId="2079" xr:uid="{00000000-0005-0000-0000-000083050000}"/>
    <cellStyle name="20% - Ênfase2 7 4 2 2" xfId="2080" xr:uid="{00000000-0005-0000-0000-000084050000}"/>
    <cellStyle name="20% - Ênfase2 7 4 3" xfId="2081" xr:uid="{00000000-0005-0000-0000-000085050000}"/>
    <cellStyle name="20% - Ênfase2 7 4 3 2" xfId="2082" xr:uid="{00000000-0005-0000-0000-000086050000}"/>
    <cellStyle name="20% - Ênfase2 7 4 4" xfId="2083" xr:uid="{00000000-0005-0000-0000-000087050000}"/>
    <cellStyle name="20% - Ênfase2 7 4 4 2" xfId="2084" xr:uid="{00000000-0005-0000-0000-000088050000}"/>
    <cellStyle name="20% - Ênfase2 7 4 5" xfId="2085" xr:uid="{00000000-0005-0000-0000-000089050000}"/>
    <cellStyle name="20% - Ênfase2 7 4 5 2" xfId="2086" xr:uid="{00000000-0005-0000-0000-00008A050000}"/>
    <cellStyle name="20% - Ênfase2 7 4 6" xfId="2087" xr:uid="{00000000-0005-0000-0000-00008B050000}"/>
    <cellStyle name="20% - Ênfase2 7 5" xfId="2088" xr:uid="{00000000-0005-0000-0000-00008C050000}"/>
    <cellStyle name="20% - Ênfase2 7 5 2" xfId="2089" xr:uid="{00000000-0005-0000-0000-00008D050000}"/>
    <cellStyle name="20% - Ênfase2 7 6" xfId="2090" xr:uid="{00000000-0005-0000-0000-00008E050000}"/>
    <cellStyle name="20% - Ênfase2 7 6 2" xfId="2091" xr:uid="{00000000-0005-0000-0000-00008F050000}"/>
    <cellStyle name="20% - Ênfase2 7 7" xfId="2092" xr:uid="{00000000-0005-0000-0000-000090050000}"/>
    <cellStyle name="20% - Ênfase2 7 7 2" xfId="2093" xr:uid="{00000000-0005-0000-0000-000091050000}"/>
    <cellStyle name="20% - Ênfase2 7 8" xfId="2094" xr:uid="{00000000-0005-0000-0000-000092050000}"/>
    <cellStyle name="20% - Ênfase2 7 8 2" xfId="2095" xr:uid="{00000000-0005-0000-0000-000093050000}"/>
    <cellStyle name="20% - Ênfase2 7 9" xfId="2096" xr:uid="{00000000-0005-0000-0000-000094050000}"/>
    <cellStyle name="20% - Ênfase2 7 9 2" xfId="2097" xr:uid="{00000000-0005-0000-0000-000095050000}"/>
    <cellStyle name="20% - Ênfase2 8" xfId="2098" xr:uid="{00000000-0005-0000-0000-000096050000}"/>
    <cellStyle name="20% - Ênfase2 8 10" xfId="2099" xr:uid="{00000000-0005-0000-0000-000097050000}"/>
    <cellStyle name="20% - Ênfase2 8 10 2" xfId="2100" xr:uid="{00000000-0005-0000-0000-000098050000}"/>
    <cellStyle name="20% - Ênfase2 8 2" xfId="2101" xr:uid="{00000000-0005-0000-0000-000099050000}"/>
    <cellStyle name="20% - Ênfase2 8 2 2" xfId="2102" xr:uid="{00000000-0005-0000-0000-00009A050000}"/>
    <cellStyle name="20% - Ênfase2 8 2 2 2" xfId="25170" xr:uid="{00000000-0005-0000-0000-00009B050000}"/>
    <cellStyle name="20% - Ênfase2 8 2 2 2 2" xfId="26287" xr:uid="{00000000-0005-0000-0000-00009C050000}"/>
    <cellStyle name="20% - Ênfase2 8 2 2 3" xfId="26286" xr:uid="{00000000-0005-0000-0000-00009D050000}"/>
    <cellStyle name="20% - Ênfase2 8 2 3" xfId="25171" xr:uid="{00000000-0005-0000-0000-00009E050000}"/>
    <cellStyle name="20% - Ênfase2 8 2 3 2" xfId="26288" xr:uid="{00000000-0005-0000-0000-00009F050000}"/>
    <cellStyle name="20% - Ênfase2 8 2 4" xfId="26285" xr:uid="{00000000-0005-0000-0000-0000A0050000}"/>
    <cellStyle name="20% - Ênfase2 8 3" xfId="2103" xr:uid="{00000000-0005-0000-0000-0000A1050000}"/>
    <cellStyle name="20% - Ênfase2 8 3 2" xfId="2104" xr:uid="{00000000-0005-0000-0000-0000A2050000}"/>
    <cellStyle name="20% - Ênfase2 8 3 2 2" xfId="26290" xr:uid="{00000000-0005-0000-0000-0000A3050000}"/>
    <cellStyle name="20% - Ênfase2 8 3 3" xfId="26289" xr:uid="{00000000-0005-0000-0000-0000A4050000}"/>
    <cellStyle name="20% - Ênfase2 8 4" xfId="2105" xr:uid="{00000000-0005-0000-0000-0000A5050000}"/>
    <cellStyle name="20% - Ênfase2 8 4 2" xfId="2106" xr:uid="{00000000-0005-0000-0000-0000A6050000}"/>
    <cellStyle name="20% - Ênfase2 8 5" xfId="2107" xr:uid="{00000000-0005-0000-0000-0000A7050000}"/>
    <cellStyle name="20% - Ênfase2 8 5 2" xfId="2108" xr:uid="{00000000-0005-0000-0000-0000A8050000}"/>
    <cellStyle name="20% - Ênfase2 8 6" xfId="2109" xr:uid="{00000000-0005-0000-0000-0000A9050000}"/>
    <cellStyle name="20% - Ênfase2 8 6 2" xfId="2110" xr:uid="{00000000-0005-0000-0000-0000AA050000}"/>
    <cellStyle name="20% - Ênfase2 8 7" xfId="2111" xr:uid="{00000000-0005-0000-0000-0000AB050000}"/>
    <cellStyle name="20% - Ênfase2 8 7 2" xfId="2112" xr:uid="{00000000-0005-0000-0000-0000AC050000}"/>
    <cellStyle name="20% - Ênfase2 8 8" xfId="2113" xr:uid="{00000000-0005-0000-0000-0000AD050000}"/>
    <cellStyle name="20% - Ênfase2 8 8 2" xfId="2114" xr:uid="{00000000-0005-0000-0000-0000AE050000}"/>
    <cellStyle name="20% - Ênfase2 8 9" xfId="2115" xr:uid="{00000000-0005-0000-0000-0000AF050000}"/>
    <cellStyle name="20% - Ênfase2 8 9 2" xfId="2116" xr:uid="{00000000-0005-0000-0000-0000B0050000}"/>
    <cellStyle name="20% - Ênfase2 9" xfId="2117" xr:uid="{00000000-0005-0000-0000-0000B1050000}"/>
    <cellStyle name="20% - Ênfase2 9 10" xfId="2118" xr:uid="{00000000-0005-0000-0000-0000B2050000}"/>
    <cellStyle name="20% - Ênfase2 9 10 2" xfId="2119" xr:uid="{00000000-0005-0000-0000-0000B3050000}"/>
    <cellStyle name="20% - Ênfase2 9 11" xfId="2120" xr:uid="{00000000-0005-0000-0000-0000B4050000}"/>
    <cellStyle name="20% - Ênfase2 9 12" xfId="2121" xr:uid="{00000000-0005-0000-0000-0000B5050000}"/>
    <cellStyle name="20% - Ênfase2 9 2" xfId="2122" xr:uid="{00000000-0005-0000-0000-0000B6050000}"/>
    <cellStyle name="20% - Ênfase2 9 2 2" xfId="2123" xr:uid="{00000000-0005-0000-0000-0000B7050000}"/>
    <cellStyle name="20% - Ênfase2 9 2 2 2" xfId="26292" xr:uid="{00000000-0005-0000-0000-0000B8050000}"/>
    <cellStyle name="20% - Ênfase2 9 2 3" xfId="26291" xr:uid="{00000000-0005-0000-0000-0000B9050000}"/>
    <cellStyle name="20% - Ênfase2 9 3" xfId="2124" xr:uid="{00000000-0005-0000-0000-0000BA050000}"/>
    <cellStyle name="20% - Ênfase2 9 3 2" xfId="2125" xr:uid="{00000000-0005-0000-0000-0000BB050000}"/>
    <cellStyle name="20% - Ênfase2 9 4" xfId="2126" xr:uid="{00000000-0005-0000-0000-0000BC050000}"/>
    <cellStyle name="20% - Ênfase2 9 4 2" xfId="2127" xr:uid="{00000000-0005-0000-0000-0000BD050000}"/>
    <cellStyle name="20% - Ênfase2 9 5" xfId="2128" xr:uid="{00000000-0005-0000-0000-0000BE050000}"/>
    <cellStyle name="20% - Ênfase2 9 5 2" xfId="2129" xr:uid="{00000000-0005-0000-0000-0000BF050000}"/>
    <cellStyle name="20% - Ênfase2 9 6" xfId="2130" xr:uid="{00000000-0005-0000-0000-0000C0050000}"/>
    <cellStyle name="20% - Ênfase2 9 6 2" xfId="2131" xr:uid="{00000000-0005-0000-0000-0000C1050000}"/>
    <cellStyle name="20% - Ênfase2 9 7" xfId="2132" xr:uid="{00000000-0005-0000-0000-0000C2050000}"/>
    <cellStyle name="20% - Ênfase2 9 7 2" xfId="2133" xr:uid="{00000000-0005-0000-0000-0000C3050000}"/>
    <cellStyle name="20% - Ênfase2 9 8" xfId="2134" xr:uid="{00000000-0005-0000-0000-0000C4050000}"/>
    <cellStyle name="20% - Ênfase2 9 8 2" xfId="2135" xr:uid="{00000000-0005-0000-0000-0000C5050000}"/>
    <cellStyle name="20% - Ênfase2 9 9" xfId="2136" xr:uid="{00000000-0005-0000-0000-0000C6050000}"/>
    <cellStyle name="20% - Ênfase2 9 9 2" xfId="2137" xr:uid="{00000000-0005-0000-0000-0000C7050000}"/>
    <cellStyle name="20% - Ênfase3" xfId="17" builtinId="38" customBuiltin="1"/>
    <cellStyle name="20% - Ênfase3 10" xfId="2138" xr:uid="{00000000-0005-0000-0000-0000C9050000}"/>
    <cellStyle name="20% - Ênfase3 10 2" xfId="2139" xr:uid="{00000000-0005-0000-0000-0000CA050000}"/>
    <cellStyle name="20% - Ênfase3 10 2 2" xfId="2140" xr:uid="{00000000-0005-0000-0000-0000CB050000}"/>
    <cellStyle name="20% - Ênfase3 10 2 2 2" xfId="26294" xr:uid="{00000000-0005-0000-0000-0000CC050000}"/>
    <cellStyle name="20% - Ênfase3 10 2 3" xfId="26293" xr:uid="{00000000-0005-0000-0000-0000CD050000}"/>
    <cellStyle name="20% - Ênfase3 10 3" xfId="2141" xr:uid="{00000000-0005-0000-0000-0000CE050000}"/>
    <cellStyle name="20% - Ênfase3 10 3 2" xfId="2142" xr:uid="{00000000-0005-0000-0000-0000CF050000}"/>
    <cellStyle name="20% - Ênfase3 10 4" xfId="2143" xr:uid="{00000000-0005-0000-0000-0000D0050000}"/>
    <cellStyle name="20% - Ênfase3 10 4 2" xfId="2144" xr:uid="{00000000-0005-0000-0000-0000D1050000}"/>
    <cellStyle name="20% - Ênfase3 10 5" xfId="2145" xr:uid="{00000000-0005-0000-0000-0000D2050000}"/>
    <cellStyle name="20% - Ênfase3 10 5 2" xfId="2146" xr:uid="{00000000-0005-0000-0000-0000D3050000}"/>
    <cellStyle name="20% - Ênfase3 10 6" xfId="2147" xr:uid="{00000000-0005-0000-0000-0000D4050000}"/>
    <cellStyle name="20% - Ênfase3 11" xfId="2148" xr:uid="{00000000-0005-0000-0000-0000D5050000}"/>
    <cellStyle name="20% - Ênfase3 11 2" xfId="2149" xr:uid="{00000000-0005-0000-0000-0000D6050000}"/>
    <cellStyle name="20% - Ênfase3 11 2 2" xfId="2150" xr:uid="{00000000-0005-0000-0000-0000D7050000}"/>
    <cellStyle name="20% - Ênfase3 11 2 3" xfId="26295" xr:uid="{00000000-0005-0000-0000-0000D8050000}"/>
    <cellStyle name="20% - Ênfase3 11 3" xfId="2151" xr:uid="{00000000-0005-0000-0000-0000D9050000}"/>
    <cellStyle name="20% - Ênfase3 11 3 2" xfId="2152" xr:uid="{00000000-0005-0000-0000-0000DA050000}"/>
    <cellStyle name="20% - Ênfase3 11 4" xfId="2153" xr:uid="{00000000-0005-0000-0000-0000DB050000}"/>
    <cellStyle name="20% - Ênfase3 11 4 2" xfId="2154" xr:uid="{00000000-0005-0000-0000-0000DC050000}"/>
    <cellStyle name="20% - Ênfase3 11 5" xfId="2155" xr:uid="{00000000-0005-0000-0000-0000DD050000}"/>
    <cellStyle name="20% - Ênfase3 11 5 2" xfId="2156" xr:uid="{00000000-0005-0000-0000-0000DE050000}"/>
    <cellStyle name="20% - Ênfase3 11 6" xfId="2157" xr:uid="{00000000-0005-0000-0000-0000DF050000}"/>
    <cellStyle name="20% - Ênfase3 11 7" xfId="25172" xr:uid="{00000000-0005-0000-0000-0000E0050000}"/>
    <cellStyle name="20% - Ênfase3 12" xfId="2158" xr:uid="{00000000-0005-0000-0000-0000E1050000}"/>
    <cellStyle name="20% - Ênfase3 12 2" xfId="2159" xr:uid="{00000000-0005-0000-0000-0000E2050000}"/>
    <cellStyle name="20% - Ênfase3 12 2 2" xfId="2160" xr:uid="{00000000-0005-0000-0000-0000E3050000}"/>
    <cellStyle name="20% - Ênfase3 12 2 2 2" xfId="26297" xr:uid="{00000000-0005-0000-0000-0000E4050000}"/>
    <cellStyle name="20% - Ênfase3 12 2 3" xfId="26296" xr:uid="{00000000-0005-0000-0000-0000E5050000}"/>
    <cellStyle name="20% - Ênfase3 12 3" xfId="2161" xr:uid="{00000000-0005-0000-0000-0000E6050000}"/>
    <cellStyle name="20% - Ênfase3 12 3 2" xfId="2162" xr:uid="{00000000-0005-0000-0000-0000E7050000}"/>
    <cellStyle name="20% - Ênfase3 12 4" xfId="2163" xr:uid="{00000000-0005-0000-0000-0000E8050000}"/>
    <cellStyle name="20% - Ênfase3 12 4 2" xfId="2164" xr:uid="{00000000-0005-0000-0000-0000E9050000}"/>
    <cellStyle name="20% - Ênfase3 12 5" xfId="2165" xr:uid="{00000000-0005-0000-0000-0000EA050000}"/>
    <cellStyle name="20% - Ênfase3 12 5 2" xfId="2166" xr:uid="{00000000-0005-0000-0000-0000EB050000}"/>
    <cellStyle name="20% - Ênfase3 12 6" xfId="2167" xr:uid="{00000000-0005-0000-0000-0000EC050000}"/>
    <cellStyle name="20% - Ênfase3 13" xfId="2168" xr:uid="{00000000-0005-0000-0000-0000ED050000}"/>
    <cellStyle name="20% - Ênfase3 13 2" xfId="2169" xr:uid="{00000000-0005-0000-0000-0000EE050000}"/>
    <cellStyle name="20% - Ênfase3 14" xfId="2170" xr:uid="{00000000-0005-0000-0000-0000EF050000}"/>
    <cellStyle name="20% - Ênfase3 14 2" xfId="2171" xr:uid="{00000000-0005-0000-0000-0000F0050000}"/>
    <cellStyle name="20% - Ênfase3 15" xfId="2172" xr:uid="{00000000-0005-0000-0000-0000F1050000}"/>
    <cellStyle name="20% - Ênfase3 15 2" xfId="2173" xr:uid="{00000000-0005-0000-0000-0000F2050000}"/>
    <cellStyle name="20% - Ênfase3 16" xfId="2174" xr:uid="{00000000-0005-0000-0000-0000F3050000}"/>
    <cellStyle name="20% - Ênfase3 16 2" xfId="2175" xr:uid="{00000000-0005-0000-0000-0000F4050000}"/>
    <cellStyle name="20% - Ênfase3 17" xfId="2176" xr:uid="{00000000-0005-0000-0000-0000F5050000}"/>
    <cellStyle name="20% - Ênfase3 17 2" xfId="2177" xr:uid="{00000000-0005-0000-0000-0000F6050000}"/>
    <cellStyle name="20% - Ênfase3 18" xfId="2178" xr:uid="{00000000-0005-0000-0000-0000F7050000}"/>
    <cellStyle name="20% - Ênfase3 18 2" xfId="2179" xr:uid="{00000000-0005-0000-0000-0000F8050000}"/>
    <cellStyle name="20% - Ênfase3 19" xfId="2180" xr:uid="{00000000-0005-0000-0000-0000F9050000}"/>
    <cellStyle name="20% - Ênfase3 19 2" xfId="2181" xr:uid="{00000000-0005-0000-0000-0000FA050000}"/>
    <cellStyle name="20% - Ênfase3 2" xfId="2182" xr:uid="{00000000-0005-0000-0000-0000FB050000}"/>
    <cellStyle name="20% - Ênfase3 2 2" xfId="2183" xr:uid="{00000000-0005-0000-0000-0000FC050000}"/>
    <cellStyle name="20% - Ênfase3 2 2 10" xfId="2184" xr:uid="{00000000-0005-0000-0000-0000FD050000}"/>
    <cellStyle name="20% - Ênfase3 2 2 10 2" xfId="2185" xr:uid="{00000000-0005-0000-0000-0000FE050000}"/>
    <cellStyle name="20% - Ênfase3 2 2 11" xfId="2186" xr:uid="{00000000-0005-0000-0000-0000FF050000}"/>
    <cellStyle name="20% - Ênfase3 2 2 11 2" xfId="2187" xr:uid="{00000000-0005-0000-0000-000000060000}"/>
    <cellStyle name="20% - Ênfase3 2 2 12" xfId="2188" xr:uid="{00000000-0005-0000-0000-000001060000}"/>
    <cellStyle name="20% - Ênfase3 2 2 12 2" xfId="2189" xr:uid="{00000000-0005-0000-0000-000002060000}"/>
    <cellStyle name="20% - Ênfase3 2 2 2" xfId="2190" xr:uid="{00000000-0005-0000-0000-000003060000}"/>
    <cellStyle name="20% - Ênfase3 2 2 2 10" xfId="2191" xr:uid="{00000000-0005-0000-0000-000004060000}"/>
    <cellStyle name="20% - Ênfase3 2 2 2 11" xfId="2192" xr:uid="{00000000-0005-0000-0000-000005060000}"/>
    <cellStyle name="20% - Ênfase3 2 2 2 2" xfId="2193" xr:uid="{00000000-0005-0000-0000-000006060000}"/>
    <cellStyle name="20% - Ênfase3 2 2 2 2 2" xfId="25174" xr:uid="{00000000-0005-0000-0000-000007060000}"/>
    <cellStyle name="20% - Ênfase3 2 2 2 2 2 2" xfId="26302" xr:uid="{00000000-0005-0000-0000-000008060000}"/>
    <cellStyle name="20% - Ênfase3 2 2 2 2 3" xfId="26301" xr:uid="{00000000-0005-0000-0000-000009060000}"/>
    <cellStyle name="20% - Ênfase3 2 2 2 2 4" xfId="25173" xr:uid="{00000000-0005-0000-0000-00000A060000}"/>
    <cellStyle name="20% - Ênfase3 2 2 2 3" xfId="2194" xr:uid="{00000000-0005-0000-0000-00000B060000}"/>
    <cellStyle name="20% - Ênfase3 2 2 2 3 2" xfId="26303" xr:uid="{00000000-0005-0000-0000-00000C060000}"/>
    <cellStyle name="20% - Ênfase3 2 2 2 3 3" xfId="25175" xr:uid="{00000000-0005-0000-0000-00000D060000}"/>
    <cellStyle name="20% - Ênfase3 2 2 2 4" xfId="2195" xr:uid="{00000000-0005-0000-0000-00000E060000}"/>
    <cellStyle name="20% - Ênfase3 2 2 2 4 2" xfId="26300" xr:uid="{00000000-0005-0000-0000-00000F060000}"/>
    <cellStyle name="20% - Ênfase3 2 2 2 5" xfId="2196" xr:uid="{00000000-0005-0000-0000-000010060000}"/>
    <cellStyle name="20% - Ênfase3 2 2 2 6" xfId="2197" xr:uid="{00000000-0005-0000-0000-000011060000}"/>
    <cellStyle name="20% - Ênfase3 2 2 2 7" xfId="2198" xr:uid="{00000000-0005-0000-0000-000012060000}"/>
    <cellStyle name="20% - Ênfase3 2 2 2 8" xfId="2199" xr:uid="{00000000-0005-0000-0000-000013060000}"/>
    <cellStyle name="20% - Ênfase3 2 2 2 9" xfId="2200" xr:uid="{00000000-0005-0000-0000-000014060000}"/>
    <cellStyle name="20% - Ênfase3 2 2 3" xfId="2201" xr:uid="{00000000-0005-0000-0000-000015060000}"/>
    <cellStyle name="20% - Ênfase3 2 2 3 2" xfId="25177" xr:uid="{00000000-0005-0000-0000-000016060000}"/>
    <cellStyle name="20% - Ênfase3 2 2 3 2 2" xfId="25178" xr:uid="{00000000-0005-0000-0000-000017060000}"/>
    <cellStyle name="20% - Ênfase3 2 2 3 2 2 2" xfId="26306" xr:uid="{00000000-0005-0000-0000-000018060000}"/>
    <cellStyle name="20% - Ênfase3 2 2 3 2 3" xfId="26305" xr:uid="{00000000-0005-0000-0000-000019060000}"/>
    <cellStyle name="20% - Ênfase3 2 2 3 3" xfId="25179" xr:uid="{00000000-0005-0000-0000-00001A060000}"/>
    <cellStyle name="20% - Ênfase3 2 2 3 3 2" xfId="26307" xr:uid="{00000000-0005-0000-0000-00001B060000}"/>
    <cellStyle name="20% - Ênfase3 2 2 3 4" xfId="26304" xr:uid="{00000000-0005-0000-0000-00001C060000}"/>
    <cellStyle name="20% - Ênfase3 2 2 3 5" xfId="25176" xr:uid="{00000000-0005-0000-0000-00001D060000}"/>
    <cellStyle name="20% - Ênfase3 2 2 4" xfId="2202" xr:uid="{00000000-0005-0000-0000-00001E060000}"/>
    <cellStyle name="20% - Ênfase3 2 2 4 2" xfId="26308" xr:uid="{00000000-0005-0000-0000-00001F060000}"/>
    <cellStyle name="20% - Ênfase3 2 2 4 3" xfId="25180" xr:uid="{00000000-0005-0000-0000-000020060000}"/>
    <cellStyle name="20% - Ênfase3 2 2 5" xfId="2203" xr:uid="{00000000-0005-0000-0000-000021060000}"/>
    <cellStyle name="20% - Ênfase3 2 2 5 2" xfId="2204" xr:uid="{00000000-0005-0000-0000-000022060000}"/>
    <cellStyle name="20% - Ênfase3 2 2 5 3" xfId="26299" xr:uid="{00000000-0005-0000-0000-000023060000}"/>
    <cellStyle name="20% - Ênfase3 2 2 6" xfId="2205" xr:uid="{00000000-0005-0000-0000-000024060000}"/>
    <cellStyle name="20% - Ênfase3 2 2 6 2" xfId="2206" xr:uid="{00000000-0005-0000-0000-000025060000}"/>
    <cellStyle name="20% - Ênfase3 2 2 7" xfId="2207" xr:uid="{00000000-0005-0000-0000-000026060000}"/>
    <cellStyle name="20% - Ênfase3 2 2 7 2" xfId="2208" xr:uid="{00000000-0005-0000-0000-000027060000}"/>
    <cellStyle name="20% - Ênfase3 2 2 8" xfId="2209" xr:uid="{00000000-0005-0000-0000-000028060000}"/>
    <cellStyle name="20% - Ênfase3 2 2 8 2" xfId="2210" xr:uid="{00000000-0005-0000-0000-000029060000}"/>
    <cellStyle name="20% - Ênfase3 2 2 9" xfId="2211" xr:uid="{00000000-0005-0000-0000-00002A060000}"/>
    <cellStyle name="20% - Ênfase3 2 2 9 2" xfId="2212" xr:uid="{00000000-0005-0000-0000-00002B060000}"/>
    <cellStyle name="20% - Ênfase3 2 3" xfId="2213" xr:uid="{00000000-0005-0000-0000-00002C060000}"/>
    <cellStyle name="20% - Ênfase3 2 3 2" xfId="25182" xr:uid="{00000000-0005-0000-0000-00002D060000}"/>
    <cellStyle name="20% - Ênfase3 2 3 2 2" xfId="25183" xr:uid="{00000000-0005-0000-0000-00002E060000}"/>
    <cellStyle name="20% - Ênfase3 2 3 2 2 2" xfId="26311" xr:uid="{00000000-0005-0000-0000-00002F060000}"/>
    <cellStyle name="20% - Ênfase3 2 3 2 3" xfId="26310" xr:uid="{00000000-0005-0000-0000-000030060000}"/>
    <cellStyle name="20% - Ênfase3 2 3 3" xfId="25184" xr:uid="{00000000-0005-0000-0000-000031060000}"/>
    <cellStyle name="20% - Ênfase3 2 3 3 2" xfId="26312" xr:uid="{00000000-0005-0000-0000-000032060000}"/>
    <cellStyle name="20% - Ênfase3 2 3 4" xfId="26309" xr:uid="{00000000-0005-0000-0000-000033060000}"/>
    <cellStyle name="20% - Ênfase3 2 3 5" xfId="25181" xr:uid="{00000000-0005-0000-0000-000034060000}"/>
    <cellStyle name="20% - Ênfase3 2 4" xfId="2214" xr:uid="{00000000-0005-0000-0000-000035060000}"/>
    <cellStyle name="20% - Ênfase3 2 4 2" xfId="25186" xr:uid="{00000000-0005-0000-0000-000036060000}"/>
    <cellStyle name="20% - Ênfase3 2 4 2 2" xfId="25187" xr:uid="{00000000-0005-0000-0000-000037060000}"/>
    <cellStyle name="20% - Ênfase3 2 4 2 2 2" xfId="26315" xr:uid="{00000000-0005-0000-0000-000038060000}"/>
    <cellStyle name="20% - Ênfase3 2 4 2 3" xfId="26314" xr:uid="{00000000-0005-0000-0000-000039060000}"/>
    <cellStyle name="20% - Ênfase3 2 4 3" xfId="25188" xr:uid="{00000000-0005-0000-0000-00003A060000}"/>
    <cellStyle name="20% - Ênfase3 2 4 3 2" xfId="26316" xr:uid="{00000000-0005-0000-0000-00003B060000}"/>
    <cellStyle name="20% - Ênfase3 2 4 4" xfId="26313" xr:uid="{00000000-0005-0000-0000-00003C060000}"/>
    <cellStyle name="20% - Ênfase3 2 4 5" xfId="25185" xr:uid="{00000000-0005-0000-0000-00003D060000}"/>
    <cellStyle name="20% - Ênfase3 2 5" xfId="2215" xr:uid="{00000000-0005-0000-0000-00003E060000}"/>
    <cellStyle name="20% - Ênfase3 2 5 10" xfId="2216" xr:uid="{00000000-0005-0000-0000-00003F060000}"/>
    <cellStyle name="20% - Ênfase3 2 5 10 2" xfId="2217" xr:uid="{00000000-0005-0000-0000-000040060000}"/>
    <cellStyle name="20% - Ênfase3 2 5 2" xfId="2218" xr:uid="{00000000-0005-0000-0000-000041060000}"/>
    <cellStyle name="20% - Ênfase3 2 5 2 2" xfId="2219" xr:uid="{00000000-0005-0000-0000-000042060000}"/>
    <cellStyle name="20% - Ênfase3 2 5 3" xfId="2220" xr:uid="{00000000-0005-0000-0000-000043060000}"/>
    <cellStyle name="20% - Ênfase3 2 5 3 2" xfId="2221" xr:uid="{00000000-0005-0000-0000-000044060000}"/>
    <cellStyle name="20% - Ênfase3 2 5 4" xfId="2222" xr:uid="{00000000-0005-0000-0000-000045060000}"/>
    <cellStyle name="20% - Ênfase3 2 5 4 2" xfId="2223" xr:uid="{00000000-0005-0000-0000-000046060000}"/>
    <cellStyle name="20% - Ênfase3 2 5 5" xfId="2224" xr:uid="{00000000-0005-0000-0000-000047060000}"/>
    <cellStyle name="20% - Ênfase3 2 5 5 2" xfId="2225" xr:uid="{00000000-0005-0000-0000-000048060000}"/>
    <cellStyle name="20% - Ênfase3 2 5 6" xfId="2226" xr:uid="{00000000-0005-0000-0000-000049060000}"/>
    <cellStyle name="20% - Ênfase3 2 5 6 2" xfId="2227" xr:uid="{00000000-0005-0000-0000-00004A060000}"/>
    <cellStyle name="20% - Ênfase3 2 5 7" xfId="2228" xr:uid="{00000000-0005-0000-0000-00004B060000}"/>
    <cellStyle name="20% - Ênfase3 2 5 7 2" xfId="2229" xr:uid="{00000000-0005-0000-0000-00004C060000}"/>
    <cellStyle name="20% - Ênfase3 2 5 8" xfId="2230" xr:uid="{00000000-0005-0000-0000-00004D060000}"/>
    <cellStyle name="20% - Ênfase3 2 5 8 2" xfId="2231" xr:uid="{00000000-0005-0000-0000-00004E060000}"/>
    <cellStyle name="20% - Ênfase3 2 5 9" xfId="2232" xr:uid="{00000000-0005-0000-0000-00004F060000}"/>
    <cellStyle name="20% - Ênfase3 2 5 9 2" xfId="2233" xr:uid="{00000000-0005-0000-0000-000050060000}"/>
    <cellStyle name="20% - Ênfase3 2 6" xfId="2234" xr:uid="{00000000-0005-0000-0000-000051060000}"/>
    <cellStyle name="20% - Ênfase3 2 6 2" xfId="2235" xr:uid="{00000000-0005-0000-0000-000052060000}"/>
    <cellStyle name="20% - Ênfase3 2 6 2 2" xfId="2236" xr:uid="{00000000-0005-0000-0000-000053060000}"/>
    <cellStyle name="20% - Ênfase3 2 6 3" xfId="2237" xr:uid="{00000000-0005-0000-0000-000054060000}"/>
    <cellStyle name="20% - Ênfase3 2 6 3 2" xfId="2238" xr:uid="{00000000-0005-0000-0000-000055060000}"/>
    <cellStyle name="20% - Ênfase3 2 6 4" xfId="2239" xr:uid="{00000000-0005-0000-0000-000056060000}"/>
    <cellStyle name="20% - Ênfase3 2 6 4 2" xfId="2240" xr:uid="{00000000-0005-0000-0000-000057060000}"/>
    <cellStyle name="20% - Ênfase3 2 6 5" xfId="2241" xr:uid="{00000000-0005-0000-0000-000058060000}"/>
    <cellStyle name="20% - Ênfase3 2 6 5 2" xfId="2242" xr:uid="{00000000-0005-0000-0000-000059060000}"/>
    <cellStyle name="20% - Ênfase3 2 6 6" xfId="2243" xr:uid="{00000000-0005-0000-0000-00005A060000}"/>
    <cellStyle name="20% - Ênfase3 2 7" xfId="26298" xr:uid="{00000000-0005-0000-0000-00005B060000}"/>
    <cellStyle name="20% - Ênfase3 20" xfId="2244" xr:uid="{00000000-0005-0000-0000-00005C060000}"/>
    <cellStyle name="20% - Ênfase3 20 2" xfId="2245" xr:uid="{00000000-0005-0000-0000-00005D060000}"/>
    <cellStyle name="20% - Ênfase3 21" xfId="2246" xr:uid="{00000000-0005-0000-0000-00005E060000}"/>
    <cellStyle name="20% - Ênfase3 21 2" xfId="2247" xr:uid="{00000000-0005-0000-0000-00005F060000}"/>
    <cellStyle name="20% - Ênfase3 22" xfId="2248" xr:uid="{00000000-0005-0000-0000-000060060000}"/>
    <cellStyle name="20% - Ênfase3 22 2" xfId="2249" xr:uid="{00000000-0005-0000-0000-000061060000}"/>
    <cellStyle name="20% - Ênfase3 23" xfId="2250" xr:uid="{00000000-0005-0000-0000-000062060000}"/>
    <cellStyle name="20% - Ênfase3 23 2" xfId="2251" xr:uid="{00000000-0005-0000-0000-000063060000}"/>
    <cellStyle name="20% - Ênfase3 24" xfId="2252" xr:uid="{00000000-0005-0000-0000-000064060000}"/>
    <cellStyle name="20% - Ênfase3 24 2" xfId="2253" xr:uid="{00000000-0005-0000-0000-000065060000}"/>
    <cellStyle name="20% - Ênfase3 25" xfId="2254" xr:uid="{00000000-0005-0000-0000-000066060000}"/>
    <cellStyle name="20% - Ênfase3 25 2" xfId="2255" xr:uid="{00000000-0005-0000-0000-000067060000}"/>
    <cellStyle name="20% - Ênfase3 26" xfId="2256" xr:uid="{00000000-0005-0000-0000-000068060000}"/>
    <cellStyle name="20% - Ênfase3 26 2" xfId="2257" xr:uid="{00000000-0005-0000-0000-000069060000}"/>
    <cellStyle name="20% - Ênfase3 27" xfId="2258" xr:uid="{00000000-0005-0000-0000-00006A060000}"/>
    <cellStyle name="20% - Ênfase3 27 2" xfId="2259" xr:uid="{00000000-0005-0000-0000-00006B060000}"/>
    <cellStyle name="20% - Ênfase3 28" xfId="2260" xr:uid="{00000000-0005-0000-0000-00006C060000}"/>
    <cellStyle name="20% - Ênfase3 28 2" xfId="2261" xr:uid="{00000000-0005-0000-0000-00006D060000}"/>
    <cellStyle name="20% - Ênfase3 29" xfId="2262" xr:uid="{00000000-0005-0000-0000-00006E060000}"/>
    <cellStyle name="20% - Ênfase3 29 2" xfId="2263" xr:uid="{00000000-0005-0000-0000-00006F060000}"/>
    <cellStyle name="20% - Ênfase3 3" xfId="2264" xr:uid="{00000000-0005-0000-0000-000070060000}"/>
    <cellStyle name="20% - Ênfase3 3 2" xfId="2265" xr:uid="{00000000-0005-0000-0000-000071060000}"/>
    <cellStyle name="20% - Ênfase3 3 2 10" xfId="2266" xr:uid="{00000000-0005-0000-0000-000072060000}"/>
    <cellStyle name="20% - Ênfase3 3 2 10 2" xfId="2267" xr:uid="{00000000-0005-0000-0000-000073060000}"/>
    <cellStyle name="20% - Ênfase3 3 2 11" xfId="2268" xr:uid="{00000000-0005-0000-0000-000074060000}"/>
    <cellStyle name="20% - Ênfase3 3 2 11 2" xfId="2269" xr:uid="{00000000-0005-0000-0000-000075060000}"/>
    <cellStyle name="20% - Ênfase3 3 2 12" xfId="2270" xr:uid="{00000000-0005-0000-0000-000076060000}"/>
    <cellStyle name="20% - Ênfase3 3 2 12 2" xfId="2271" xr:uid="{00000000-0005-0000-0000-000077060000}"/>
    <cellStyle name="20% - Ênfase3 3 2 2" xfId="2272" xr:uid="{00000000-0005-0000-0000-000078060000}"/>
    <cellStyle name="20% - Ênfase3 3 2 2 10" xfId="2273" xr:uid="{00000000-0005-0000-0000-000079060000}"/>
    <cellStyle name="20% - Ênfase3 3 2 2 11" xfId="2274" xr:uid="{00000000-0005-0000-0000-00007A060000}"/>
    <cellStyle name="20% - Ênfase3 3 2 2 2" xfId="2275" xr:uid="{00000000-0005-0000-0000-00007B060000}"/>
    <cellStyle name="20% - Ênfase3 3 2 2 2 2" xfId="25190" xr:uid="{00000000-0005-0000-0000-00007C060000}"/>
    <cellStyle name="20% - Ênfase3 3 2 2 2 2 2" xfId="26320" xr:uid="{00000000-0005-0000-0000-00007D060000}"/>
    <cellStyle name="20% - Ênfase3 3 2 2 2 3" xfId="26319" xr:uid="{00000000-0005-0000-0000-00007E060000}"/>
    <cellStyle name="20% - Ênfase3 3 2 2 2 4" xfId="25189" xr:uid="{00000000-0005-0000-0000-00007F060000}"/>
    <cellStyle name="20% - Ênfase3 3 2 2 3" xfId="2276" xr:uid="{00000000-0005-0000-0000-000080060000}"/>
    <cellStyle name="20% - Ênfase3 3 2 2 3 2" xfId="26321" xr:uid="{00000000-0005-0000-0000-000081060000}"/>
    <cellStyle name="20% - Ênfase3 3 2 2 3 3" xfId="25191" xr:uid="{00000000-0005-0000-0000-000082060000}"/>
    <cellStyle name="20% - Ênfase3 3 2 2 4" xfId="2277" xr:uid="{00000000-0005-0000-0000-000083060000}"/>
    <cellStyle name="20% - Ênfase3 3 2 2 4 2" xfId="26318" xr:uid="{00000000-0005-0000-0000-000084060000}"/>
    <cellStyle name="20% - Ênfase3 3 2 2 5" xfId="2278" xr:uid="{00000000-0005-0000-0000-000085060000}"/>
    <cellStyle name="20% - Ênfase3 3 2 2 6" xfId="2279" xr:uid="{00000000-0005-0000-0000-000086060000}"/>
    <cellStyle name="20% - Ênfase3 3 2 2 7" xfId="2280" xr:uid="{00000000-0005-0000-0000-000087060000}"/>
    <cellStyle name="20% - Ênfase3 3 2 2 8" xfId="2281" xr:uid="{00000000-0005-0000-0000-000088060000}"/>
    <cellStyle name="20% - Ênfase3 3 2 2 9" xfId="2282" xr:uid="{00000000-0005-0000-0000-000089060000}"/>
    <cellStyle name="20% - Ênfase3 3 2 3" xfId="2283" xr:uid="{00000000-0005-0000-0000-00008A060000}"/>
    <cellStyle name="20% - Ênfase3 3 2 3 2" xfId="25193" xr:uid="{00000000-0005-0000-0000-00008B060000}"/>
    <cellStyle name="20% - Ênfase3 3 2 3 2 2" xfId="26323" xr:uid="{00000000-0005-0000-0000-00008C060000}"/>
    <cellStyle name="20% - Ênfase3 3 2 3 3" xfId="26322" xr:uid="{00000000-0005-0000-0000-00008D060000}"/>
    <cellStyle name="20% - Ênfase3 3 2 3 4" xfId="25192" xr:uid="{00000000-0005-0000-0000-00008E060000}"/>
    <cellStyle name="20% - Ênfase3 3 2 4" xfId="2284" xr:uid="{00000000-0005-0000-0000-00008F060000}"/>
    <cellStyle name="20% - Ênfase3 3 2 4 2" xfId="26324" xr:uid="{00000000-0005-0000-0000-000090060000}"/>
    <cellStyle name="20% - Ênfase3 3 2 4 3" xfId="25194" xr:uid="{00000000-0005-0000-0000-000091060000}"/>
    <cellStyle name="20% - Ênfase3 3 2 5" xfId="2285" xr:uid="{00000000-0005-0000-0000-000092060000}"/>
    <cellStyle name="20% - Ênfase3 3 2 5 2" xfId="2286" xr:uid="{00000000-0005-0000-0000-000093060000}"/>
    <cellStyle name="20% - Ênfase3 3 2 6" xfId="2287" xr:uid="{00000000-0005-0000-0000-000094060000}"/>
    <cellStyle name="20% - Ênfase3 3 2 6 2" xfId="2288" xr:uid="{00000000-0005-0000-0000-000095060000}"/>
    <cellStyle name="20% - Ênfase3 3 2 7" xfId="2289" xr:uid="{00000000-0005-0000-0000-000096060000}"/>
    <cellStyle name="20% - Ênfase3 3 2 7 2" xfId="2290" xr:uid="{00000000-0005-0000-0000-000097060000}"/>
    <cellStyle name="20% - Ênfase3 3 2 8" xfId="2291" xr:uid="{00000000-0005-0000-0000-000098060000}"/>
    <cellStyle name="20% - Ênfase3 3 2 8 2" xfId="2292" xr:uid="{00000000-0005-0000-0000-000099060000}"/>
    <cellStyle name="20% - Ênfase3 3 2 9" xfId="2293" xr:uid="{00000000-0005-0000-0000-00009A060000}"/>
    <cellStyle name="20% - Ênfase3 3 2 9 2" xfId="2294" xr:uid="{00000000-0005-0000-0000-00009B060000}"/>
    <cellStyle name="20% - Ênfase3 3 3" xfId="2295" xr:uid="{00000000-0005-0000-0000-00009C060000}"/>
    <cellStyle name="20% - Ênfase3 3 3 2" xfId="25196" xr:uid="{00000000-0005-0000-0000-00009D060000}"/>
    <cellStyle name="20% - Ênfase3 3 3 2 2" xfId="25197" xr:uid="{00000000-0005-0000-0000-00009E060000}"/>
    <cellStyle name="20% - Ênfase3 3 3 2 2 2" xfId="26327" xr:uid="{00000000-0005-0000-0000-00009F060000}"/>
    <cellStyle name="20% - Ênfase3 3 3 2 3" xfId="26326" xr:uid="{00000000-0005-0000-0000-0000A0060000}"/>
    <cellStyle name="20% - Ênfase3 3 3 3" xfId="25198" xr:uid="{00000000-0005-0000-0000-0000A1060000}"/>
    <cellStyle name="20% - Ênfase3 3 3 3 2" xfId="26328" xr:uid="{00000000-0005-0000-0000-0000A2060000}"/>
    <cellStyle name="20% - Ênfase3 3 3 4" xfId="26325" xr:uid="{00000000-0005-0000-0000-0000A3060000}"/>
    <cellStyle name="20% - Ênfase3 3 3 5" xfId="25195" xr:uid="{00000000-0005-0000-0000-0000A4060000}"/>
    <cellStyle name="20% - Ênfase3 3 4" xfId="2296" xr:uid="{00000000-0005-0000-0000-0000A5060000}"/>
    <cellStyle name="20% - Ênfase3 3 4 2" xfId="26329" xr:uid="{00000000-0005-0000-0000-0000A6060000}"/>
    <cellStyle name="20% - Ênfase3 3 5" xfId="2297" xr:uid="{00000000-0005-0000-0000-0000A7060000}"/>
    <cellStyle name="20% - Ênfase3 3 5 10" xfId="2298" xr:uid="{00000000-0005-0000-0000-0000A8060000}"/>
    <cellStyle name="20% - Ênfase3 3 5 10 2" xfId="2299" xr:uid="{00000000-0005-0000-0000-0000A9060000}"/>
    <cellStyle name="20% - Ênfase3 3 5 2" xfId="2300" xr:uid="{00000000-0005-0000-0000-0000AA060000}"/>
    <cellStyle name="20% - Ênfase3 3 5 2 2" xfId="2301" xr:uid="{00000000-0005-0000-0000-0000AB060000}"/>
    <cellStyle name="20% - Ênfase3 3 5 3" xfId="2302" xr:uid="{00000000-0005-0000-0000-0000AC060000}"/>
    <cellStyle name="20% - Ênfase3 3 5 3 2" xfId="2303" xr:uid="{00000000-0005-0000-0000-0000AD060000}"/>
    <cellStyle name="20% - Ênfase3 3 5 4" xfId="2304" xr:uid="{00000000-0005-0000-0000-0000AE060000}"/>
    <cellStyle name="20% - Ênfase3 3 5 4 2" xfId="2305" xr:uid="{00000000-0005-0000-0000-0000AF060000}"/>
    <cellStyle name="20% - Ênfase3 3 5 5" xfId="2306" xr:uid="{00000000-0005-0000-0000-0000B0060000}"/>
    <cellStyle name="20% - Ênfase3 3 5 5 2" xfId="2307" xr:uid="{00000000-0005-0000-0000-0000B1060000}"/>
    <cellStyle name="20% - Ênfase3 3 5 6" xfId="2308" xr:uid="{00000000-0005-0000-0000-0000B2060000}"/>
    <cellStyle name="20% - Ênfase3 3 5 6 2" xfId="2309" xr:uid="{00000000-0005-0000-0000-0000B3060000}"/>
    <cellStyle name="20% - Ênfase3 3 5 7" xfId="2310" xr:uid="{00000000-0005-0000-0000-0000B4060000}"/>
    <cellStyle name="20% - Ênfase3 3 5 7 2" xfId="2311" xr:uid="{00000000-0005-0000-0000-0000B5060000}"/>
    <cellStyle name="20% - Ênfase3 3 5 8" xfId="2312" xr:uid="{00000000-0005-0000-0000-0000B6060000}"/>
    <cellStyle name="20% - Ênfase3 3 5 8 2" xfId="2313" xr:uid="{00000000-0005-0000-0000-0000B7060000}"/>
    <cellStyle name="20% - Ênfase3 3 5 9" xfId="2314" xr:uid="{00000000-0005-0000-0000-0000B8060000}"/>
    <cellStyle name="20% - Ênfase3 3 5 9 2" xfId="2315" xr:uid="{00000000-0005-0000-0000-0000B9060000}"/>
    <cellStyle name="20% - Ênfase3 3 6" xfId="2316" xr:uid="{00000000-0005-0000-0000-0000BA060000}"/>
    <cellStyle name="20% - Ênfase3 3 6 2" xfId="2317" xr:uid="{00000000-0005-0000-0000-0000BB060000}"/>
    <cellStyle name="20% - Ênfase3 3 6 2 2" xfId="2318" xr:uid="{00000000-0005-0000-0000-0000BC060000}"/>
    <cellStyle name="20% - Ênfase3 3 6 3" xfId="2319" xr:uid="{00000000-0005-0000-0000-0000BD060000}"/>
    <cellStyle name="20% - Ênfase3 3 6 3 2" xfId="2320" xr:uid="{00000000-0005-0000-0000-0000BE060000}"/>
    <cellStyle name="20% - Ênfase3 3 6 4" xfId="2321" xr:uid="{00000000-0005-0000-0000-0000BF060000}"/>
    <cellStyle name="20% - Ênfase3 3 6 4 2" xfId="2322" xr:uid="{00000000-0005-0000-0000-0000C0060000}"/>
    <cellStyle name="20% - Ênfase3 3 6 5" xfId="2323" xr:uid="{00000000-0005-0000-0000-0000C1060000}"/>
    <cellStyle name="20% - Ênfase3 3 6 5 2" xfId="2324" xr:uid="{00000000-0005-0000-0000-0000C2060000}"/>
    <cellStyle name="20% - Ênfase3 3 6 6" xfId="2325" xr:uid="{00000000-0005-0000-0000-0000C3060000}"/>
    <cellStyle name="20% - Ênfase3 3 7" xfId="25199" xr:uid="{00000000-0005-0000-0000-0000C4060000}"/>
    <cellStyle name="20% - Ênfase3 3 7 2" xfId="26330" xr:uid="{00000000-0005-0000-0000-0000C5060000}"/>
    <cellStyle name="20% - Ênfase3 3 8" xfId="26317" xr:uid="{00000000-0005-0000-0000-0000C6060000}"/>
    <cellStyle name="20% - Ênfase3 30" xfId="2326" xr:uid="{00000000-0005-0000-0000-0000C7060000}"/>
    <cellStyle name="20% - Ênfase3 30 2" xfId="2327" xr:uid="{00000000-0005-0000-0000-0000C8060000}"/>
    <cellStyle name="20% - Ênfase3 31" xfId="2328" xr:uid="{00000000-0005-0000-0000-0000C9060000}"/>
    <cellStyle name="20% - Ênfase3 31 2" xfId="2329" xr:uid="{00000000-0005-0000-0000-0000CA060000}"/>
    <cellStyle name="20% - Ênfase3 32" xfId="2330" xr:uid="{00000000-0005-0000-0000-0000CB060000}"/>
    <cellStyle name="20% - Ênfase3 32 2" xfId="2331" xr:uid="{00000000-0005-0000-0000-0000CC060000}"/>
    <cellStyle name="20% - Ênfase3 33" xfId="2332" xr:uid="{00000000-0005-0000-0000-0000CD060000}"/>
    <cellStyle name="20% - Ênfase3 33 2" xfId="2333" xr:uid="{00000000-0005-0000-0000-0000CE060000}"/>
    <cellStyle name="20% - Ênfase3 34" xfId="2334" xr:uid="{00000000-0005-0000-0000-0000CF060000}"/>
    <cellStyle name="20% - Ênfase3 34 2" xfId="2335" xr:uid="{00000000-0005-0000-0000-0000D0060000}"/>
    <cellStyle name="20% - Ênfase3 35" xfId="2336" xr:uid="{00000000-0005-0000-0000-0000D1060000}"/>
    <cellStyle name="20% - Ênfase3 35 2" xfId="2337" xr:uid="{00000000-0005-0000-0000-0000D2060000}"/>
    <cellStyle name="20% - Ênfase3 36" xfId="2338" xr:uid="{00000000-0005-0000-0000-0000D3060000}"/>
    <cellStyle name="20% - Ênfase3 36 2" xfId="2339" xr:uid="{00000000-0005-0000-0000-0000D4060000}"/>
    <cellStyle name="20% - Ênfase3 37" xfId="2340" xr:uid="{00000000-0005-0000-0000-0000D5060000}"/>
    <cellStyle name="20% - Ênfase3 37 2" xfId="2341" xr:uid="{00000000-0005-0000-0000-0000D6060000}"/>
    <cellStyle name="20% - Ênfase3 38" xfId="2342" xr:uid="{00000000-0005-0000-0000-0000D7060000}"/>
    <cellStyle name="20% - Ênfase3 38 2" xfId="2343" xr:uid="{00000000-0005-0000-0000-0000D8060000}"/>
    <cellStyle name="20% - Ênfase3 39" xfId="2344" xr:uid="{00000000-0005-0000-0000-0000D9060000}"/>
    <cellStyle name="20% - Ênfase3 39 2" xfId="2345" xr:uid="{00000000-0005-0000-0000-0000DA060000}"/>
    <cellStyle name="20% - Ênfase3 4" xfId="2346" xr:uid="{00000000-0005-0000-0000-0000DB060000}"/>
    <cellStyle name="20% - Ênfase3 4 2" xfId="2347" xr:uid="{00000000-0005-0000-0000-0000DC060000}"/>
    <cellStyle name="20% - Ênfase3 4 2 10" xfId="2348" xr:uid="{00000000-0005-0000-0000-0000DD060000}"/>
    <cellStyle name="20% - Ênfase3 4 2 10 2" xfId="2349" xr:uid="{00000000-0005-0000-0000-0000DE060000}"/>
    <cellStyle name="20% - Ênfase3 4 2 11" xfId="2350" xr:uid="{00000000-0005-0000-0000-0000DF060000}"/>
    <cellStyle name="20% - Ênfase3 4 2 11 2" xfId="2351" xr:uid="{00000000-0005-0000-0000-0000E0060000}"/>
    <cellStyle name="20% - Ênfase3 4 2 12" xfId="2352" xr:uid="{00000000-0005-0000-0000-0000E1060000}"/>
    <cellStyle name="20% - Ênfase3 4 2 12 2" xfId="2353" xr:uid="{00000000-0005-0000-0000-0000E2060000}"/>
    <cellStyle name="20% - Ênfase3 4 2 2" xfId="2354" xr:uid="{00000000-0005-0000-0000-0000E3060000}"/>
    <cellStyle name="20% - Ênfase3 4 2 2 10" xfId="2355" xr:uid="{00000000-0005-0000-0000-0000E4060000}"/>
    <cellStyle name="20% - Ênfase3 4 2 2 11" xfId="2356" xr:uid="{00000000-0005-0000-0000-0000E5060000}"/>
    <cellStyle name="20% - Ênfase3 4 2 2 2" xfId="2357" xr:uid="{00000000-0005-0000-0000-0000E6060000}"/>
    <cellStyle name="20% - Ênfase3 4 2 2 2 2" xfId="25201" xr:uid="{00000000-0005-0000-0000-0000E7060000}"/>
    <cellStyle name="20% - Ênfase3 4 2 2 2 2 2" xfId="26334" xr:uid="{00000000-0005-0000-0000-0000E8060000}"/>
    <cellStyle name="20% - Ênfase3 4 2 2 2 3" xfId="26333" xr:uid="{00000000-0005-0000-0000-0000E9060000}"/>
    <cellStyle name="20% - Ênfase3 4 2 2 2 4" xfId="25200" xr:uid="{00000000-0005-0000-0000-0000EA060000}"/>
    <cellStyle name="20% - Ênfase3 4 2 2 3" xfId="2358" xr:uid="{00000000-0005-0000-0000-0000EB060000}"/>
    <cellStyle name="20% - Ênfase3 4 2 2 3 2" xfId="26335" xr:uid="{00000000-0005-0000-0000-0000EC060000}"/>
    <cellStyle name="20% - Ênfase3 4 2 2 3 3" xfId="25202" xr:uid="{00000000-0005-0000-0000-0000ED060000}"/>
    <cellStyle name="20% - Ênfase3 4 2 2 4" xfId="2359" xr:uid="{00000000-0005-0000-0000-0000EE060000}"/>
    <cellStyle name="20% - Ênfase3 4 2 2 4 2" xfId="26332" xr:uid="{00000000-0005-0000-0000-0000EF060000}"/>
    <cellStyle name="20% - Ênfase3 4 2 2 5" xfId="2360" xr:uid="{00000000-0005-0000-0000-0000F0060000}"/>
    <cellStyle name="20% - Ênfase3 4 2 2 6" xfId="2361" xr:uid="{00000000-0005-0000-0000-0000F1060000}"/>
    <cellStyle name="20% - Ênfase3 4 2 2 7" xfId="2362" xr:uid="{00000000-0005-0000-0000-0000F2060000}"/>
    <cellStyle name="20% - Ênfase3 4 2 2 8" xfId="2363" xr:uid="{00000000-0005-0000-0000-0000F3060000}"/>
    <cellStyle name="20% - Ênfase3 4 2 2 9" xfId="2364" xr:uid="{00000000-0005-0000-0000-0000F4060000}"/>
    <cellStyle name="20% - Ênfase3 4 2 3" xfId="2365" xr:uid="{00000000-0005-0000-0000-0000F5060000}"/>
    <cellStyle name="20% - Ênfase3 4 2 3 2" xfId="25204" xr:uid="{00000000-0005-0000-0000-0000F6060000}"/>
    <cellStyle name="20% - Ênfase3 4 2 3 2 2" xfId="26337" xr:uid="{00000000-0005-0000-0000-0000F7060000}"/>
    <cellStyle name="20% - Ênfase3 4 2 3 3" xfId="26336" xr:uid="{00000000-0005-0000-0000-0000F8060000}"/>
    <cellStyle name="20% - Ênfase3 4 2 3 4" xfId="25203" xr:uid="{00000000-0005-0000-0000-0000F9060000}"/>
    <cellStyle name="20% - Ênfase3 4 2 4" xfId="2366" xr:uid="{00000000-0005-0000-0000-0000FA060000}"/>
    <cellStyle name="20% - Ênfase3 4 2 4 2" xfId="26338" xr:uid="{00000000-0005-0000-0000-0000FB060000}"/>
    <cellStyle name="20% - Ênfase3 4 2 4 3" xfId="25205" xr:uid="{00000000-0005-0000-0000-0000FC060000}"/>
    <cellStyle name="20% - Ênfase3 4 2 5" xfId="2367" xr:uid="{00000000-0005-0000-0000-0000FD060000}"/>
    <cellStyle name="20% - Ênfase3 4 2 5 2" xfId="2368" xr:uid="{00000000-0005-0000-0000-0000FE060000}"/>
    <cellStyle name="20% - Ênfase3 4 2 6" xfId="2369" xr:uid="{00000000-0005-0000-0000-0000FF060000}"/>
    <cellStyle name="20% - Ênfase3 4 2 6 2" xfId="2370" xr:uid="{00000000-0005-0000-0000-000000070000}"/>
    <cellStyle name="20% - Ênfase3 4 2 7" xfId="2371" xr:uid="{00000000-0005-0000-0000-000001070000}"/>
    <cellStyle name="20% - Ênfase3 4 2 7 2" xfId="2372" xr:uid="{00000000-0005-0000-0000-000002070000}"/>
    <cellStyle name="20% - Ênfase3 4 2 8" xfId="2373" xr:uid="{00000000-0005-0000-0000-000003070000}"/>
    <cellStyle name="20% - Ênfase3 4 2 8 2" xfId="2374" xr:uid="{00000000-0005-0000-0000-000004070000}"/>
    <cellStyle name="20% - Ênfase3 4 2 9" xfId="2375" xr:uid="{00000000-0005-0000-0000-000005070000}"/>
    <cellStyle name="20% - Ênfase3 4 2 9 2" xfId="2376" xr:uid="{00000000-0005-0000-0000-000006070000}"/>
    <cellStyle name="20% - Ênfase3 4 3" xfId="2377" xr:uid="{00000000-0005-0000-0000-000007070000}"/>
    <cellStyle name="20% - Ênfase3 4 3 2" xfId="25207" xr:uid="{00000000-0005-0000-0000-000008070000}"/>
    <cellStyle name="20% - Ênfase3 4 3 2 2" xfId="25208" xr:uid="{00000000-0005-0000-0000-000009070000}"/>
    <cellStyle name="20% - Ênfase3 4 3 2 2 2" xfId="26341" xr:uid="{00000000-0005-0000-0000-00000A070000}"/>
    <cellStyle name="20% - Ênfase3 4 3 2 3" xfId="26340" xr:uid="{00000000-0005-0000-0000-00000B070000}"/>
    <cellStyle name="20% - Ênfase3 4 3 3" xfId="25209" xr:uid="{00000000-0005-0000-0000-00000C070000}"/>
    <cellStyle name="20% - Ênfase3 4 3 3 2" xfId="26342" xr:uid="{00000000-0005-0000-0000-00000D070000}"/>
    <cellStyle name="20% - Ênfase3 4 3 4" xfId="26339" xr:uid="{00000000-0005-0000-0000-00000E070000}"/>
    <cellStyle name="20% - Ênfase3 4 3 5" xfId="25206" xr:uid="{00000000-0005-0000-0000-00000F070000}"/>
    <cellStyle name="20% - Ênfase3 4 4" xfId="2378" xr:uid="{00000000-0005-0000-0000-000010070000}"/>
    <cellStyle name="20% - Ênfase3 4 4 2" xfId="26343" xr:uid="{00000000-0005-0000-0000-000011070000}"/>
    <cellStyle name="20% - Ênfase3 4 5" xfId="2379" xr:uid="{00000000-0005-0000-0000-000012070000}"/>
    <cellStyle name="20% - Ênfase3 4 5 10" xfId="2380" xr:uid="{00000000-0005-0000-0000-000013070000}"/>
    <cellStyle name="20% - Ênfase3 4 5 10 2" xfId="2381" xr:uid="{00000000-0005-0000-0000-000014070000}"/>
    <cellStyle name="20% - Ênfase3 4 5 2" xfId="2382" xr:uid="{00000000-0005-0000-0000-000015070000}"/>
    <cellStyle name="20% - Ênfase3 4 5 2 2" xfId="2383" xr:uid="{00000000-0005-0000-0000-000016070000}"/>
    <cellStyle name="20% - Ênfase3 4 5 3" xfId="2384" xr:uid="{00000000-0005-0000-0000-000017070000}"/>
    <cellStyle name="20% - Ênfase3 4 5 3 2" xfId="2385" xr:uid="{00000000-0005-0000-0000-000018070000}"/>
    <cellStyle name="20% - Ênfase3 4 5 4" xfId="2386" xr:uid="{00000000-0005-0000-0000-000019070000}"/>
    <cellStyle name="20% - Ênfase3 4 5 4 2" xfId="2387" xr:uid="{00000000-0005-0000-0000-00001A070000}"/>
    <cellStyle name="20% - Ênfase3 4 5 5" xfId="2388" xr:uid="{00000000-0005-0000-0000-00001B070000}"/>
    <cellStyle name="20% - Ênfase3 4 5 5 2" xfId="2389" xr:uid="{00000000-0005-0000-0000-00001C070000}"/>
    <cellStyle name="20% - Ênfase3 4 5 6" xfId="2390" xr:uid="{00000000-0005-0000-0000-00001D070000}"/>
    <cellStyle name="20% - Ênfase3 4 5 6 2" xfId="2391" xr:uid="{00000000-0005-0000-0000-00001E070000}"/>
    <cellStyle name="20% - Ênfase3 4 5 7" xfId="2392" xr:uid="{00000000-0005-0000-0000-00001F070000}"/>
    <cellStyle name="20% - Ênfase3 4 5 7 2" xfId="2393" xr:uid="{00000000-0005-0000-0000-000020070000}"/>
    <cellStyle name="20% - Ênfase3 4 5 8" xfId="2394" xr:uid="{00000000-0005-0000-0000-000021070000}"/>
    <cellStyle name="20% - Ênfase3 4 5 8 2" xfId="2395" xr:uid="{00000000-0005-0000-0000-000022070000}"/>
    <cellStyle name="20% - Ênfase3 4 5 9" xfId="2396" xr:uid="{00000000-0005-0000-0000-000023070000}"/>
    <cellStyle name="20% - Ênfase3 4 5 9 2" xfId="2397" xr:uid="{00000000-0005-0000-0000-000024070000}"/>
    <cellStyle name="20% - Ênfase3 4 6" xfId="2398" xr:uid="{00000000-0005-0000-0000-000025070000}"/>
    <cellStyle name="20% - Ênfase3 4 6 2" xfId="2399" xr:uid="{00000000-0005-0000-0000-000026070000}"/>
    <cellStyle name="20% - Ênfase3 4 6 2 2" xfId="2400" xr:uid="{00000000-0005-0000-0000-000027070000}"/>
    <cellStyle name="20% - Ênfase3 4 6 3" xfId="2401" xr:uid="{00000000-0005-0000-0000-000028070000}"/>
    <cellStyle name="20% - Ênfase3 4 6 3 2" xfId="2402" xr:uid="{00000000-0005-0000-0000-000029070000}"/>
    <cellStyle name="20% - Ênfase3 4 6 4" xfId="2403" xr:uid="{00000000-0005-0000-0000-00002A070000}"/>
    <cellStyle name="20% - Ênfase3 4 6 4 2" xfId="2404" xr:uid="{00000000-0005-0000-0000-00002B070000}"/>
    <cellStyle name="20% - Ênfase3 4 6 5" xfId="2405" xr:uid="{00000000-0005-0000-0000-00002C070000}"/>
    <cellStyle name="20% - Ênfase3 4 6 5 2" xfId="2406" xr:uid="{00000000-0005-0000-0000-00002D070000}"/>
    <cellStyle name="20% - Ênfase3 4 6 6" xfId="2407" xr:uid="{00000000-0005-0000-0000-00002E070000}"/>
    <cellStyle name="20% - Ênfase3 4 7" xfId="26331" xr:uid="{00000000-0005-0000-0000-00002F070000}"/>
    <cellStyle name="20% - Ênfase3 40" xfId="2408" xr:uid="{00000000-0005-0000-0000-000030070000}"/>
    <cellStyle name="20% - Ênfase3 40 2" xfId="2409" xr:uid="{00000000-0005-0000-0000-000031070000}"/>
    <cellStyle name="20% - Ênfase3 41" xfId="2410" xr:uid="{00000000-0005-0000-0000-000032070000}"/>
    <cellStyle name="20% - Ênfase3 41 2" xfId="2411" xr:uid="{00000000-0005-0000-0000-000033070000}"/>
    <cellStyle name="20% - Ênfase3 42" xfId="2412" xr:uid="{00000000-0005-0000-0000-000034070000}"/>
    <cellStyle name="20% - Ênfase3 42 2" xfId="2413" xr:uid="{00000000-0005-0000-0000-000035070000}"/>
    <cellStyle name="20% - Ênfase3 43" xfId="2414" xr:uid="{00000000-0005-0000-0000-000036070000}"/>
    <cellStyle name="20% - Ênfase3 43 2" xfId="2415" xr:uid="{00000000-0005-0000-0000-000037070000}"/>
    <cellStyle name="20% - Ênfase3 44" xfId="2416" xr:uid="{00000000-0005-0000-0000-000038070000}"/>
    <cellStyle name="20% - Ênfase3 44 2" xfId="2417" xr:uid="{00000000-0005-0000-0000-000039070000}"/>
    <cellStyle name="20% - Ênfase3 45" xfId="2418" xr:uid="{00000000-0005-0000-0000-00003A070000}"/>
    <cellStyle name="20% - Ênfase3 45 2" xfId="2419" xr:uid="{00000000-0005-0000-0000-00003B070000}"/>
    <cellStyle name="20% - Ênfase3 46" xfId="2420" xr:uid="{00000000-0005-0000-0000-00003C070000}"/>
    <cellStyle name="20% - Ênfase3 46 2" xfId="2421" xr:uid="{00000000-0005-0000-0000-00003D070000}"/>
    <cellStyle name="20% - Ênfase3 47" xfId="2422" xr:uid="{00000000-0005-0000-0000-00003E070000}"/>
    <cellStyle name="20% - Ênfase3 47 2" xfId="2423" xr:uid="{00000000-0005-0000-0000-00003F070000}"/>
    <cellStyle name="20% - Ênfase3 48" xfId="2424" xr:uid="{00000000-0005-0000-0000-000040070000}"/>
    <cellStyle name="20% - Ênfase3 48 2" xfId="2425" xr:uid="{00000000-0005-0000-0000-000041070000}"/>
    <cellStyle name="20% - Ênfase3 49" xfId="2426" xr:uid="{00000000-0005-0000-0000-000042070000}"/>
    <cellStyle name="20% - Ênfase3 49 2" xfId="2427" xr:uid="{00000000-0005-0000-0000-000043070000}"/>
    <cellStyle name="20% - Ênfase3 5" xfId="2428" xr:uid="{00000000-0005-0000-0000-000044070000}"/>
    <cellStyle name="20% - Ênfase3 5 2" xfId="2429" xr:uid="{00000000-0005-0000-0000-000045070000}"/>
    <cellStyle name="20% - Ênfase3 5 2 2" xfId="2430" xr:uid="{00000000-0005-0000-0000-000046070000}"/>
    <cellStyle name="20% - Ênfase3 5 2 2 2" xfId="25211" xr:uid="{00000000-0005-0000-0000-000047070000}"/>
    <cellStyle name="20% - Ênfase3 5 2 2 2 2" xfId="25212" xr:uid="{00000000-0005-0000-0000-000048070000}"/>
    <cellStyle name="20% - Ênfase3 5 2 2 2 2 2" xfId="26346" xr:uid="{00000000-0005-0000-0000-000049070000}"/>
    <cellStyle name="20% - Ênfase3 5 2 2 2 3" xfId="26345" xr:uid="{00000000-0005-0000-0000-00004A070000}"/>
    <cellStyle name="20% - Ênfase3 5 2 2 3" xfId="25213" xr:uid="{00000000-0005-0000-0000-00004B070000}"/>
    <cellStyle name="20% - Ênfase3 5 2 2 3 2" xfId="26347" xr:uid="{00000000-0005-0000-0000-00004C070000}"/>
    <cellStyle name="20% - Ênfase3 5 2 2 4" xfId="26344" xr:uid="{00000000-0005-0000-0000-00004D070000}"/>
    <cellStyle name="20% - Ênfase3 5 2 2 5" xfId="25210" xr:uid="{00000000-0005-0000-0000-00004E070000}"/>
    <cellStyle name="20% - Ênfase3 5 2 3" xfId="2431" xr:uid="{00000000-0005-0000-0000-00004F070000}"/>
    <cellStyle name="20% - Ênfase3 5 2 3 2" xfId="25215" xr:uid="{00000000-0005-0000-0000-000050070000}"/>
    <cellStyle name="20% - Ênfase3 5 2 3 2 2" xfId="26349" xr:uid="{00000000-0005-0000-0000-000051070000}"/>
    <cellStyle name="20% - Ênfase3 5 2 3 3" xfId="26348" xr:uid="{00000000-0005-0000-0000-000052070000}"/>
    <cellStyle name="20% - Ênfase3 5 2 3 4" xfId="25214" xr:uid="{00000000-0005-0000-0000-000053070000}"/>
    <cellStyle name="20% - Ênfase3 5 2 4" xfId="2432" xr:uid="{00000000-0005-0000-0000-000054070000}"/>
    <cellStyle name="20% - Ênfase3 5 2 4 2" xfId="26350" xr:uid="{00000000-0005-0000-0000-000055070000}"/>
    <cellStyle name="20% - Ênfase3 5 2 4 3" xfId="25216" xr:uid="{00000000-0005-0000-0000-000056070000}"/>
    <cellStyle name="20% - Ênfase3 5 2 5" xfId="2433" xr:uid="{00000000-0005-0000-0000-000057070000}"/>
    <cellStyle name="20% - Ênfase3 5 2 5 2" xfId="2434" xr:uid="{00000000-0005-0000-0000-000058070000}"/>
    <cellStyle name="20% - Ênfase3 5 2 6" xfId="2435" xr:uid="{00000000-0005-0000-0000-000059070000}"/>
    <cellStyle name="20% - Ênfase3 5 2 6 2" xfId="2436" xr:uid="{00000000-0005-0000-0000-00005A070000}"/>
    <cellStyle name="20% - Ênfase3 5 2 7" xfId="2437" xr:uid="{00000000-0005-0000-0000-00005B070000}"/>
    <cellStyle name="20% - Ênfase3 5 2 7 2" xfId="2438" xr:uid="{00000000-0005-0000-0000-00005C070000}"/>
    <cellStyle name="20% - Ênfase3 5 2 8" xfId="2439" xr:uid="{00000000-0005-0000-0000-00005D070000}"/>
    <cellStyle name="20% - Ênfase3 5 2 8 2" xfId="2440" xr:uid="{00000000-0005-0000-0000-00005E070000}"/>
    <cellStyle name="20% - Ênfase3 5 2 9" xfId="2441" xr:uid="{00000000-0005-0000-0000-00005F070000}"/>
    <cellStyle name="20% - Ênfase3 5 3" xfId="2442" xr:uid="{00000000-0005-0000-0000-000060070000}"/>
    <cellStyle name="20% - Ênfase3 5 3 2" xfId="25218" xr:uid="{00000000-0005-0000-0000-000061070000}"/>
    <cellStyle name="20% - Ênfase3 5 3 2 2" xfId="25219" xr:uid="{00000000-0005-0000-0000-000062070000}"/>
    <cellStyle name="20% - Ênfase3 5 3 2 2 2" xfId="26353" xr:uid="{00000000-0005-0000-0000-000063070000}"/>
    <cellStyle name="20% - Ênfase3 5 3 2 3" xfId="26352" xr:uid="{00000000-0005-0000-0000-000064070000}"/>
    <cellStyle name="20% - Ênfase3 5 3 3" xfId="25220" xr:uid="{00000000-0005-0000-0000-000065070000}"/>
    <cellStyle name="20% - Ênfase3 5 3 3 2" xfId="26354" xr:uid="{00000000-0005-0000-0000-000066070000}"/>
    <cellStyle name="20% - Ênfase3 5 3 4" xfId="26351" xr:uid="{00000000-0005-0000-0000-000067070000}"/>
    <cellStyle name="20% - Ênfase3 5 3 5" xfId="25217" xr:uid="{00000000-0005-0000-0000-000068070000}"/>
    <cellStyle name="20% - Ênfase3 5 4" xfId="2443" xr:uid="{00000000-0005-0000-0000-000069070000}"/>
    <cellStyle name="20% - Ênfase3 5 4 2" xfId="25222" xr:uid="{00000000-0005-0000-0000-00006A070000}"/>
    <cellStyle name="20% - Ênfase3 5 4 2 2" xfId="26356" xr:uid="{00000000-0005-0000-0000-00006B070000}"/>
    <cellStyle name="20% - Ênfase3 5 4 3" xfId="26355" xr:uid="{00000000-0005-0000-0000-00006C070000}"/>
    <cellStyle name="20% - Ênfase3 5 4 4" xfId="25221" xr:uid="{00000000-0005-0000-0000-00006D070000}"/>
    <cellStyle name="20% - Ênfase3 5 5" xfId="2444" xr:uid="{00000000-0005-0000-0000-00006E070000}"/>
    <cellStyle name="20% - Ênfase3 5 5 2" xfId="2445" xr:uid="{00000000-0005-0000-0000-00006F070000}"/>
    <cellStyle name="20% - Ênfase3 5 5 2 2" xfId="2446" xr:uid="{00000000-0005-0000-0000-000070070000}"/>
    <cellStyle name="20% - Ênfase3 5 5 3" xfId="2447" xr:uid="{00000000-0005-0000-0000-000071070000}"/>
    <cellStyle name="20% - Ênfase3 5 5 3 2" xfId="2448" xr:uid="{00000000-0005-0000-0000-000072070000}"/>
    <cellStyle name="20% - Ênfase3 5 5 4" xfId="2449" xr:uid="{00000000-0005-0000-0000-000073070000}"/>
    <cellStyle name="20% - Ênfase3 5 5 4 2" xfId="2450" xr:uid="{00000000-0005-0000-0000-000074070000}"/>
    <cellStyle name="20% - Ênfase3 5 5 5" xfId="2451" xr:uid="{00000000-0005-0000-0000-000075070000}"/>
    <cellStyle name="20% - Ênfase3 5 5 5 2" xfId="2452" xr:uid="{00000000-0005-0000-0000-000076070000}"/>
    <cellStyle name="20% - Ênfase3 5 5 6" xfId="2453" xr:uid="{00000000-0005-0000-0000-000077070000}"/>
    <cellStyle name="20% - Ênfase3 5 6" xfId="2454" xr:uid="{00000000-0005-0000-0000-000078070000}"/>
    <cellStyle name="20% - Ênfase3 5 6 2" xfId="2455" xr:uid="{00000000-0005-0000-0000-000079070000}"/>
    <cellStyle name="20% - Ênfase3 5 6 2 2" xfId="2456" xr:uid="{00000000-0005-0000-0000-00007A070000}"/>
    <cellStyle name="20% - Ênfase3 5 6 3" xfId="2457" xr:uid="{00000000-0005-0000-0000-00007B070000}"/>
    <cellStyle name="20% - Ênfase3 5 6 3 2" xfId="2458" xr:uid="{00000000-0005-0000-0000-00007C070000}"/>
    <cellStyle name="20% - Ênfase3 5 6 4" xfId="2459" xr:uid="{00000000-0005-0000-0000-00007D070000}"/>
    <cellStyle name="20% - Ênfase3 5 6 4 2" xfId="2460" xr:uid="{00000000-0005-0000-0000-00007E070000}"/>
    <cellStyle name="20% - Ênfase3 5 6 5" xfId="2461" xr:uid="{00000000-0005-0000-0000-00007F070000}"/>
    <cellStyle name="20% - Ênfase3 5 6 5 2" xfId="2462" xr:uid="{00000000-0005-0000-0000-000080070000}"/>
    <cellStyle name="20% - Ênfase3 5 6 6" xfId="2463" xr:uid="{00000000-0005-0000-0000-000081070000}"/>
    <cellStyle name="20% - Ênfase3 50" xfId="2464" xr:uid="{00000000-0005-0000-0000-000082070000}"/>
    <cellStyle name="20% - Ênfase3 50 2" xfId="2465" xr:uid="{00000000-0005-0000-0000-000083070000}"/>
    <cellStyle name="20% - Ênfase3 51" xfId="2466" xr:uid="{00000000-0005-0000-0000-000084070000}"/>
    <cellStyle name="20% - Ênfase3 51 2" xfId="2467" xr:uid="{00000000-0005-0000-0000-000085070000}"/>
    <cellStyle name="20% - Ênfase3 52" xfId="2468" xr:uid="{00000000-0005-0000-0000-000086070000}"/>
    <cellStyle name="20% - Ênfase3 52 2" xfId="2469" xr:uid="{00000000-0005-0000-0000-000087070000}"/>
    <cellStyle name="20% - Ênfase3 53" xfId="2470" xr:uid="{00000000-0005-0000-0000-000088070000}"/>
    <cellStyle name="20% - Ênfase3 53 2" xfId="2471" xr:uid="{00000000-0005-0000-0000-000089070000}"/>
    <cellStyle name="20% - Ênfase3 54" xfId="2472" xr:uid="{00000000-0005-0000-0000-00008A070000}"/>
    <cellStyle name="20% - Ênfase3 54 2" xfId="2473" xr:uid="{00000000-0005-0000-0000-00008B070000}"/>
    <cellStyle name="20% - Ênfase3 55" xfId="2474" xr:uid="{00000000-0005-0000-0000-00008C070000}"/>
    <cellStyle name="20% - Ênfase3 55 2" xfId="2475" xr:uid="{00000000-0005-0000-0000-00008D070000}"/>
    <cellStyle name="20% - Ênfase3 6" xfId="2476" xr:uid="{00000000-0005-0000-0000-00008E070000}"/>
    <cellStyle name="20% - Ênfase3 6 10" xfId="2477" xr:uid="{00000000-0005-0000-0000-00008F070000}"/>
    <cellStyle name="20% - Ênfase3 6 10 2" xfId="2478" xr:uid="{00000000-0005-0000-0000-000090070000}"/>
    <cellStyle name="20% - Ênfase3 6 11" xfId="2479" xr:uid="{00000000-0005-0000-0000-000091070000}"/>
    <cellStyle name="20% - Ênfase3 6 11 2" xfId="2480" xr:uid="{00000000-0005-0000-0000-000092070000}"/>
    <cellStyle name="20% - Ênfase3 6 12" xfId="2481" xr:uid="{00000000-0005-0000-0000-000093070000}"/>
    <cellStyle name="20% - Ênfase3 6 12 2" xfId="2482" xr:uid="{00000000-0005-0000-0000-000094070000}"/>
    <cellStyle name="20% - Ênfase3 6 13" xfId="2483" xr:uid="{00000000-0005-0000-0000-000095070000}"/>
    <cellStyle name="20% - Ênfase3 6 13 2" xfId="2484" xr:uid="{00000000-0005-0000-0000-000096070000}"/>
    <cellStyle name="20% - Ênfase3 6 14" xfId="2485" xr:uid="{00000000-0005-0000-0000-000097070000}"/>
    <cellStyle name="20% - Ênfase3 6 14 2" xfId="2486" xr:uid="{00000000-0005-0000-0000-000098070000}"/>
    <cellStyle name="20% - Ênfase3 6 15" xfId="2487" xr:uid="{00000000-0005-0000-0000-000099070000}"/>
    <cellStyle name="20% - Ênfase3 6 15 2" xfId="2488" xr:uid="{00000000-0005-0000-0000-00009A070000}"/>
    <cellStyle name="20% - Ênfase3 6 16" xfId="2489" xr:uid="{00000000-0005-0000-0000-00009B070000}"/>
    <cellStyle name="20% - Ênfase3 6 16 2" xfId="2490" xr:uid="{00000000-0005-0000-0000-00009C070000}"/>
    <cellStyle name="20% - Ênfase3 6 17" xfId="2491" xr:uid="{00000000-0005-0000-0000-00009D070000}"/>
    <cellStyle name="20% - Ênfase3 6 17 2" xfId="2492" xr:uid="{00000000-0005-0000-0000-00009E070000}"/>
    <cellStyle name="20% - Ênfase3 6 18" xfId="2493" xr:uid="{00000000-0005-0000-0000-00009F070000}"/>
    <cellStyle name="20% - Ênfase3 6 18 2" xfId="2494" xr:uid="{00000000-0005-0000-0000-0000A0070000}"/>
    <cellStyle name="20% - Ênfase3 6 19" xfId="2495" xr:uid="{00000000-0005-0000-0000-0000A1070000}"/>
    <cellStyle name="20% - Ênfase3 6 19 2" xfId="2496" xr:uid="{00000000-0005-0000-0000-0000A2070000}"/>
    <cellStyle name="20% - Ênfase3 6 2" xfId="2497" xr:uid="{00000000-0005-0000-0000-0000A3070000}"/>
    <cellStyle name="20% - Ênfase3 6 2 2" xfId="2498" xr:uid="{00000000-0005-0000-0000-0000A4070000}"/>
    <cellStyle name="20% - Ênfase3 6 2 2 2" xfId="2499" xr:uid="{00000000-0005-0000-0000-0000A5070000}"/>
    <cellStyle name="20% - Ênfase3 6 2 2 2 2" xfId="26358" xr:uid="{00000000-0005-0000-0000-0000A6070000}"/>
    <cellStyle name="20% - Ênfase3 6 2 2 3" xfId="26357" xr:uid="{00000000-0005-0000-0000-0000A7070000}"/>
    <cellStyle name="20% - Ênfase3 6 2 3" xfId="2500" xr:uid="{00000000-0005-0000-0000-0000A8070000}"/>
    <cellStyle name="20% - Ênfase3 6 2 3 2" xfId="2501" xr:uid="{00000000-0005-0000-0000-0000A9070000}"/>
    <cellStyle name="20% - Ênfase3 6 2 4" xfId="2502" xr:uid="{00000000-0005-0000-0000-0000AA070000}"/>
    <cellStyle name="20% - Ênfase3 6 2 4 2" xfId="2503" xr:uid="{00000000-0005-0000-0000-0000AB070000}"/>
    <cellStyle name="20% - Ênfase3 6 2 5" xfId="2504" xr:uid="{00000000-0005-0000-0000-0000AC070000}"/>
    <cellStyle name="20% - Ênfase3 6 2 5 2" xfId="2505" xr:uid="{00000000-0005-0000-0000-0000AD070000}"/>
    <cellStyle name="20% - Ênfase3 6 2 6" xfId="2506" xr:uid="{00000000-0005-0000-0000-0000AE070000}"/>
    <cellStyle name="20% - Ênfase3 6 20" xfId="2507" xr:uid="{00000000-0005-0000-0000-0000AF070000}"/>
    <cellStyle name="20% - Ênfase3 6 20 2" xfId="2508" xr:uid="{00000000-0005-0000-0000-0000B0070000}"/>
    <cellStyle name="20% - Ênfase3 6 21" xfId="2509" xr:uid="{00000000-0005-0000-0000-0000B1070000}"/>
    <cellStyle name="20% - Ênfase3 6 21 2" xfId="2510" xr:uid="{00000000-0005-0000-0000-0000B2070000}"/>
    <cellStyle name="20% - Ênfase3 6 22" xfId="2511" xr:uid="{00000000-0005-0000-0000-0000B3070000}"/>
    <cellStyle name="20% - Ênfase3 6 22 2" xfId="2512" xr:uid="{00000000-0005-0000-0000-0000B4070000}"/>
    <cellStyle name="20% - Ênfase3 6 23" xfId="2513" xr:uid="{00000000-0005-0000-0000-0000B5070000}"/>
    <cellStyle name="20% - Ênfase3 6 23 2" xfId="2514" xr:uid="{00000000-0005-0000-0000-0000B6070000}"/>
    <cellStyle name="20% - Ênfase3 6 24" xfId="2515" xr:uid="{00000000-0005-0000-0000-0000B7070000}"/>
    <cellStyle name="20% - Ênfase3 6 24 2" xfId="2516" xr:uid="{00000000-0005-0000-0000-0000B8070000}"/>
    <cellStyle name="20% - Ênfase3 6 25" xfId="2517" xr:uid="{00000000-0005-0000-0000-0000B9070000}"/>
    <cellStyle name="20% - Ênfase3 6 25 2" xfId="2518" xr:uid="{00000000-0005-0000-0000-0000BA070000}"/>
    <cellStyle name="20% - Ênfase3 6 26" xfId="2519" xr:uid="{00000000-0005-0000-0000-0000BB070000}"/>
    <cellStyle name="20% - Ênfase3 6 26 2" xfId="2520" xr:uid="{00000000-0005-0000-0000-0000BC070000}"/>
    <cellStyle name="20% - Ênfase3 6 27" xfId="2521" xr:uid="{00000000-0005-0000-0000-0000BD070000}"/>
    <cellStyle name="20% - Ênfase3 6 27 2" xfId="2522" xr:uid="{00000000-0005-0000-0000-0000BE070000}"/>
    <cellStyle name="20% - Ênfase3 6 28" xfId="2523" xr:uid="{00000000-0005-0000-0000-0000BF070000}"/>
    <cellStyle name="20% - Ênfase3 6 28 2" xfId="2524" xr:uid="{00000000-0005-0000-0000-0000C0070000}"/>
    <cellStyle name="20% - Ênfase3 6 29" xfId="2525" xr:uid="{00000000-0005-0000-0000-0000C1070000}"/>
    <cellStyle name="20% - Ênfase3 6 29 2" xfId="2526" xr:uid="{00000000-0005-0000-0000-0000C2070000}"/>
    <cellStyle name="20% - Ênfase3 6 3" xfId="2527" xr:uid="{00000000-0005-0000-0000-0000C3070000}"/>
    <cellStyle name="20% - Ênfase3 6 3 2" xfId="2528" xr:uid="{00000000-0005-0000-0000-0000C4070000}"/>
    <cellStyle name="20% - Ênfase3 6 3 2 2" xfId="2529" xr:uid="{00000000-0005-0000-0000-0000C5070000}"/>
    <cellStyle name="20% - Ênfase3 6 3 3" xfId="2530" xr:uid="{00000000-0005-0000-0000-0000C6070000}"/>
    <cellStyle name="20% - Ênfase3 6 3 3 2" xfId="2531" xr:uid="{00000000-0005-0000-0000-0000C7070000}"/>
    <cellStyle name="20% - Ênfase3 6 3 4" xfId="2532" xr:uid="{00000000-0005-0000-0000-0000C8070000}"/>
    <cellStyle name="20% - Ênfase3 6 3 4 2" xfId="2533" xr:uid="{00000000-0005-0000-0000-0000C9070000}"/>
    <cellStyle name="20% - Ênfase3 6 3 5" xfId="2534" xr:uid="{00000000-0005-0000-0000-0000CA070000}"/>
    <cellStyle name="20% - Ênfase3 6 3 5 2" xfId="2535" xr:uid="{00000000-0005-0000-0000-0000CB070000}"/>
    <cellStyle name="20% - Ênfase3 6 3 6" xfId="2536" xr:uid="{00000000-0005-0000-0000-0000CC070000}"/>
    <cellStyle name="20% - Ênfase3 6 30" xfId="2537" xr:uid="{00000000-0005-0000-0000-0000CD070000}"/>
    <cellStyle name="20% - Ênfase3 6 30 2" xfId="2538" xr:uid="{00000000-0005-0000-0000-0000CE070000}"/>
    <cellStyle name="20% - Ênfase3 6 31" xfId="2539" xr:uid="{00000000-0005-0000-0000-0000CF070000}"/>
    <cellStyle name="20% - Ênfase3 6 31 2" xfId="2540" xr:uid="{00000000-0005-0000-0000-0000D0070000}"/>
    <cellStyle name="20% - Ênfase3 6 32" xfId="2541" xr:uid="{00000000-0005-0000-0000-0000D1070000}"/>
    <cellStyle name="20% - Ênfase3 6 32 2" xfId="2542" xr:uid="{00000000-0005-0000-0000-0000D2070000}"/>
    <cellStyle name="20% - Ênfase3 6 33" xfId="2543" xr:uid="{00000000-0005-0000-0000-0000D3070000}"/>
    <cellStyle name="20% - Ênfase3 6 33 2" xfId="2544" xr:uid="{00000000-0005-0000-0000-0000D4070000}"/>
    <cellStyle name="20% - Ênfase3 6 34" xfId="2545" xr:uid="{00000000-0005-0000-0000-0000D5070000}"/>
    <cellStyle name="20% - Ênfase3 6 34 2" xfId="2546" xr:uid="{00000000-0005-0000-0000-0000D6070000}"/>
    <cellStyle name="20% - Ênfase3 6 35" xfId="2547" xr:uid="{00000000-0005-0000-0000-0000D7070000}"/>
    <cellStyle name="20% - Ênfase3 6 35 2" xfId="2548" xr:uid="{00000000-0005-0000-0000-0000D8070000}"/>
    <cellStyle name="20% - Ênfase3 6 36" xfId="2549" xr:uid="{00000000-0005-0000-0000-0000D9070000}"/>
    <cellStyle name="20% - Ênfase3 6 36 2" xfId="2550" xr:uid="{00000000-0005-0000-0000-0000DA070000}"/>
    <cellStyle name="20% - Ênfase3 6 37" xfId="2551" xr:uid="{00000000-0005-0000-0000-0000DB070000}"/>
    <cellStyle name="20% - Ênfase3 6 4" xfId="2552" xr:uid="{00000000-0005-0000-0000-0000DC070000}"/>
    <cellStyle name="20% - Ênfase3 6 4 2" xfId="2553" xr:uid="{00000000-0005-0000-0000-0000DD070000}"/>
    <cellStyle name="20% - Ênfase3 6 4 2 2" xfId="2554" xr:uid="{00000000-0005-0000-0000-0000DE070000}"/>
    <cellStyle name="20% - Ênfase3 6 4 3" xfId="2555" xr:uid="{00000000-0005-0000-0000-0000DF070000}"/>
    <cellStyle name="20% - Ênfase3 6 4 3 2" xfId="2556" xr:uid="{00000000-0005-0000-0000-0000E0070000}"/>
    <cellStyle name="20% - Ênfase3 6 4 4" xfId="2557" xr:uid="{00000000-0005-0000-0000-0000E1070000}"/>
    <cellStyle name="20% - Ênfase3 6 4 4 2" xfId="2558" xr:uid="{00000000-0005-0000-0000-0000E2070000}"/>
    <cellStyle name="20% - Ênfase3 6 4 5" xfId="2559" xr:uid="{00000000-0005-0000-0000-0000E3070000}"/>
    <cellStyle name="20% - Ênfase3 6 4 5 2" xfId="2560" xr:uid="{00000000-0005-0000-0000-0000E4070000}"/>
    <cellStyle name="20% - Ênfase3 6 4 6" xfId="2561" xr:uid="{00000000-0005-0000-0000-0000E5070000}"/>
    <cellStyle name="20% - Ênfase3 6 5" xfId="2562" xr:uid="{00000000-0005-0000-0000-0000E6070000}"/>
    <cellStyle name="20% - Ênfase3 6 5 2" xfId="2563" xr:uid="{00000000-0005-0000-0000-0000E7070000}"/>
    <cellStyle name="20% - Ênfase3 6 6" xfId="2564" xr:uid="{00000000-0005-0000-0000-0000E8070000}"/>
    <cellStyle name="20% - Ênfase3 6 6 2" xfId="2565" xr:uid="{00000000-0005-0000-0000-0000E9070000}"/>
    <cellStyle name="20% - Ênfase3 6 7" xfId="2566" xr:uid="{00000000-0005-0000-0000-0000EA070000}"/>
    <cellStyle name="20% - Ênfase3 6 7 2" xfId="2567" xr:uid="{00000000-0005-0000-0000-0000EB070000}"/>
    <cellStyle name="20% - Ênfase3 6 8" xfId="2568" xr:uid="{00000000-0005-0000-0000-0000EC070000}"/>
    <cellStyle name="20% - Ênfase3 6 8 2" xfId="2569" xr:uid="{00000000-0005-0000-0000-0000ED070000}"/>
    <cellStyle name="20% - Ênfase3 6 9" xfId="2570" xr:uid="{00000000-0005-0000-0000-0000EE070000}"/>
    <cellStyle name="20% - Ênfase3 6 9 2" xfId="2571" xr:uid="{00000000-0005-0000-0000-0000EF070000}"/>
    <cellStyle name="20% - Ênfase3 7" xfId="2572" xr:uid="{00000000-0005-0000-0000-0000F0070000}"/>
    <cellStyle name="20% - Ênfase3 7 10" xfId="2573" xr:uid="{00000000-0005-0000-0000-0000F1070000}"/>
    <cellStyle name="20% - Ênfase3 7 10 2" xfId="2574" xr:uid="{00000000-0005-0000-0000-0000F2070000}"/>
    <cellStyle name="20% - Ênfase3 7 11" xfId="2575" xr:uid="{00000000-0005-0000-0000-0000F3070000}"/>
    <cellStyle name="20% - Ênfase3 7 11 2" xfId="2576" xr:uid="{00000000-0005-0000-0000-0000F4070000}"/>
    <cellStyle name="20% - Ênfase3 7 12" xfId="2577" xr:uid="{00000000-0005-0000-0000-0000F5070000}"/>
    <cellStyle name="20% - Ênfase3 7 12 2" xfId="2578" xr:uid="{00000000-0005-0000-0000-0000F6070000}"/>
    <cellStyle name="20% - Ênfase3 7 13" xfId="2579" xr:uid="{00000000-0005-0000-0000-0000F7070000}"/>
    <cellStyle name="20% - Ênfase3 7 13 2" xfId="2580" xr:uid="{00000000-0005-0000-0000-0000F8070000}"/>
    <cellStyle name="20% - Ênfase3 7 14" xfId="2581" xr:uid="{00000000-0005-0000-0000-0000F9070000}"/>
    <cellStyle name="20% - Ênfase3 7 14 2" xfId="2582" xr:uid="{00000000-0005-0000-0000-0000FA070000}"/>
    <cellStyle name="20% - Ênfase3 7 15" xfId="2583" xr:uid="{00000000-0005-0000-0000-0000FB070000}"/>
    <cellStyle name="20% - Ênfase3 7 15 2" xfId="2584" xr:uid="{00000000-0005-0000-0000-0000FC070000}"/>
    <cellStyle name="20% - Ênfase3 7 16" xfId="2585" xr:uid="{00000000-0005-0000-0000-0000FD070000}"/>
    <cellStyle name="20% - Ênfase3 7 16 2" xfId="2586" xr:uid="{00000000-0005-0000-0000-0000FE070000}"/>
    <cellStyle name="20% - Ênfase3 7 17" xfId="2587" xr:uid="{00000000-0005-0000-0000-0000FF070000}"/>
    <cellStyle name="20% - Ênfase3 7 17 2" xfId="2588" xr:uid="{00000000-0005-0000-0000-000000080000}"/>
    <cellStyle name="20% - Ênfase3 7 18" xfId="2589" xr:uid="{00000000-0005-0000-0000-000001080000}"/>
    <cellStyle name="20% - Ênfase3 7 18 2" xfId="2590" xr:uid="{00000000-0005-0000-0000-000002080000}"/>
    <cellStyle name="20% - Ênfase3 7 19" xfId="2591" xr:uid="{00000000-0005-0000-0000-000003080000}"/>
    <cellStyle name="20% - Ênfase3 7 19 2" xfId="2592" xr:uid="{00000000-0005-0000-0000-000004080000}"/>
    <cellStyle name="20% - Ênfase3 7 2" xfId="2593" xr:uid="{00000000-0005-0000-0000-000005080000}"/>
    <cellStyle name="20% - Ênfase3 7 2 2" xfId="2594" xr:uid="{00000000-0005-0000-0000-000006080000}"/>
    <cellStyle name="20% - Ênfase3 7 2 2 2" xfId="2595" xr:uid="{00000000-0005-0000-0000-000007080000}"/>
    <cellStyle name="20% - Ênfase3 7 2 2 2 2" xfId="26360" xr:uid="{00000000-0005-0000-0000-000008080000}"/>
    <cellStyle name="20% - Ênfase3 7 2 2 3" xfId="26359" xr:uid="{00000000-0005-0000-0000-000009080000}"/>
    <cellStyle name="20% - Ênfase3 7 2 3" xfId="2596" xr:uid="{00000000-0005-0000-0000-00000A080000}"/>
    <cellStyle name="20% - Ênfase3 7 2 3 2" xfId="2597" xr:uid="{00000000-0005-0000-0000-00000B080000}"/>
    <cellStyle name="20% - Ênfase3 7 2 4" xfId="2598" xr:uid="{00000000-0005-0000-0000-00000C080000}"/>
    <cellStyle name="20% - Ênfase3 7 2 4 2" xfId="2599" xr:uid="{00000000-0005-0000-0000-00000D080000}"/>
    <cellStyle name="20% - Ênfase3 7 2 5" xfId="2600" xr:uid="{00000000-0005-0000-0000-00000E080000}"/>
    <cellStyle name="20% - Ênfase3 7 2 5 2" xfId="2601" xr:uid="{00000000-0005-0000-0000-00000F080000}"/>
    <cellStyle name="20% - Ênfase3 7 2 6" xfId="2602" xr:uid="{00000000-0005-0000-0000-000010080000}"/>
    <cellStyle name="20% - Ênfase3 7 20" xfId="2603" xr:uid="{00000000-0005-0000-0000-000011080000}"/>
    <cellStyle name="20% - Ênfase3 7 20 2" xfId="2604" xr:uid="{00000000-0005-0000-0000-000012080000}"/>
    <cellStyle name="20% - Ênfase3 7 21" xfId="2605" xr:uid="{00000000-0005-0000-0000-000013080000}"/>
    <cellStyle name="20% - Ênfase3 7 21 2" xfId="2606" xr:uid="{00000000-0005-0000-0000-000014080000}"/>
    <cellStyle name="20% - Ênfase3 7 22" xfId="2607" xr:uid="{00000000-0005-0000-0000-000015080000}"/>
    <cellStyle name="20% - Ênfase3 7 22 2" xfId="2608" xr:uid="{00000000-0005-0000-0000-000016080000}"/>
    <cellStyle name="20% - Ênfase3 7 23" xfId="2609" xr:uid="{00000000-0005-0000-0000-000017080000}"/>
    <cellStyle name="20% - Ênfase3 7 23 2" xfId="2610" xr:uid="{00000000-0005-0000-0000-000018080000}"/>
    <cellStyle name="20% - Ênfase3 7 24" xfId="2611" xr:uid="{00000000-0005-0000-0000-000019080000}"/>
    <cellStyle name="20% - Ênfase3 7 24 2" xfId="2612" xr:uid="{00000000-0005-0000-0000-00001A080000}"/>
    <cellStyle name="20% - Ênfase3 7 25" xfId="2613" xr:uid="{00000000-0005-0000-0000-00001B080000}"/>
    <cellStyle name="20% - Ênfase3 7 25 2" xfId="2614" xr:uid="{00000000-0005-0000-0000-00001C080000}"/>
    <cellStyle name="20% - Ênfase3 7 26" xfId="2615" xr:uid="{00000000-0005-0000-0000-00001D080000}"/>
    <cellStyle name="20% - Ênfase3 7 26 2" xfId="2616" xr:uid="{00000000-0005-0000-0000-00001E080000}"/>
    <cellStyle name="20% - Ênfase3 7 27" xfId="2617" xr:uid="{00000000-0005-0000-0000-00001F080000}"/>
    <cellStyle name="20% - Ênfase3 7 27 2" xfId="2618" xr:uid="{00000000-0005-0000-0000-000020080000}"/>
    <cellStyle name="20% - Ênfase3 7 28" xfId="2619" xr:uid="{00000000-0005-0000-0000-000021080000}"/>
    <cellStyle name="20% - Ênfase3 7 28 2" xfId="2620" xr:uid="{00000000-0005-0000-0000-000022080000}"/>
    <cellStyle name="20% - Ênfase3 7 29" xfId="2621" xr:uid="{00000000-0005-0000-0000-000023080000}"/>
    <cellStyle name="20% - Ênfase3 7 29 2" xfId="2622" xr:uid="{00000000-0005-0000-0000-000024080000}"/>
    <cellStyle name="20% - Ênfase3 7 3" xfId="2623" xr:uid="{00000000-0005-0000-0000-000025080000}"/>
    <cellStyle name="20% - Ênfase3 7 3 2" xfId="2624" xr:uid="{00000000-0005-0000-0000-000026080000}"/>
    <cellStyle name="20% - Ênfase3 7 3 2 2" xfId="2625" xr:uid="{00000000-0005-0000-0000-000027080000}"/>
    <cellStyle name="20% - Ênfase3 7 3 3" xfId="2626" xr:uid="{00000000-0005-0000-0000-000028080000}"/>
    <cellStyle name="20% - Ênfase3 7 3 3 2" xfId="2627" xr:uid="{00000000-0005-0000-0000-000029080000}"/>
    <cellStyle name="20% - Ênfase3 7 3 4" xfId="2628" xr:uid="{00000000-0005-0000-0000-00002A080000}"/>
    <cellStyle name="20% - Ênfase3 7 3 4 2" xfId="2629" xr:uid="{00000000-0005-0000-0000-00002B080000}"/>
    <cellStyle name="20% - Ênfase3 7 3 5" xfId="2630" xr:uid="{00000000-0005-0000-0000-00002C080000}"/>
    <cellStyle name="20% - Ênfase3 7 3 5 2" xfId="2631" xr:uid="{00000000-0005-0000-0000-00002D080000}"/>
    <cellStyle name="20% - Ênfase3 7 3 6" xfId="2632" xr:uid="{00000000-0005-0000-0000-00002E080000}"/>
    <cellStyle name="20% - Ênfase3 7 30" xfId="2633" xr:uid="{00000000-0005-0000-0000-00002F080000}"/>
    <cellStyle name="20% - Ênfase3 7 30 2" xfId="2634" xr:uid="{00000000-0005-0000-0000-000030080000}"/>
    <cellStyle name="20% - Ênfase3 7 31" xfId="2635" xr:uid="{00000000-0005-0000-0000-000031080000}"/>
    <cellStyle name="20% - Ênfase3 7 31 2" xfId="2636" xr:uid="{00000000-0005-0000-0000-000032080000}"/>
    <cellStyle name="20% - Ênfase3 7 32" xfId="2637" xr:uid="{00000000-0005-0000-0000-000033080000}"/>
    <cellStyle name="20% - Ênfase3 7 32 2" xfId="2638" xr:uid="{00000000-0005-0000-0000-000034080000}"/>
    <cellStyle name="20% - Ênfase3 7 33" xfId="2639" xr:uid="{00000000-0005-0000-0000-000035080000}"/>
    <cellStyle name="20% - Ênfase3 7 33 2" xfId="2640" xr:uid="{00000000-0005-0000-0000-000036080000}"/>
    <cellStyle name="20% - Ênfase3 7 34" xfId="2641" xr:uid="{00000000-0005-0000-0000-000037080000}"/>
    <cellStyle name="20% - Ênfase3 7 34 2" xfId="2642" xr:uid="{00000000-0005-0000-0000-000038080000}"/>
    <cellStyle name="20% - Ênfase3 7 35" xfId="2643" xr:uid="{00000000-0005-0000-0000-000039080000}"/>
    <cellStyle name="20% - Ênfase3 7 35 2" xfId="2644" xr:uid="{00000000-0005-0000-0000-00003A080000}"/>
    <cellStyle name="20% - Ênfase3 7 36" xfId="2645" xr:uid="{00000000-0005-0000-0000-00003B080000}"/>
    <cellStyle name="20% - Ênfase3 7 36 2" xfId="2646" xr:uid="{00000000-0005-0000-0000-00003C080000}"/>
    <cellStyle name="20% - Ênfase3 7 37" xfId="2647" xr:uid="{00000000-0005-0000-0000-00003D080000}"/>
    <cellStyle name="20% - Ênfase3 7 4" xfId="2648" xr:uid="{00000000-0005-0000-0000-00003E080000}"/>
    <cellStyle name="20% - Ênfase3 7 4 2" xfId="2649" xr:uid="{00000000-0005-0000-0000-00003F080000}"/>
    <cellStyle name="20% - Ênfase3 7 4 2 2" xfId="2650" xr:uid="{00000000-0005-0000-0000-000040080000}"/>
    <cellStyle name="20% - Ênfase3 7 4 3" xfId="2651" xr:uid="{00000000-0005-0000-0000-000041080000}"/>
    <cellStyle name="20% - Ênfase3 7 4 3 2" xfId="2652" xr:uid="{00000000-0005-0000-0000-000042080000}"/>
    <cellStyle name="20% - Ênfase3 7 4 4" xfId="2653" xr:uid="{00000000-0005-0000-0000-000043080000}"/>
    <cellStyle name="20% - Ênfase3 7 4 4 2" xfId="2654" xr:uid="{00000000-0005-0000-0000-000044080000}"/>
    <cellStyle name="20% - Ênfase3 7 4 5" xfId="2655" xr:uid="{00000000-0005-0000-0000-000045080000}"/>
    <cellStyle name="20% - Ênfase3 7 4 5 2" xfId="2656" xr:uid="{00000000-0005-0000-0000-000046080000}"/>
    <cellStyle name="20% - Ênfase3 7 4 6" xfId="2657" xr:uid="{00000000-0005-0000-0000-000047080000}"/>
    <cellStyle name="20% - Ênfase3 7 5" xfId="2658" xr:uid="{00000000-0005-0000-0000-000048080000}"/>
    <cellStyle name="20% - Ênfase3 7 5 2" xfId="2659" xr:uid="{00000000-0005-0000-0000-000049080000}"/>
    <cellStyle name="20% - Ênfase3 7 6" xfId="2660" xr:uid="{00000000-0005-0000-0000-00004A080000}"/>
    <cellStyle name="20% - Ênfase3 7 6 2" xfId="2661" xr:uid="{00000000-0005-0000-0000-00004B080000}"/>
    <cellStyle name="20% - Ênfase3 7 7" xfId="2662" xr:uid="{00000000-0005-0000-0000-00004C080000}"/>
    <cellStyle name="20% - Ênfase3 7 7 2" xfId="2663" xr:uid="{00000000-0005-0000-0000-00004D080000}"/>
    <cellStyle name="20% - Ênfase3 7 8" xfId="2664" xr:uid="{00000000-0005-0000-0000-00004E080000}"/>
    <cellStyle name="20% - Ênfase3 7 8 2" xfId="2665" xr:uid="{00000000-0005-0000-0000-00004F080000}"/>
    <cellStyle name="20% - Ênfase3 7 9" xfId="2666" xr:uid="{00000000-0005-0000-0000-000050080000}"/>
    <cellStyle name="20% - Ênfase3 7 9 2" xfId="2667" xr:uid="{00000000-0005-0000-0000-000051080000}"/>
    <cellStyle name="20% - Ênfase3 8" xfId="2668" xr:uid="{00000000-0005-0000-0000-000052080000}"/>
    <cellStyle name="20% - Ênfase3 8 10" xfId="2669" xr:uid="{00000000-0005-0000-0000-000053080000}"/>
    <cellStyle name="20% - Ênfase3 8 10 2" xfId="2670" xr:uid="{00000000-0005-0000-0000-000054080000}"/>
    <cellStyle name="20% - Ênfase3 8 2" xfId="2671" xr:uid="{00000000-0005-0000-0000-000055080000}"/>
    <cellStyle name="20% - Ênfase3 8 2 2" xfId="2672" xr:uid="{00000000-0005-0000-0000-000056080000}"/>
    <cellStyle name="20% - Ênfase3 8 2 2 2" xfId="25223" xr:uid="{00000000-0005-0000-0000-000057080000}"/>
    <cellStyle name="20% - Ênfase3 8 2 2 2 2" xfId="26363" xr:uid="{00000000-0005-0000-0000-000058080000}"/>
    <cellStyle name="20% - Ênfase3 8 2 2 3" xfId="26362" xr:uid="{00000000-0005-0000-0000-000059080000}"/>
    <cellStyle name="20% - Ênfase3 8 2 3" xfId="25224" xr:uid="{00000000-0005-0000-0000-00005A080000}"/>
    <cellStyle name="20% - Ênfase3 8 2 3 2" xfId="26364" xr:uid="{00000000-0005-0000-0000-00005B080000}"/>
    <cellStyle name="20% - Ênfase3 8 2 4" xfId="26361" xr:uid="{00000000-0005-0000-0000-00005C080000}"/>
    <cellStyle name="20% - Ênfase3 8 3" xfId="2673" xr:uid="{00000000-0005-0000-0000-00005D080000}"/>
    <cellStyle name="20% - Ênfase3 8 3 2" xfId="2674" xr:uid="{00000000-0005-0000-0000-00005E080000}"/>
    <cellStyle name="20% - Ênfase3 8 3 2 2" xfId="26366" xr:uid="{00000000-0005-0000-0000-00005F080000}"/>
    <cellStyle name="20% - Ênfase3 8 3 3" xfId="26365" xr:uid="{00000000-0005-0000-0000-000060080000}"/>
    <cellStyle name="20% - Ênfase3 8 4" xfId="2675" xr:uid="{00000000-0005-0000-0000-000061080000}"/>
    <cellStyle name="20% - Ênfase3 8 4 2" xfId="2676" xr:uid="{00000000-0005-0000-0000-000062080000}"/>
    <cellStyle name="20% - Ênfase3 8 5" xfId="2677" xr:uid="{00000000-0005-0000-0000-000063080000}"/>
    <cellStyle name="20% - Ênfase3 8 5 2" xfId="2678" xr:uid="{00000000-0005-0000-0000-000064080000}"/>
    <cellStyle name="20% - Ênfase3 8 6" xfId="2679" xr:uid="{00000000-0005-0000-0000-000065080000}"/>
    <cellStyle name="20% - Ênfase3 8 6 2" xfId="2680" xr:uid="{00000000-0005-0000-0000-000066080000}"/>
    <cellStyle name="20% - Ênfase3 8 7" xfId="2681" xr:uid="{00000000-0005-0000-0000-000067080000}"/>
    <cellStyle name="20% - Ênfase3 8 7 2" xfId="2682" xr:uid="{00000000-0005-0000-0000-000068080000}"/>
    <cellStyle name="20% - Ênfase3 8 8" xfId="2683" xr:uid="{00000000-0005-0000-0000-000069080000}"/>
    <cellStyle name="20% - Ênfase3 8 8 2" xfId="2684" xr:uid="{00000000-0005-0000-0000-00006A080000}"/>
    <cellStyle name="20% - Ênfase3 8 9" xfId="2685" xr:uid="{00000000-0005-0000-0000-00006B080000}"/>
    <cellStyle name="20% - Ênfase3 8 9 2" xfId="2686" xr:uid="{00000000-0005-0000-0000-00006C080000}"/>
    <cellStyle name="20% - Ênfase3 9" xfId="2687" xr:uid="{00000000-0005-0000-0000-00006D080000}"/>
    <cellStyle name="20% - Ênfase3 9 10" xfId="2688" xr:uid="{00000000-0005-0000-0000-00006E080000}"/>
    <cellStyle name="20% - Ênfase3 9 10 2" xfId="2689" xr:uid="{00000000-0005-0000-0000-00006F080000}"/>
    <cellStyle name="20% - Ênfase3 9 11" xfId="2690" xr:uid="{00000000-0005-0000-0000-000070080000}"/>
    <cellStyle name="20% - Ênfase3 9 12" xfId="2691" xr:uid="{00000000-0005-0000-0000-000071080000}"/>
    <cellStyle name="20% - Ênfase3 9 2" xfId="2692" xr:uid="{00000000-0005-0000-0000-000072080000}"/>
    <cellStyle name="20% - Ênfase3 9 2 2" xfId="2693" xr:uid="{00000000-0005-0000-0000-000073080000}"/>
    <cellStyle name="20% - Ênfase3 9 2 2 2" xfId="26368" xr:uid="{00000000-0005-0000-0000-000074080000}"/>
    <cellStyle name="20% - Ênfase3 9 2 3" xfId="26367" xr:uid="{00000000-0005-0000-0000-000075080000}"/>
    <cellStyle name="20% - Ênfase3 9 3" xfId="2694" xr:uid="{00000000-0005-0000-0000-000076080000}"/>
    <cellStyle name="20% - Ênfase3 9 3 2" xfId="2695" xr:uid="{00000000-0005-0000-0000-000077080000}"/>
    <cellStyle name="20% - Ênfase3 9 4" xfId="2696" xr:uid="{00000000-0005-0000-0000-000078080000}"/>
    <cellStyle name="20% - Ênfase3 9 4 2" xfId="2697" xr:uid="{00000000-0005-0000-0000-000079080000}"/>
    <cellStyle name="20% - Ênfase3 9 5" xfId="2698" xr:uid="{00000000-0005-0000-0000-00007A080000}"/>
    <cellStyle name="20% - Ênfase3 9 5 2" xfId="2699" xr:uid="{00000000-0005-0000-0000-00007B080000}"/>
    <cellStyle name="20% - Ênfase3 9 6" xfId="2700" xr:uid="{00000000-0005-0000-0000-00007C080000}"/>
    <cellStyle name="20% - Ênfase3 9 6 2" xfId="2701" xr:uid="{00000000-0005-0000-0000-00007D080000}"/>
    <cellStyle name="20% - Ênfase3 9 7" xfId="2702" xr:uid="{00000000-0005-0000-0000-00007E080000}"/>
    <cellStyle name="20% - Ênfase3 9 7 2" xfId="2703" xr:uid="{00000000-0005-0000-0000-00007F080000}"/>
    <cellStyle name="20% - Ênfase3 9 8" xfId="2704" xr:uid="{00000000-0005-0000-0000-000080080000}"/>
    <cellStyle name="20% - Ênfase3 9 8 2" xfId="2705" xr:uid="{00000000-0005-0000-0000-000081080000}"/>
    <cellStyle name="20% - Ênfase3 9 9" xfId="2706" xr:uid="{00000000-0005-0000-0000-000082080000}"/>
    <cellStyle name="20% - Ênfase3 9 9 2" xfId="2707" xr:uid="{00000000-0005-0000-0000-000083080000}"/>
    <cellStyle name="20% - Ênfase4" xfId="18" builtinId="42" customBuiltin="1"/>
    <cellStyle name="20% - Ênfase4 10" xfId="2708" xr:uid="{00000000-0005-0000-0000-000085080000}"/>
    <cellStyle name="20% - Ênfase4 10 2" xfId="2709" xr:uid="{00000000-0005-0000-0000-000086080000}"/>
    <cellStyle name="20% - Ênfase4 10 2 2" xfId="2710" xr:uid="{00000000-0005-0000-0000-000087080000}"/>
    <cellStyle name="20% - Ênfase4 10 2 2 2" xfId="26370" xr:uid="{00000000-0005-0000-0000-000088080000}"/>
    <cellStyle name="20% - Ênfase4 10 2 3" xfId="26369" xr:uid="{00000000-0005-0000-0000-000089080000}"/>
    <cellStyle name="20% - Ênfase4 10 3" xfId="2711" xr:uid="{00000000-0005-0000-0000-00008A080000}"/>
    <cellStyle name="20% - Ênfase4 10 3 2" xfId="2712" xr:uid="{00000000-0005-0000-0000-00008B080000}"/>
    <cellStyle name="20% - Ênfase4 10 4" xfId="2713" xr:uid="{00000000-0005-0000-0000-00008C080000}"/>
    <cellStyle name="20% - Ênfase4 10 4 2" xfId="2714" xr:uid="{00000000-0005-0000-0000-00008D080000}"/>
    <cellStyle name="20% - Ênfase4 10 5" xfId="2715" xr:uid="{00000000-0005-0000-0000-00008E080000}"/>
    <cellStyle name="20% - Ênfase4 10 5 2" xfId="2716" xr:uid="{00000000-0005-0000-0000-00008F080000}"/>
    <cellStyle name="20% - Ênfase4 10 6" xfId="2717" xr:uid="{00000000-0005-0000-0000-000090080000}"/>
    <cellStyle name="20% - Ênfase4 11" xfId="2718" xr:uid="{00000000-0005-0000-0000-000091080000}"/>
    <cellStyle name="20% - Ênfase4 11 2" xfId="2719" xr:uid="{00000000-0005-0000-0000-000092080000}"/>
    <cellStyle name="20% - Ênfase4 11 2 2" xfId="2720" xr:uid="{00000000-0005-0000-0000-000093080000}"/>
    <cellStyle name="20% - Ênfase4 11 2 3" xfId="26371" xr:uid="{00000000-0005-0000-0000-000094080000}"/>
    <cellStyle name="20% - Ênfase4 11 3" xfId="2721" xr:uid="{00000000-0005-0000-0000-000095080000}"/>
    <cellStyle name="20% - Ênfase4 11 3 2" xfId="2722" xr:uid="{00000000-0005-0000-0000-000096080000}"/>
    <cellStyle name="20% - Ênfase4 11 4" xfId="2723" xr:uid="{00000000-0005-0000-0000-000097080000}"/>
    <cellStyle name="20% - Ênfase4 11 4 2" xfId="2724" xr:uid="{00000000-0005-0000-0000-000098080000}"/>
    <cellStyle name="20% - Ênfase4 11 5" xfId="2725" xr:uid="{00000000-0005-0000-0000-000099080000}"/>
    <cellStyle name="20% - Ênfase4 11 5 2" xfId="2726" xr:uid="{00000000-0005-0000-0000-00009A080000}"/>
    <cellStyle name="20% - Ênfase4 11 6" xfId="2727" xr:uid="{00000000-0005-0000-0000-00009B080000}"/>
    <cellStyle name="20% - Ênfase4 11 7" xfId="25225" xr:uid="{00000000-0005-0000-0000-00009C080000}"/>
    <cellStyle name="20% - Ênfase4 12" xfId="2728" xr:uid="{00000000-0005-0000-0000-00009D080000}"/>
    <cellStyle name="20% - Ênfase4 12 2" xfId="2729" xr:uid="{00000000-0005-0000-0000-00009E080000}"/>
    <cellStyle name="20% - Ênfase4 12 2 2" xfId="2730" xr:uid="{00000000-0005-0000-0000-00009F080000}"/>
    <cellStyle name="20% - Ênfase4 12 2 2 2" xfId="26373" xr:uid="{00000000-0005-0000-0000-0000A0080000}"/>
    <cellStyle name="20% - Ênfase4 12 2 3" xfId="26372" xr:uid="{00000000-0005-0000-0000-0000A1080000}"/>
    <cellStyle name="20% - Ênfase4 12 3" xfId="2731" xr:uid="{00000000-0005-0000-0000-0000A2080000}"/>
    <cellStyle name="20% - Ênfase4 12 3 2" xfId="2732" xr:uid="{00000000-0005-0000-0000-0000A3080000}"/>
    <cellStyle name="20% - Ênfase4 12 4" xfId="2733" xr:uid="{00000000-0005-0000-0000-0000A4080000}"/>
    <cellStyle name="20% - Ênfase4 12 4 2" xfId="2734" xr:uid="{00000000-0005-0000-0000-0000A5080000}"/>
    <cellStyle name="20% - Ênfase4 12 5" xfId="2735" xr:uid="{00000000-0005-0000-0000-0000A6080000}"/>
    <cellStyle name="20% - Ênfase4 12 5 2" xfId="2736" xr:uid="{00000000-0005-0000-0000-0000A7080000}"/>
    <cellStyle name="20% - Ênfase4 12 6" xfId="2737" xr:uid="{00000000-0005-0000-0000-0000A8080000}"/>
    <cellStyle name="20% - Ênfase4 13" xfId="2738" xr:uid="{00000000-0005-0000-0000-0000A9080000}"/>
    <cellStyle name="20% - Ênfase4 13 2" xfId="2739" xr:uid="{00000000-0005-0000-0000-0000AA080000}"/>
    <cellStyle name="20% - Ênfase4 14" xfId="2740" xr:uid="{00000000-0005-0000-0000-0000AB080000}"/>
    <cellStyle name="20% - Ênfase4 14 2" xfId="2741" xr:uid="{00000000-0005-0000-0000-0000AC080000}"/>
    <cellStyle name="20% - Ênfase4 15" xfId="2742" xr:uid="{00000000-0005-0000-0000-0000AD080000}"/>
    <cellStyle name="20% - Ênfase4 15 2" xfId="2743" xr:uid="{00000000-0005-0000-0000-0000AE080000}"/>
    <cellStyle name="20% - Ênfase4 16" xfId="2744" xr:uid="{00000000-0005-0000-0000-0000AF080000}"/>
    <cellStyle name="20% - Ênfase4 16 2" xfId="2745" xr:uid="{00000000-0005-0000-0000-0000B0080000}"/>
    <cellStyle name="20% - Ênfase4 17" xfId="2746" xr:uid="{00000000-0005-0000-0000-0000B1080000}"/>
    <cellStyle name="20% - Ênfase4 17 2" xfId="2747" xr:uid="{00000000-0005-0000-0000-0000B2080000}"/>
    <cellStyle name="20% - Ênfase4 18" xfId="2748" xr:uid="{00000000-0005-0000-0000-0000B3080000}"/>
    <cellStyle name="20% - Ênfase4 18 2" xfId="2749" xr:uid="{00000000-0005-0000-0000-0000B4080000}"/>
    <cellStyle name="20% - Ênfase4 19" xfId="2750" xr:uid="{00000000-0005-0000-0000-0000B5080000}"/>
    <cellStyle name="20% - Ênfase4 19 2" xfId="2751" xr:uid="{00000000-0005-0000-0000-0000B6080000}"/>
    <cellStyle name="20% - Ênfase4 2" xfId="2752" xr:uid="{00000000-0005-0000-0000-0000B7080000}"/>
    <cellStyle name="20% - Ênfase4 2 2" xfId="2753" xr:uid="{00000000-0005-0000-0000-0000B8080000}"/>
    <cellStyle name="20% - Ênfase4 2 2 10" xfId="2754" xr:uid="{00000000-0005-0000-0000-0000B9080000}"/>
    <cellStyle name="20% - Ênfase4 2 2 10 2" xfId="2755" xr:uid="{00000000-0005-0000-0000-0000BA080000}"/>
    <cellStyle name="20% - Ênfase4 2 2 11" xfId="2756" xr:uid="{00000000-0005-0000-0000-0000BB080000}"/>
    <cellStyle name="20% - Ênfase4 2 2 11 2" xfId="2757" xr:uid="{00000000-0005-0000-0000-0000BC080000}"/>
    <cellStyle name="20% - Ênfase4 2 2 12" xfId="2758" xr:uid="{00000000-0005-0000-0000-0000BD080000}"/>
    <cellStyle name="20% - Ênfase4 2 2 12 2" xfId="2759" xr:uid="{00000000-0005-0000-0000-0000BE080000}"/>
    <cellStyle name="20% - Ênfase4 2 2 13" xfId="25226" xr:uid="{00000000-0005-0000-0000-0000BF080000}"/>
    <cellStyle name="20% - Ênfase4 2 2 2" xfId="2760" xr:uid="{00000000-0005-0000-0000-0000C0080000}"/>
    <cellStyle name="20% - Ênfase4 2 2 2 10" xfId="2761" xr:uid="{00000000-0005-0000-0000-0000C1080000}"/>
    <cellStyle name="20% - Ênfase4 2 2 2 11" xfId="2762" xr:uid="{00000000-0005-0000-0000-0000C2080000}"/>
    <cellStyle name="20% - Ênfase4 2 2 2 2" xfId="2763" xr:uid="{00000000-0005-0000-0000-0000C3080000}"/>
    <cellStyle name="20% - Ênfase4 2 2 2 2 2" xfId="25228" xr:uid="{00000000-0005-0000-0000-0000C4080000}"/>
    <cellStyle name="20% - Ênfase4 2 2 2 2 2 2" xfId="26378" xr:uid="{00000000-0005-0000-0000-0000C5080000}"/>
    <cellStyle name="20% - Ênfase4 2 2 2 2 3" xfId="26377" xr:uid="{00000000-0005-0000-0000-0000C6080000}"/>
    <cellStyle name="20% - Ênfase4 2 2 2 2 4" xfId="25227" xr:uid="{00000000-0005-0000-0000-0000C7080000}"/>
    <cellStyle name="20% - Ênfase4 2 2 2 3" xfId="2764" xr:uid="{00000000-0005-0000-0000-0000C8080000}"/>
    <cellStyle name="20% - Ênfase4 2 2 2 3 2" xfId="26379" xr:uid="{00000000-0005-0000-0000-0000C9080000}"/>
    <cellStyle name="20% - Ênfase4 2 2 2 3 3" xfId="25229" xr:uid="{00000000-0005-0000-0000-0000CA080000}"/>
    <cellStyle name="20% - Ênfase4 2 2 2 4" xfId="2765" xr:uid="{00000000-0005-0000-0000-0000CB080000}"/>
    <cellStyle name="20% - Ênfase4 2 2 2 4 2" xfId="26376" xr:uid="{00000000-0005-0000-0000-0000CC080000}"/>
    <cellStyle name="20% - Ênfase4 2 2 2 5" xfId="2766" xr:uid="{00000000-0005-0000-0000-0000CD080000}"/>
    <cellStyle name="20% - Ênfase4 2 2 2 6" xfId="2767" xr:uid="{00000000-0005-0000-0000-0000CE080000}"/>
    <cellStyle name="20% - Ênfase4 2 2 2 7" xfId="2768" xr:uid="{00000000-0005-0000-0000-0000CF080000}"/>
    <cellStyle name="20% - Ênfase4 2 2 2 8" xfId="2769" xr:uid="{00000000-0005-0000-0000-0000D0080000}"/>
    <cellStyle name="20% - Ênfase4 2 2 2 9" xfId="2770" xr:uid="{00000000-0005-0000-0000-0000D1080000}"/>
    <cellStyle name="20% - Ênfase4 2 2 3" xfId="2771" xr:uid="{00000000-0005-0000-0000-0000D2080000}"/>
    <cellStyle name="20% - Ênfase4 2 2 3 2" xfId="25231" xr:uid="{00000000-0005-0000-0000-0000D3080000}"/>
    <cellStyle name="20% - Ênfase4 2 2 3 2 2" xfId="25232" xr:uid="{00000000-0005-0000-0000-0000D4080000}"/>
    <cellStyle name="20% - Ênfase4 2 2 3 2 2 2" xfId="26382" xr:uid="{00000000-0005-0000-0000-0000D5080000}"/>
    <cellStyle name="20% - Ênfase4 2 2 3 2 3" xfId="26381" xr:uid="{00000000-0005-0000-0000-0000D6080000}"/>
    <cellStyle name="20% - Ênfase4 2 2 3 3" xfId="25233" xr:uid="{00000000-0005-0000-0000-0000D7080000}"/>
    <cellStyle name="20% - Ênfase4 2 2 3 3 2" xfId="26383" xr:uid="{00000000-0005-0000-0000-0000D8080000}"/>
    <cellStyle name="20% - Ênfase4 2 2 3 4" xfId="26380" xr:uid="{00000000-0005-0000-0000-0000D9080000}"/>
    <cellStyle name="20% - Ênfase4 2 2 3 5" xfId="25230" xr:uid="{00000000-0005-0000-0000-0000DA080000}"/>
    <cellStyle name="20% - Ênfase4 2 2 4" xfId="2772" xr:uid="{00000000-0005-0000-0000-0000DB080000}"/>
    <cellStyle name="20% - Ênfase4 2 2 4 2" xfId="26384" xr:uid="{00000000-0005-0000-0000-0000DC080000}"/>
    <cellStyle name="20% - Ênfase4 2 2 4 3" xfId="25234" xr:uid="{00000000-0005-0000-0000-0000DD080000}"/>
    <cellStyle name="20% - Ênfase4 2 2 5" xfId="2773" xr:uid="{00000000-0005-0000-0000-0000DE080000}"/>
    <cellStyle name="20% - Ênfase4 2 2 5 2" xfId="2774" xr:uid="{00000000-0005-0000-0000-0000DF080000}"/>
    <cellStyle name="20% - Ênfase4 2 2 5 3" xfId="26375" xr:uid="{00000000-0005-0000-0000-0000E0080000}"/>
    <cellStyle name="20% - Ênfase4 2 2 6" xfId="2775" xr:uid="{00000000-0005-0000-0000-0000E1080000}"/>
    <cellStyle name="20% - Ênfase4 2 2 6 2" xfId="2776" xr:uid="{00000000-0005-0000-0000-0000E2080000}"/>
    <cellStyle name="20% - Ênfase4 2 2 7" xfId="2777" xr:uid="{00000000-0005-0000-0000-0000E3080000}"/>
    <cellStyle name="20% - Ênfase4 2 2 7 2" xfId="2778" xr:uid="{00000000-0005-0000-0000-0000E4080000}"/>
    <cellStyle name="20% - Ênfase4 2 2 8" xfId="2779" xr:uid="{00000000-0005-0000-0000-0000E5080000}"/>
    <cellStyle name="20% - Ênfase4 2 2 8 2" xfId="2780" xr:uid="{00000000-0005-0000-0000-0000E6080000}"/>
    <cellStyle name="20% - Ênfase4 2 2 9" xfId="2781" xr:uid="{00000000-0005-0000-0000-0000E7080000}"/>
    <cellStyle name="20% - Ênfase4 2 2 9 2" xfId="2782" xr:uid="{00000000-0005-0000-0000-0000E8080000}"/>
    <cellStyle name="20% - Ênfase4 2 3" xfId="2783" xr:uid="{00000000-0005-0000-0000-0000E9080000}"/>
    <cellStyle name="20% - Ênfase4 2 3 2" xfId="25236" xr:uid="{00000000-0005-0000-0000-0000EA080000}"/>
    <cellStyle name="20% - Ênfase4 2 3 2 2" xfId="25237" xr:uid="{00000000-0005-0000-0000-0000EB080000}"/>
    <cellStyle name="20% - Ênfase4 2 3 2 2 2" xfId="26387" xr:uid="{00000000-0005-0000-0000-0000EC080000}"/>
    <cellStyle name="20% - Ênfase4 2 3 2 3" xfId="26386" xr:uid="{00000000-0005-0000-0000-0000ED080000}"/>
    <cellStyle name="20% - Ênfase4 2 3 3" xfId="25238" xr:uid="{00000000-0005-0000-0000-0000EE080000}"/>
    <cellStyle name="20% - Ênfase4 2 3 3 2" xfId="26388" xr:uid="{00000000-0005-0000-0000-0000EF080000}"/>
    <cellStyle name="20% - Ênfase4 2 3 4" xfId="26385" xr:uid="{00000000-0005-0000-0000-0000F0080000}"/>
    <cellStyle name="20% - Ênfase4 2 3 5" xfId="25235" xr:uid="{00000000-0005-0000-0000-0000F1080000}"/>
    <cellStyle name="20% - Ênfase4 2 4" xfId="2784" xr:uid="{00000000-0005-0000-0000-0000F2080000}"/>
    <cellStyle name="20% - Ênfase4 2 4 2" xfId="25240" xr:uid="{00000000-0005-0000-0000-0000F3080000}"/>
    <cellStyle name="20% - Ênfase4 2 4 2 2" xfId="25241" xr:uid="{00000000-0005-0000-0000-0000F4080000}"/>
    <cellStyle name="20% - Ênfase4 2 4 2 2 2" xfId="26391" xr:uid="{00000000-0005-0000-0000-0000F5080000}"/>
    <cellStyle name="20% - Ênfase4 2 4 2 3" xfId="26390" xr:uid="{00000000-0005-0000-0000-0000F6080000}"/>
    <cellStyle name="20% - Ênfase4 2 4 3" xfId="25242" xr:uid="{00000000-0005-0000-0000-0000F7080000}"/>
    <cellStyle name="20% - Ênfase4 2 4 3 2" xfId="26392" xr:uid="{00000000-0005-0000-0000-0000F8080000}"/>
    <cellStyle name="20% - Ênfase4 2 4 4" xfId="26389" xr:uid="{00000000-0005-0000-0000-0000F9080000}"/>
    <cellStyle name="20% - Ênfase4 2 4 5" xfId="25239" xr:uid="{00000000-0005-0000-0000-0000FA080000}"/>
    <cellStyle name="20% - Ênfase4 2 5" xfId="2785" xr:uid="{00000000-0005-0000-0000-0000FB080000}"/>
    <cellStyle name="20% - Ênfase4 2 5 10" xfId="2786" xr:uid="{00000000-0005-0000-0000-0000FC080000}"/>
    <cellStyle name="20% - Ênfase4 2 5 10 2" xfId="2787" xr:uid="{00000000-0005-0000-0000-0000FD080000}"/>
    <cellStyle name="20% - Ênfase4 2 5 2" xfId="2788" xr:uid="{00000000-0005-0000-0000-0000FE080000}"/>
    <cellStyle name="20% - Ênfase4 2 5 2 2" xfId="2789" xr:uid="{00000000-0005-0000-0000-0000FF080000}"/>
    <cellStyle name="20% - Ênfase4 2 5 3" xfId="2790" xr:uid="{00000000-0005-0000-0000-000000090000}"/>
    <cellStyle name="20% - Ênfase4 2 5 3 2" xfId="2791" xr:uid="{00000000-0005-0000-0000-000001090000}"/>
    <cellStyle name="20% - Ênfase4 2 5 4" xfId="2792" xr:uid="{00000000-0005-0000-0000-000002090000}"/>
    <cellStyle name="20% - Ênfase4 2 5 4 2" xfId="2793" xr:uid="{00000000-0005-0000-0000-000003090000}"/>
    <cellStyle name="20% - Ênfase4 2 5 5" xfId="2794" xr:uid="{00000000-0005-0000-0000-000004090000}"/>
    <cellStyle name="20% - Ênfase4 2 5 5 2" xfId="2795" xr:uid="{00000000-0005-0000-0000-000005090000}"/>
    <cellStyle name="20% - Ênfase4 2 5 6" xfId="2796" xr:uid="{00000000-0005-0000-0000-000006090000}"/>
    <cellStyle name="20% - Ênfase4 2 5 6 2" xfId="2797" xr:uid="{00000000-0005-0000-0000-000007090000}"/>
    <cellStyle name="20% - Ênfase4 2 5 7" xfId="2798" xr:uid="{00000000-0005-0000-0000-000008090000}"/>
    <cellStyle name="20% - Ênfase4 2 5 7 2" xfId="2799" xr:uid="{00000000-0005-0000-0000-000009090000}"/>
    <cellStyle name="20% - Ênfase4 2 5 8" xfId="2800" xr:uid="{00000000-0005-0000-0000-00000A090000}"/>
    <cellStyle name="20% - Ênfase4 2 5 8 2" xfId="2801" xr:uid="{00000000-0005-0000-0000-00000B090000}"/>
    <cellStyle name="20% - Ênfase4 2 5 9" xfId="2802" xr:uid="{00000000-0005-0000-0000-00000C090000}"/>
    <cellStyle name="20% - Ênfase4 2 5 9 2" xfId="2803" xr:uid="{00000000-0005-0000-0000-00000D090000}"/>
    <cellStyle name="20% - Ênfase4 2 6" xfId="2804" xr:uid="{00000000-0005-0000-0000-00000E090000}"/>
    <cellStyle name="20% - Ênfase4 2 6 2" xfId="2805" xr:uid="{00000000-0005-0000-0000-00000F090000}"/>
    <cellStyle name="20% - Ênfase4 2 6 2 2" xfId="2806" xr:uid="{00000000-0005-0000-0000-000010090000}"/>
    <cellStyle name="20% - Ênfase4 2 6 3" xfId="2807" xr:uid="{00000000-0005-0000-0000-000011090000}"/>
    <cellStyle name="20% - Ênfase4 2 6 3 2" xfId="2808" xr:uid="{00000000-0005-0000-0000-000012090000}"/>
    <cellStyle name="20% - Ênfase4 2 6 4" xfId="2809" xr:uid="{00000000-0005-0000-0000-000013090000}"/>
    <cellStyle name="20% - Ênfase4 2 6 4 2" xfId="2810" xr:uid="{00000000-0005-0000-0000-000014090000}"/>
    <cellStyle name="20% - Ênfase4 2 6 5" xfId="2811" xr:uid="{00000000-0005-0000-0000-000015090000}"/>
    <cellStyle name="20% - Ênfase4 2 6 5 2" xfId="2812" xr:uid="{00000000-0005-0000-0000-000016090000}"/>
    <cellStyle name="20% - Ênfase4 2 6 6" xfId="2813" xr:uid="{00000000-0005-0000-0000-000017090000}"/>
    <cellStyle name="20% - Ênfase4 2 7" xfId="26374" xr:uid="{00000000-0005-0000-0000-000018090000}"/>
    <cellStyle name="20% - Ênfase4 20" xfId="2814" xr:uid="{00000000-0005-0000-0000-000019090000}"/>
    <cellStyle name="20% - Ênfase4 20 2" xfId="2815" xr:uid="{00000000-0005-0000-0000-00001A090000}"/>
    <cellStyle name="20% - Ênfase4 21" xfId="2816" xr:uid="{00000000-0005-0000-0000-00001B090000}"/>
    <cellStyle name="20% - Ênfase4 21 2" xfId="2817" xr:uid="{00000000-0005-0000-0000-00001C090000}"/>
    <cellStyle name="20% - Ênfase4 22" xfId="2818" xr:uid="{00000000-0005-0000-0000-00001D090000}"/>
    <cellStyle name="20% - Ênfase4 22 2" xfId="2819" xr:uid="{00000000-0005-0000-0000-00001E090000}"/>
    <cellStyle name="20% - Ênfase4 23" xfId="2820" xr:uid="{00000000-0005-0000-0000-00001F090000}"/>
    <cellStyle name="20% - Ênfase4 23 2" xfId="2821" xr:uid="{00000000-0005-0000-0000-000020090000}"/>
    <cellStyle name="20% - Ênfase4 24" xfId="2822" xr:uid="{00000000-0005-0000-0000-000021090000}"/>
    <cellStyle name="20% - Ênfase4 24 2" xfId="2823" xr:uid="{00000000-0005-0000-0000-000022090000}"/>
    <cellStyle name="20% - Ênfase4 25" xfId="2824" xr:uid="{00000000-0005-0000-0000-000023090000}"/>
    <cellStyle name="20% - Ênfase4 25 2" xfId="2825" xr:uid="{00000000-0005-0000-0000-000024090000}"/>
    <cellStyle name="20% - Ênfase4 26" xfId="2826" xr:uid="{00000000-0005-0000-0000-000025090000}"/>
    <cellStyle name="20% - Ênfase4 26 2" xfId="2827" xr:uid="{00000000-0005-0000-0000-000026090000}"/>
    <cellStyle name="20% - Ênfase4 27" xfId="2828" xr:uid="{00000000-0005-0000-0000-000027090000}"/>
    <cellStyle name="20% - Ênfase4 27 2" xfId="2829" xr:uid="{00000000-0005-0000-0000-000028090000}"/>
    <cellStyle name="20% - Ênfase4 28" xfId="2830" xr:uid="{00000000-0005-0000-0000-000029090000}"/>
    <cellStyle name="20% - Ênfase4 28 2" xfId="2831" xr:uid="{00000000-0005-0000-0000-00002A090000}"/>
    <cellStyle name="20% - Ênfase4 29" xfId="2832" xr:uid="{00000000-0005-0000-0000-00002B090000}"/>
    <cellStyle name="20% - Ênfase4 29 2" xfId="2833" xr:uid="{00000000-0005-0000-0000-00002C090000}"/>
    <cellStyle name="20% - Ênfase4 3" xfId="2834" xr:uid="{00000000-0005-0000-0000-00002D090000}"/>
    <cellStyle name="20% - Ênfase4 3 2" xfId="2835" xr:uid="{00000000-0005-0000-0000-00002E090000}"/>
    <cellStyle name="20% - Ênfase4 3 2 10" xfId="2836" xr:uid="{00000000-0005-0000-0000-00002F090000}"/>
    <cellStyle name="20% - Ênfase4 3 2 10 2" xfId="2837" xr:uid="{00000000-0005-0000-0000-000030090000}"/>
    <cellStyle name="20% - Ênfase4 3 2 11" xfId="2838" xr:uid="{00000000-0005-0000-0000-000031090000}"/>
    <cellStyle name="20% - Ênfase4 3 2 11 2" xfId="2839" xr:uid="{00000000-0005-0000-0000-000032090000}"/>
    <cellStyle name="20% - Ênfase4 3 2 12" xfId="2840" xr:uid="{00000000-0005-0000-0000-000033090000}"/>
    <cellStyle name="20% - Ênfase4 3 2 12 2" xfId="2841" xr:uid="{00000000-0005-0000-0000-000034090000}"/>
    <cellStyle name="20% - Ênfase4 3 2 2" xfId="2842" xr:uid="{00000000-0005-0000-0000-000035090000}"/>
    <cellStyle name="20% - Ênfase4 3 2 2 10" xfId="2843" xr:uid="{00000000-0005-0000-0000-000036090000}"/>
    <cellStyle name="20% - Ênfase4 3 2 2 11" xfId="2844" xr:uid="{00000000-0005-0000-0000-000037090000}"/>
    <cellStyle name="20% - Ênfase4 3 2 2 2" xfId="2845" xr:uid="{00000000-0005-0000-0000-000038090000}"/>
    <cellStyle name="20% - Ênfase4 3 2 2 2 2" xfId="25244" xr:uid="{00000000-0005-0000-0000-000039090000}"/>
    <cellStyle name="20% - Ênfase4 3 2 2 2 2 2" xfId="26396" xr:uid="{00000000-0005-0000-0000-00003A090000}"/>
    <cellStyle name="20% - Ênfase4 3 2 2 2 3" xfId="26395" xr:uid="{00000000-0005-0000-0000-00003B090000}"/>
    <cellStyle name="20% - Ênfase4 3 2 2 2 4" xfId="25243" xr:uid="{00000000-0005-0000-0000-00003C090000}"/>
    <cellStyle name="20% - Ênfase4 3 2 2 3" xfId="2846" xr:uid="{00000000-0005-0000-0000-00003D090000}"/>
    <cellStyle name="20% - Ênfase4 3 2 2 3 2" xfId="26397" xr:uid="{00000000-0005-0000-0000-00003E090000}"/>
    <cellStyle name="20% - Ênfase4 3 2 2 3 3" xfId="25245" xr:uid="{00000000-0005-0000-0000-00003F090000}"/>
    <cellStyle name="20% - Ênfase4 3 2 2 4" xfId="2847" xr:uid="{00000000-0005-0000-0000-000040090000}"/>
    <cellStyle name="20% - Ênfase4 3 2 2 4 2" xfId="26394" xr:uid="{00000000-0005-0000-0000-000041090000}"/>
    <cellStyle name="20% - Ênfase4 3 2 2 5" xfId="2848" xr:uid="{00000000-0005-0000-0000-000042090000}"/>
    <cellStyle name="20% - Ênfase4 3 2 2 6" xfId="2849" xr:uid="{00000000-0005-0000-0000-000043090000}"/>
    <cellStyle name="20% - Ênfase4 3 2 2 7" xfId="2850" xr:uid="{00000000-0005-0000-0000-000044090000}"/>
    <cellStyle name="20% - Ênfase4 3 2 2 8" xfId="2851" xr:uid="{00000000-0005-0000-0000-000045090000}"/>
    <cellStyle name="20% - Ênfase4 3 2 2 9" xfId="2852" xr:uid="{00000000-0005-0000-0000-000046090000}"/>
    <cellStyle name="20% - Ênfase4 3 2 3" xfId="2853" xr:uid="{00000000-0005-0000-0000-000047090000}"/>
    <cellStyle name="20% - Ênfase4 3 2 3 2" xfId="25247" xr:uid="{00000000-0005-0000-0000-000048090000}"/>
    <cellStyle name="20% - Ênfase4 3 2 3 2 2" xfId="26399" xr:uid="{00000000-0005-0000-0000-000049090000}"/>
    <cellStyle name="20% - Ênfase4 3 2 3 3" xfId="26398" xr:uid="{00000000-0005-0000-0000-00004A090000}"/>
    <cellStyle name="20% - Ênfase4 3 2 3 4" xfId="25246" xr:uid="{00000000-0005-0000-0000-00004B090000}"/>
    <cellStyle name="20% - Ênfase4 3 2 4" xfId="2854" xr:uid="{00000000-0005-0000-0000-00004C090000}"/>
    <cellStyle name="20% - Ênfase4 3 2 4 2" xfId="26400" xr:uid="{00000000-0005-0000-0000-00004D090000}"/>
    <cellStyle name="20% - Ênfase4 3 2 4 3" xfId="25248" xr:uid="{00000000-0005-0000-0000-00004E090000}"/>
    <cellStyle name="20% - Ênfase4 3 2 5" xfId="2855" xr:uid="{00000000-0005-0000-0000-00004F090000}"/>
    <cellStyle name="20% - Ênfase4 3 2 5 2" xfId="2856" xr:uid="{00000000-0005-0000-0000-000050090000}"/>
    <cellStyle name="20% - Ênfase4 3 2 6" xfId="2857" xr:uid="{00000000-0005-0000-0000-000051090000}"/>
    <cellStyle name="20% - Ênfase4 3 2 6 2" xfId="2858" xr:uid="{00000000-0005-0000-0000-000052090000}"/>
    <cellStyle name="20% - Ênfase4 3 2 7" xfId="2859" xr:uid="{00000000-0005-0000-0000-000053090000}"/>
    <cellStyle name="20% - Ênfase4 3 2 7 2" xfId="2860" xr:uid="{00000000-0005-0000-0000-000054090000}"/>
    <cellStyle name="20% - Ênfase4 3 2 8" xfId="2861" xr:uid="{00000000-0005-0000-0000-000055090000}"/>
    <cellStyle name="20% - Ênfase4 3 2 8 2" xfId="2862" xr:uid="{00000000-0005-0000-0000-000056090000}"/>
    <cellStyle name="20% - Ênfase4 3 2 9" xfId="2863" xr:uid="{00000000-0005-0000-0000-000057090000}"/>
    <cellStyle name="20% - Ênfase4 3 2 9 2" xfId="2864" xr:uid="{00000000-0005-0000-0000-000058090000}"/>
    <cellStyle name="20% - Ênfase4 3 3" xfId="2865" xr:uid="{00000000-0005-0000-0000-000059090000}"/>
    <cellStyle name="20% - Ênfase4 3 3 2" xfId="25250" xr:uid="{00000000-0005-0000-0000-00005A090000}"/>
    <cellStyle name="20% - Ênfase4 3 3 2 2" xfId="25251" xr:uid="{00000000-0005-0000-0000-00005B090000}"/>
    <cellStyle name="20% - Ênfase4 3 3 2 2 2" xfId="26403" xr:uid="{00000000-0005-0000-0000-00005C090000}"/>
    <cellStyle name="20% - Ênfase4 3 3 2 3" xfId="26402" xr:uid="{00000000-0005-0000-0000-00005D090000}"/>
    <cellStyle name="20% - Ênfase4 3 3 3" xfId="25252" xr:uid="{00000000-0005-0000-0000-00005E090000}"/>
    <cellStyle name="20% - Ênfase4 3 3 3 2" xfId="26404" xr:uid="{00000000-0005-0000-0000-00005F090000}"/>
    <cellStyle name="20% - Ênfase4 3 3 4" xfId="26401" xr:uid="{00000000-0005-0000-0000-000060090000}"/>
    <cellStyle name="20% - Ênfase4 3 3 5" xfId="25249" xr:uid="{00000000-0005-0000-0000-000061090000}"/>
    <cellStyle name="20% - Ênfase4 3 4" xfId="2866" xr:uid="{00000000-0005-0000-0000-000062090000}"/>
    <cellStyle name="20% - Ênfase4 3 4 2" xfId="26405" xr:uid="{00000000-0005-0000-0000-000063090000}"/>
    <cellStyle name="20% - Ênfase4 3 5" xfId="2867" xr:uid="{00000000-0005-0000-0000-000064090000}"/>
    <cellStyle name="20% - Ênfase4 3 5 10" xfId="2868" xr:uid="{00000000-0005-0000-0000-000065090000}"/>
    <cellStyle name="20% - Ênfase4 3 5 10 2" xfId="2869" xr:uid="{00000000-0005-0000-0000-000066090000}"/>
    <cellStyle name="20% - Ênfase4 3 5 2" xfId="2870" xr:uid="{00000000-0005-0000-0000-000067090000}"/>
    <cellStyle name="20% - Ênfase4 3 5 2 2" xfId="2871" xr:uid="{00000000-0005-0000-0000-000068090000}"/>
    <cellStyle name="20% - Ênfase4 3 5 3" xfId="2872" xr:uid="{00000000-0005-0000-0000-000069090000}"/>
    <cellStyle name="20% - Ênfase4 3 5 3 2" xfId="2873" xr:uid="{00000000-0005-0000-0000-00006A090000}"/>
    <cellStyle name="20% - Ênfase4 3 5 4" xfId="2874" xr:uid="{00000000-0005-0000-0000-00006B090000}"/>
    <cellStyle name="20% - Ênfase4 3 5 4 2" xfId="2875" xr:uid="{00000000-0005-0000-0000-00006C090000}"/>
    <cellStyle name="20% - Ênfase4 3 5 5" xfId="2876" xr:uid="{00000000-0005-0000-0000-00006D090000}"/>
    <cellStyle name="20% - Ênfase4 3 5 5 2" xfId="2877" xr:uid="{00000000-0005-0000-0000-00006E090000}"/>
    <cellStyle name="20% - Ênfase4 3 5 6" xfId="2878" xr:uid="{00000000-0005-0000-0000-00006F090000}"/>
    <cellStyle name="20% - Ênfase4 3 5 6 2" xfId="2879" xr:uid="{00000000-0005-0000-0000-000070090000}"/>
    <cellStyle name="20% - Ênfase4 3 5 7" xfId="2880" xr:uid="{00000000-0005-0000-0000-000071090000}"/>
    <cellStyle name="20% - Ênfase4 3 5 7 2" xfId="2881" xr:uid="{00000000-0005-0000-0000-000072090000}"/>
    <cellStyle name="20% - Ênfase4 3 5 8" xfId="2882" xr:uid="{00000000-0005-0000-0000-000073090000}"/>
    <cellStyle name="20% - Ênfase4 3 5 8 2" xfId="2883" xr:uid="{00000000-0005-0000-0000-000074090000}"/>
    <cellStyle name="20% - Ênfase4 3 5 9" xfId="2884" xr:uid="{00000000-0005-0000-0000-000075090000}"/>
    <cellStyle name="20% - Ênfase4 3 5 9 2" xfId="2885" xr:uid="{00000000-0005-0000-0000-000076090000}"/>
    <cellStyle name="20% - Ênfase4 3 6" xfId="2886" xr:uid="{00000000-0005-0000-0000-000077090000}"/>
    <cellStyle name="20% - Ênfase4 3 6 2" xfId="2887" xr:uid="{00000000-0005-0000-0000-000078090000}"/>
    <cellStyle name="20% - Ênfase4 3 6 2 2" xfId="2888" xr:uid="{00000000-0005-0000-0000-000079090000}"/>
    <cellStyle name="20% - Ênfase4 3 6 3" xfId="2889" xr:uid="{00000000-0005-0000-0000-00007A090000}"/>
    <cellStyle name="20% - Ênfase4 3 6 3 2" xfId="2890" xr:uid="{00000000-0005-0000-0000-00007B090000}"/>
    <cellStyle name="20% - Ênfase4 3 6 4" xfId="2891" xr:uid="{00000000-0005-0000-0000-00007C090000}"/>
    <cellStyle name="20% - Ênfase4 3 6 4 2" xfId="2892" xr:uid="{00000000-0005-0000-0000-00007D090000}"/>
    <cellStyle name="20% - Ênfase4 3 6 5" xfId="2893" xr:uid="{00000000-0005-0000-0000-00007E090000}"/>
    <cellStyle name="20% - Ênfase4 3 6 5 2" xfId="2894" xr:uid="{00000000-0005-0000-0000-00007F090000}"/>
    <cellStyle name="20% - Ênfase4 3 6 6" xfId="2895" xr:uid="{00000000-0005-0000-0000-000080090000}"/>
    <cellStyle name="20% - Ênfase4 3 7" xfId="25253" xr:uid="{00000000-0005-0000-0000-000081090000}"/>
    <cellStyle name="20% - Ênfase4 3 7 2" xfId="26406" xr:uid="{00000000-0005-0000-0000-000082090000}"/>
    <cellStyle name="20% - Ênfase4 3 8" xfId="26393" xr:uid="{00000000-0005-0000-0000-000083090000}"/>
    <cellStyle name="20% - Ênfase4 30" xfId="2896" xr:uid="{00000000-0005-0000-0000-000084090000}"/>
    <cellStyle name="20% - Ênfase4 30 2" xfId="2897" xr:uid="{00000000-0005-0000-0000-000085090000}"/>
    <cellStyle name="20% - Ênfase4 31" xfId="2898" xr:uid="{00000000-0005-0000-0000-000086090000}"/>
    <cellStyle name="20% - Ênfase4 31 2" xfId="2899" xr:uid="{00000000-0005-0000-0000-000087090000}"/>
    <cellStyle name="20% - Ênfase4 32" xfId="2900" xr:uid="{00000000-0005-0000-0000-000088090000}"/>
    <cellStyle name="20% - Ênfase4 32 2" xfId="2901" xr:uid="{00000000-0005-0000-0000-000089090000}"/>
    <cellStyle name="20% - Ênfase4 33" xfId="2902" xr:uid="{00000000-0005-0000-0000-00008A090000}"/>
    <cellStyle name="20% - Ênfase4 33 2" xfId="2903" xr:uid="{00000000-0005-0000-0000-00008B090000}"/>
    <cellStyle name="20% - Ênfase4 34" xfId="2904" xr:uid="{00000000-0005-0000-0000-00008C090000}"/>
    <cellStyle name="20% - Ênfase4 34 2" xfId="2905" xr:uid="{00000000-0005-0000-0000-00008D090000}"/>
    <cellStyle name="20% - Ênfase4 35" xfId="2906" xr:uid="{00000000-0005-0000-0000-00008E090000}"/>
    <cellStyle name="20% - Ênfase4 35 2" xfId="2907" xr:uid="{00000000-0005-0000-0000-00008F090000}"/>
    <cellStyle name="20% - Ênfase4 36" xfId="2908" xr:uid="{00000000-0005-0000-0000-000090090000}"/>
    <cellStyle name="20% - Ênfase4 36 2" xfId="2909" xr:uid="{00000000-0005-0000-0000-000091090000}"/>
    <cellStyle name="20% - Ênfase4 37" xfId="2910" xr:uid="{00000000-0005-0000-0000-000092090000}"/>
    <cellStyle name="20% - Ênfase4 37 2" xfId="2911" xr:uid="{00000000-0005-0000-0000-000093090000}"/>
    <cellStyle name="20% - Ênfase4 38" xfId="2912" xr:uid="{00000000-0005-0000-0000-000094090000}"/>
    <cellStyle name="20% - Ênfase4 38 2" xfId="2913" xr:uid="{00000000-0005-0000-0000-000095090000}"/>
    <cellStyle name="20% - Ênfase4 39" xfId="2914" xr:uid="{00000000-0005-0000-0000-000096090000}"/>
    <cellStyle name="20% - Ênfase4 39 2" xfId="2915" xr:uid="{00000000-0005-0000-0000-000097090000}"/>
    <cellStyle name="20% - Ênfase4 4" xfId="2916" xr:uid="{00000000-0005-0000-0000-000098090000}"/>
    <cellStyle name="20% - Ênfase4 4 2" xfId="2917" xr:uid="{00000000-0005-0000-0000-000099090000}"/>
    <cellStyle name="20% - Ênfase4 4 2 10" xfId="2918" xr:uid="{00000000-0005-0000-0000-00009A090000}"/>
    <cellStyle name="20% - Ênfase4 4 2 10 2" xfId="2919" xr:uid="{00000000-0005-0000-0000-00009B090000}"/>
    <cellStyle name="20% - Ênfase4 4 2 11" xfId="2920" xr:uid="{00000000-0005-0000-0000-00009C090000}"/>
    <cellStyle name="20% - Ênfase4 4 2 11 2" xfId="2921" xr:uid="{00000000-0005-0000-0000-00009D090000}"/>
    <cellStyle name="20% - Ênfase4 4 2 12" xfId="2922" xr:uid="{00000000-0005-0000-0000-00009E090000}"/>
    <cellStyle name="20% - Ênfase4 4 2 12 2" xfId="2923" xr:uid="{00000000-0005-0000-0000-00009F090000}"/>
    <cellStyle name="20% - Ênfase4 4 2 2" xfId="2924" xr:uid="{00000000-0005-0000-0000-0000A0090000}"/>
    <cellStyle name="20% - Ênfase4 4 2 2 10" xfId="2925" xr:uid="{00000000-0005-0000-0000-0000A1090000}"/>
    <cellStyle name="20% - Ênfase4 4 2 2 11" xfId="2926" xr:uid="{00000000-0005-0000-0000-0000A2090000}"/>
    <cellStyle name="20% - Ênfase4 4 2 2 2" xfId="2927" xr:uid="{00000000-0005-0000-0000-0000A3090000}"/>
    <cellStyle name="20% - Ênfase4 4 2 2 2 2" xfId="25255" xr:uid="{00000000-0005-0000-0000-0000A4090000}"/>
    <cellStyle name="20% - Ênfase4 4 2 2 2 2 2" xfId="26410" xr:uid="{00000000-0005-0000-0000-0000A5090000}"/>
    <cellStyle name="20% - Ênfase4 4 2 2 2 3" xfId="26409" xr:uid="{00000000-0005-0000-0000-0000A6090000}"/>
    <cellStyle name="20% - Ênfase4 4 2 2 2 4" xfId="25254" xr:uid="{00000000-0005-0000-0000-0000A7090000}"/>
    <cellStyle name="20% - Ênfase4 4 2 2 3" xfId="2928" xr:uid="{00000000-0005-0000-0000-0000A8090000}"/>
    <cellStyle name="20% - Ênfase4 4 2 2 3 2" xfId="26411" xr:uid="{00000000-0005-0000-0000-0000A9090000}"/>
    <cellStyle name="20% - Ênfase4 4 2 2 3 3" xfId="25256" xr:uid="{00000000-0005-0000-0000-0000AA090000}"/>
    <cellStyle name="20% - Ênfase4 4 2 2 4" xfId="2929" xr:uid="{00000000-0005-0000-0000-0000AB090000}"/>
    <cellStyle name="20% - Ênfase4 4 2 2 4 2" xfId="26408" xr:uid="{00000000-0005-0000-0000-0000AC090000}"/>
    <cellStyle name="20% - Ênfase4 4 2 2 5" xfId="2930" xr:uid="{00000000-0005-0000-0000-0000AD090000}"/>
    <cellStyle name="20% - Ênfase4 4 2 2 6" xfId="2931" xr:uid="{00000000-0005-0000-0000-0000AE090000}"/>
    <cellStyle name="20% - Ênfase4 4 2 2 7" xfId="2932" xr:uid="{00000000-0005-0000-0000-0000AF090000}"/>
    <cellStyle name="20% - Ênfase4 4 2 2 8" xfId="2933" xr:uid="{00000000-0005-0000-0000-0000B0090000}"/>
    <cellStyle name="20% - Ênfase4 4 2 2 9" xfId="2934" xr:uid="{00000000-0005-0000-0000-0000B1090000}"/>
    <cellStyle name="20% - Ênfase4 4 2 3" xfId="2935" xr:uid="{00000000-0005-0000-0000-0000B2090000}"/>
    <cellStyle name="20% - Ênfase4 4 2 3 2" xfId="25258" xr:uid="{00000000-0005-0000-0000-0000B3090000}"/>
    <cellStyle name="20% - Ênfase4 4 2 3 2 2" xfId="26413" xr:uid="{00000000-0005-0000-0000-0000B4090000}"/>
    <cellStyle name="20% - Ênfase4 4 2 3 3" xfId="26412" xr:uid="{00000000-0005-0000-0000-0000B5090000}"/>
    <cellStyle name="20% - Ênfase4 4 2 3 4" xfId="25257" xr:uid="{00000000-0005-0000-0000-0000B6090000}"/>
    <cellStyle name="20% - Ênfase4 4 2 4" xfId="2936" xr:uid="{00000000-0005-0000-0000-0000B7090000}"/>
    <cellStyle name="20% - Ênfase4 4 2 4 2" xfId="26414" xr:uid="{00000000-0005-0000-0000-0000B8090000}"/>
    <cellStyle name="20% - Ênfase4 4 2 4 3" xfId="25259" xr:uid="{00000000-0005-0000-0000-0000B9090000}"/>
    <cellStyle name="20% - Ênfase4 4 2 5" xfId="2937" xr:uid="{00000000-0005-0000-0000-0000BA090000}"/>
    <cellStyle name="20% - Ênfase4 4 2 5 2" xfId="2938" xr:uid="{00000000-0005-0000-0000-0000BB090000}"/>
    <cellStyle name="20% - Ênfase4 4 2 6" xfId="2939" xr:uid="{00000000-0005-0000-0000-0000BC090000}"/>
    <cellStyle name="20% - Ênfase4 4 2 6 2" xfId="2940" xr:uid="{00000000-0005-0000-0000-0000BD090000}"/>
    <cellStyle name="20% - Ênfase4 4 2 7" xfId="2941" xr:uid="{00000000-0005-0000-0000-0000BE090000}"/>
    <cellStyle name="20% - Ênfase4 4 2 7 2" xfId="2942" xr:uid="{00000000-0005-0000-0000-0000BF090000}"/>
    <cellStyle name="20% - Ênfase4 4 2 8" xfId="2943" xr:uid="{00000000-0005-0000-0000-0000C0090000}"/>
    <cellStyle name="20% - Ênfase4 4 2 8 2" xfId="2944" xr:uid="{00000000-0005-0000-0000-0000C1090000}"/>
    <cellStyle name="20% - Ênfase4 4 2 9" xfId="2945" xr:uid="{00000000-0005-0000-0000-0000C2090000}"/>
    <cellStyle name="20% - Ênfase4 4 2 9 2" xfId="2946" xr:uid="{00000000-0005-0000-0000-0000C3090000}"/>
    <cellStyle name="20% - Ênfase4 4 3" xfId="2947" xr:uid="{00000000-0005-0000-0000-0000C4090000}"/>
    <cellStyle name="20% - Ênfase4 4 3 2" xfId="25261" xr:uid="{00000000-0005-0000-0000-0000C5090000}"/>
    <cellStyle name="20% - Ênfase4 4 3 2 2" xfId="25262" xr:uid="{00000000-0005-0000-0000-0000C6090000}"/>
    <cellStyle name="20% - Ênfase4 4 3 2 2 2" xfId="26417" xr:uid="{00000000-0005-0000-0000-0000C7090000}"/>
    <cellStyle name="20% - Ênfase4 4 3 2 3" xfId="26416" xr:uid="{00000000-0005-0000-0000-0000C8090000}"/>
    <cellStyle name="20% - Ênfase4 4 3 3" xfId="25263" xr:uid="{00000000-0005-0000-0000-0000C9090000}"/>
    <cellStyle name="20% - Ênfase4 4 3 3 2" xfId="26418" xr:uid="{00000000-0005-0000-0000-0000CA090000}"/>
    <cellStyle name="20% - Ênfase4 4 3 4" xfId="26415" xr:uid="{00000000-0005-0000-0000-0000CB090000}"/>
    <cellStyle name="20% - Ênfase4 4 3 5" xfId="25260" xr:uid="{00000000-0005-0000-0000-0000CC090000}"/>
    <cellStyle name="20% - Ênfase4 4 4" xfId="2948" xr:uid="{00000000-0005-0000-0000-0000CD090000}"/>
    <cellStyle name="20% - Ênfase4 4 4 2" xfId="26419" xr:uid="{00000000-0005-0000-0000-0000CE090000}"/>
    <cellStyle name="20% - Ênfase4 4 5" xfId="2949" xr:uid="{00000000-0005-0000-0000-0000CF090000}"/>
    <cellStyle name="20% - Ênfase4 4 5 10" xfId="2950" xr:uid="{00000000-0005-0000-0000-0000D0090000}"/>
    <cellStyle name="20% - Ênfase4 4 5 10 2" xfId="2951" xr:uid="{00000000-0005-0000-0000-0000D1090000}"/>
    <cellStyle name="20% - Ênfase4 4 5 2" xfId="2952" xr:uid="{00000000-0005-0000-0000-0000D2090000}"/>
    <cellStyle name="20% - Ênfase4 4 5 2 2" xfId="2953" xr:uid="{00000000-0005-0000-0000-0000D3090000}"/>
    <cellStyle name="20% - Ênfase4 4 5 3" xfId="2954" xr:uid="{00000000-0005-0000-0000-0000D4090000}"/>
    <cellStyle name="20% - Ênfase4 4 5 3 2" xfId="2955" xr:uid="{00000000-0005-0000-0000-0000D5090000}"/>
    <cellStyle name="20% - Ênfase4 4 5 4" xfId="2956" xr:uid="{00000000-0005-0000-0000-0000D6090000}"/>
    <cellStyle name="20% - Ênfase4 4 5 4 2" xfId="2957" xr:uid="{00000000-0005-0000-0000-0000D7090000}"/>
    <cellStyle name="20% - Ênfase4 4 5 5" xfId="2958" xr:uid="{00000000-0005-0000-0000-0000D8090000}"/>
    <cellStyle name="20% - Ênfase4 4 5 5 2" xfId="2959" xr:uid="{00000000-0005-0000-0000-0000D9090000}"/>
    <cellStyle name="20% - Ênfase4 4 5 6" xfId="2960" xr:uid="{00000000-0005-0000-0000-0000DA090000}"/>
    <cellStyle name="20% - Ênfase4 4 5 6 2" xfId="2961" xr:uid="{00000000-0005-0000-0000-0000DB090000}"/>
    <cellStyle name="20% - Ênfase4 4 5 7" xfId="2962" xr:uid="{00000000-0005-0000-0000-0000DC090000}"/>
    <cellStyle name="20% - Ênfase4 4 5 7 2" xfId="2963" xr:uid="{00000000-0005-0000-0000-0000DD090000}"/>
    <cellStyle name="20% - Ênfase4 4 5 8" xfId="2964" xr:uid="{00000000-0005-0000-0000-0000DE090000}"/>
    <cellStyle name="20% - Ênfase4 4 5 8 2" xfId="2965" xr:uid="{00000000-0005-0000-0000-0000DF090000}"/>
    <cellStyle name="20% - Ênfase4 4 5 9" xfId="2966" xr:uid="{00000000-0005-0000-0000-0000E0090000}"/>
    <cellStyle name="20% - Ênfase4 4 5 9 2" xfId="2967" xr:uid="{00000000-0005-0000-0000-0000E1090000}"/>
    <cellStyle name="20% - Ênfase4 4 6" xfId="2968" xr:uid="{00000000-0005-0000-0000-0000E2090000}"/>
    <cellStyle name="20% - Ênfase4 4 6 2" xfId="2969" xr:uid="{00000000-0005-0000-0000-0000E3090000}"/>
    <cellStyle name="20% - Ênfase4 4 6 2 2" xfId="2970" xr:uid="{00000000-0005-0000-0000-0000E4090000}"/>
    <cellStyle name="20% - Ênfase4 4 6 3" xfId="2971" xr:uid="{00000000-0005-0000-0000-0000E5090000}"/>
    <cellStyle name="20% - Ênfase4 4 6 3 2" xfId="2972" xr:uid="{00000000-0005-0000-0000-0000E6090000}"/>
    <cellStyle name="20% - Ênfase4 4 6 4" xfId="2973" xr:uid="{00000000-0005-0000-0000-0000E7090000}"/>
    <cellStyle name="20% - Ênfase4 4 6 4 2" xfId="2974" xr:uid="{00000000-0005-0000-0000-0000E8090000}"/>
    <cellStyle name="20% - Ênfase4 4 6 5" xfId="2975" xr:uid="{00000000-0005-0000-0000-0000E9090000}"/>
    <cellStyle name="20% - Ênfase4 4 6 5 2" xfId="2976" xr:uid="{00000000-0005-0000-0000-0000EA090000}"/>
    <cellStyle name="20% - Ênfase4 4 6 6" xfId="2977" xr:uid="{00000000-0005-0000-0000-0000EB090000}"/>
    <cellStyle name="20% - Ênfase4 4 7" xfId="26407" xr:uid="{00000000-0005-0000-0000-0000EC090000}"/>
    <cellStyle name="20% - Ênfase4 40" xfId="2978" xr:uid="{00000000-0005-0000-0000-0000ED090000}"/>
    <cellStyle name="20% - Ênfase4 40 2" xfId="2979" xr:uid="{00000000-0005-0000-0000-0000EE090000}"/>
    <cellStyle name="20% - Ênfase4 41" xfId="2980" xr:uid="{00000000-0005-0000-0000-0000EF090000}"/>
    <cellStyle name="20% - Ênfase4 41 2" xfId="2981" xr:uid="{00000000-0005-0000-0000-0000F0090000}"/>
    <cellStyle name="20% - Ênfase4 42" xfId="2982" xr:uid="{00000000-0005-0000-0000-0000F1090000}"/>
    <cellStyle name="20% - Ênfase4 42 2" xfId="2983" xr:uid="{00000000-0005-0000-0000-0000F2090000}"/>
    <cellStyle name="20% - Ênfase4 43" xfId="2984" xr:uid="{00000000-0005-0000-0000-0000F3090000}"/>
    <cellStyle name="20% - Ênfase4 43 2" xfId="2985" xr:uid="{00000000-0005-0000-0000-0000F4090000}"/>
    <cellStyle name="20% - Ênfase4 44" xfId="2986" xr:uid="{00000000-0005-0000-0000-0000F5090000}"/>
    <cellStyle name="20% - Ênfase4 44 2" xfId="2987" xr:uid="{00000000-0005-0000-0000-0000F6090000}"/>
    <cellStyle name="20% - Ênfase4 45" xfId="2988" xr:uid="{00000000-0005-0000-0000-0000F7090000}"/>
    <cellStyle name="20% - Ênfase4 45 2" xfId="2989" xr:uid="{00000000-0005-0000-0000-0000F8090000}"/>
    <cellStyle name="20% - Ênfase4 46" xfId="2990" xr:uid="{00000000-0005-0000-0000-0000F9090000}"/>
    <cellStyle name="20% - Ênfase4 46 2" xfId="2991" xr:uid="{00000000-0005-0000-0000-0000FA090000}"/>
    <cellStyle name="20% - Ênfase4 47" xfId="2992" xr:uid="{00000000-0005-0000-0000-0000FB090000}"/>
    <cellStyle name="20% - Ênfase4 47 2" xfId="2993" xr:uid="{00000000-0005-0000-0000-0000FC090000}"/>
    <cellStyle name="20% - Ênfase4 48" xfId="2994" xr:uid="{00000000-0005-0000-0000-0000FD090000}"/>
    <cellStyle name="20% - Ênfase4 48 2" xfId="2995" xr:uid="{00000000-0005-0000-0000-0000FE090000}"/>
    <cellStyle name="20% - Ênfase4 49" xfId="2996" xr:uid="{00000000-0005-0000-0000-0000FF090000}"/>
    <cellStyle name="20% - Ênfase4 49 2" xfId="2997" xr:uid="{00000000-0005-0000-0000-0000000A0000}"/>
    <cellStyle name="20% - Ênfase4 5" xfId="2998" xr:uid="{00000000-0005-0000-0000-0000010A0000}"/>
    <cellStyle name="20% - Ênfase4 5 2" xfId="2999" xr:uid="{00000000-0005-0000-0000-0000020A0000}"/>
    <cellStyle name="20% - Ênfase4 5 2 2" xfId="3000" xr:uid="{00000000-0005-0000-0000-0000030A0000}"/>
    <cellStyle name="20% - Ênfase4 5 2 2 2" xfId="25265" xr:uid="{00000000-0005-0000-0000-0000040A0000}"/>
    <cellStyle name="20% - Ênfase4 5 2 2 2 2" xfId="25266" xr:uid="{00000000-0005-0000-0000-0000050A0000}"/>
    <cellStyle name="20% - Ênfase4 5 2 2 2 2 2" xfId="26422" xr:uid="{00000000-0005-0000-0000-0000060A0000}"/>
    <cellStyle name="20% - Ênfase4 5 2 2 2 3" xfId="26421" xr:uid="{00000000-0005-0000-0000-0000070A0000}"/>
    <cellStyle name="20% - Ênfase4 5 2 2 3" xfId="25267" xr:uid="{00000000-0005-0000-0000-0000080A0000}"/>
    <cellStyle name="20% - Ênfase4 5 2 2 3 2" xfId="26423" xr:uid="{00000000-0005-0000-0000-0000090A0000}"/>
    <cellStyle name="20% - Ênfase4 5 2 2 4" xfId="26420" xr:uid="{00000000-0005-0000-0000-00000A0A0000}"/>
    <cellStyle name="20% - Ênfase4 5 2 2 5" xfId="25264" xr:uid="{00000000-0005-0000-0000-00000B0A0000}"/>
    <cellStyle name="20% - Ênfase4 5 2 3" xfId="3001" xr:uid="{00000000-0005-0000-0000-00000C0A0000}"/>
    <cellStyle name="20% - Ênfase4 5 2 3 2" xfId="25269" xr:uid="{00000000-0005-0000-0000-00000D0A0000}"/>
    <cellStyle name="20% - Ênfase4 5 2 3 2 2" xfId="26425" xr:uid="{00000000-0005-0000-0000-00000E0A0000}"/>
    <cellStyle name="20% - Ênfase4 5 2 3 3" xfId="26424" xr:uid="{00000000-0005-0000-0000-00000F0A0000}"/>
    <cellStyle name="20% - Ênfase4 5 2 3 4" xfId="25268" xr:uid="{00000000-0005-0000-0000-0000100A0000}"/>
    <cellStyle name="20% - Ênfase4 5 2 4" xfId="3002" xr:uid="{00000000-0005-0000-0000-0000110A0000}"/>
    <cellStyle name="20% - Ênfase4 5 2 4 2" xfId="26426" xr:uid="{00000000-0005-0000-0000-0000120A0000}"/>
    <cellStyle name="20% - Ênfase4 5 2 4 3" xfId="25270" xr:uid="{00000000-0005-0000-0000-0000130A0000}"/>
    <cellStyle name="20% - Ênfase4 5 2 5" xfId="3003" xr:uid="{00000000-0005-0000-0000-0000140A0000}"/>
    <cellStyle name="20% - Ênfase4 5 2 5 2" xfId="3004" xr:uid="{00000000-0005-0000-0000-0000150A0000}"/>
    <cellStyle name="20% - Ênfase4 5 2 6" xfId="3005" xr:uid="{00000000-0005-0000-0000-0000160A0000}"/>
    <cellStyle name="20% - Ênfase4 5 2 6 2" xfId="3006" xr:uid="{00000000-0005-0000-0000-0000170A0000}"/>
    <cellStyle name="20% - Ênfase4 5 2 7" xfId="3007" xr:uid="{00000000-0005-0000-0000-0000180A0000}"/>
    <cellStyle name="20% - Ênfase4 5 2 7 2" xfId="3008" xr:uid="{00000000-0005-0000-0000-0000190A0000}"/>
    <cellStyle name="20% - Ênfase4 5 2 8" xfId="3009" xr:uid="{00000000-0005-0000-0000-00001A0A0000}"/>
    <cellStyle name="20% - Ênfase4 5 2 8 2" xfId="3010" xr:uid="{00000000-0005-0000-0000-00001B0A0000}"/>
    <cellStyle name="20% - Ênfase4 5 2 9" xfId="3011" xr:uid="{00000000-0005-0000-0000-00001C0A0000}"/>
    <cellStyle name="20% - Ênfase4 5 3" xfId="3012" xr:uid="{00000000-0005-0000-0000-00001D0A0000}"/>
    <cellStyle name="20% - Ênfase4 5 3 2" xfId="25272" xr:uid="{00000000-0005-0000-0000-00001E0A0000}"/>
    <cellStyle name="20% - Ênfase4 5 3 2 2" xfId="25273" xr:uid="{00000000-0005-0000-0000-00001F0A0000}"/>
    <cellStyle name="20% - Ênfase4 5 3 2 2 2" xfId="26429" xr:uid="{00000000-0005-0000-0000-0000200A0000}"/>
    <cellStyle name="20% - Ênfase4 5 3 2 3" xfId="26428" xr:uid="{00000000-0005-0000-0000-0000210A0000}"/>
    <cellStyle name="20% - Ênfase4 5 3 3" xfId="25274" xr:uid="{00000000-0005-0000-0000-0000220A0000}"/>
    <cellStyle name="20% - Ênfase4 5 3 3 2" xfId="26430" xr:uid="{00000000-0005-0000-0000-0000230A0000}"/>
    <cellStyle name="20% - Ênfase4 5 3 4" xfId="26427" xr:uid="{00000000-0005-0000-0000-0000240A0000}"/>
    <cellStyle name="20% - Ênfase4 5 3 5" xfId="25271" xr:uid="{00000000-0005-0000-0000-0000250A0000}"/>
    <cellStyle name="20% - Ênfase4 5 4" xfId="3013" xr:uid="{00000000-0005-0000-0000-0000260A0000}"/>
    <cellStyle name="20% - Ênfase4 5 4 2" xfId="25276" xr:uid="{00000000-0005-0000-0000-0000270A0000}"/>
    <cellStyle name="20% - Ênfase4 5 4 2 2" xfId="26432" xr:uid="{00000000-0005-0000-0000-0000280A0000}"/>
    <cellStyle name="20% - Ênfase4 5 4 3" xfId="26431" xr:uid="{00000000-0005-0000-0000-0000290A0000}"/>
    <cellStyle name="20% - Ênfase4 5 4 4" xfId="25275" xr:uid="{00000000-0005-0000-0000-00002A0A0000}"/>
    <cellStyle name="20% - Ênfase4 5 5" xfId="3014" xr:uid="{00000000-0005-0000-0000-00002B0A0000}"/>
    <cellStyle name="20% - Ênfase4 5 5 2" xfId="3015" xr:uid="{00000000-0005-0000-0000-00002C0A0000}"/>
    <cellStyle name="20% - Ênfase4 5 5 2 2" xfId="3016" xr:uid="{00000000-0005-0000-0000-00002D0A0000}"/>
    <cellStyle name="20% - Ênfase4 5 5 3" xfId="3017" xr:uid="{00000000-0005-0000-0000-00002E0A0000}"/>
    <cellStyle name="20% - Ênfase4 5 5 3 2" xfId="3018" xr:uid="{00000000-0005-0000-0000-00002F0A0000}"/>
    <cellStyle name="20% - Ênfase4 5 5 4" xfId="3019" xr:uid="{00000000-0005-0000-0000-0000300A0000}"/>
    <cellStyle name="20% - Ênfase4 5 5 4 2" xfId="3020" xr:uid="{00000000-0005-0000-0000-0000310A0000}"/>
    <cellStyle name="20% - Ênfase4 5 5 5" xfId="3021" xr:uid="{00000000-0005-0000-0000-0000320A0000}"/>
    <cellStyle name="20% - Ênfase4 5 5 5 2" xfId="3022" xr:uid="{00000000-0005-0000-0000-0000330A0000}"/>
    <cellStyle name="20% - Ênfase4 5 5 6" xfId="3023" xr:uid="{00000000-0005-0000-0000-0000340A0000}"/>
    <cellStyle name="20% - Ênfase4 5 6" xfId="3024" xr:uid="{00000000-0005-0000-0000-0000350A0000}"/>
    <cellStyle name="20% - Ênfase4 5 6 2" xfId="3025" xr:uid="{00000000-0005-0000-0000-0000360A0000}"/>
    <cellStyle name="20% - Ênfase4 5 6 2 2" xfId="3026" xr:uid="{00000000-0005-0000-0000-0000370A0000}"/>
    <cellStyle name="20% - Ênfase4 5 6 3" xfId="3027" xr:uid="{00000000-0005-0000-0000-0000380A0000}"/>
    <cellStyle name="20% - Ênfase4 5 6 3 2" xfId="3028" xr:uid="{00000000-0005-0000-0000-0000390A0000}"/>
    <cellStyle name="20% - Ênfase4 5 6 4" xfId="3029" xr:uid="{00000000-0005-0000-0000-00003A0A0000}"/>
    <cellStyle name="20% - Ênfase4 5 6 4 2" xfId="3030" xr:uid="{00000000-0005-0000-0000-00003B0A0000}"/>
    <cellStyle name="20% - Ênfase4 5 6 5" xfId="3031" xr:uid="{00000000-0005-0000-0000-00003C0A0000}"/>
    <cellStyle name="20% - Ênfase4 5 6 5 2" xfId="3032" xr:uid="{00000000-0005-0000-0000-00003D0A0000}"/>
    <cellStyle name="20% - Ênfase4 5 6 6" xfId="3033" xr:uid="{00000000-0005-0000-0000-00003E0A0000}"/>
    <cellStyle name="20% - Ênfase4 50" xfId="3034" xr:uid="{00000000-0005-0000-0000-00003F0A0000}"/>
    <cellStyle name="20% - Ênfase4 50 2" xfId="3035" xr:uid="{00000000-0005-0000-0000-0000400A0000}"/>
    <cellStyle name="20% - Ênfase4 51" xfId="3036" xr:uid="{00000000-0005-0000-0000-0000410A0000}"/>
    <cellStyle name="20% - Ênfase4 51 2" xfId="3037" xr:uid="{00000000-0005-0000-0000-0000420A0000}"/>
    <cellStyle name="20% - Ênfase4 52" xfId="3038" xr:uid="{00000000-0005-0000-0000-0000430A0000}"/>
    <cellStyle name="20% - Ênfase4 52 2" xfId="3039" xr:uid="{00000000-0005-0000-0000-0000440A0000}"/>
    <cellStyle name="20% - Ênfase4 53" xfId="3040" xr:uid="{00000000-0005-0000-0000-0000450A0000}"/>
    <cellStyle name="20% - Ênfase4 53 2" xfId="3041" xr:uid="{00000000-0005-0000-0000-0000460A0000}"/>
    <cellStyle name="20% - Ênfase4 54" xfId="3042" xr:uid="{00000000-0005-0000-0000-0000470A0000}"/>
    <cellStyle name="20% - Ênfase4 54 2" xfId="3043" xr:uid="{00000000-0005-0000-0000-0000480A0000}"/>
    <cellStyle name="20% - Ênfase4 55" xfId="3044" xr:uid="{00000000-0005-0000-0000-0000490A0000}"/>
    <cellStyle name="20% - Ênfase4 55 2" xfId="3045" xr:uid="{00000000-0005-0000-0000-00004A0A0000}"/>
    <cellStyle name="20% - Ênfase4 6" xfId="3046" xr:uid="{00000000-0005-0000-0000-00004B0A0000}"/>
    <cellStyle name="20% - Ênfase4 6 10" xfId="3047" xr:uid="{00000000-0005-0000-0000-00004C0A0000}"/>
    <cellStyle name="20% - Ênfase4 6 10 2" xfId="3048" xr:uid="{00000000-0005-0000-0000-00004D0A0000}"/>
    <cellStyle name="20% - Ênfase4 6 11" xfId="3049" xr:uid="{00000000-0005-0000-0000-00004E0A0000}"/>
    <cellStyle name="20% - Ênfase4 6 11 2" xfId="3050" xr:uid="{00000000-0005-0000-0000-00004F0A0000}"/>
    <cellStyle name="20% - Ênfase4 6 12" xfId="3051" xr:uid="{00000000-0005-0000-0000-0000500A0000}"/>
    <cellStyle name="20% - Ênfase4 6 12 2" xfId="3052" xr:uid="{00000000-0005-0000-0000-0000510A0000}"/>
    <cellStyle name="20% - Ênfase4 6 13" xfId="3053" xr:uid="{00000000-0005-0000-0000-0000520A0000}"/>
    <cellStyle name="20% - Ênfase4 6 13 2" xfId="3054" xr:uid="{00000000-0005-0000-0000-0000530A0000}"/>
    <cellStyle name="20% - Ênfase4 6 14" xfId="3055" xr:uid="{00000000-0005-0000-0000-0000540A0000}"/>
    <cellStyle name="20% - Ênfase4 6 14 2" xfId="3056" xr:uid="{00000000-0005-0000-0000-0000550A0000}"/>
    <cellStyle name="20% - Ênfase4 6 15" xfId="3057" xr:uid="{00000000-0005-0000-0000-0000560A0000}"/>
    <cellStyle name="20% - Ênfase4 6 15 2" xfId="3058" xr:uid="{00000000-0005-0000-0000-0000570A0000}"/>
    <cellStyle name="20% - Ênfase4 6 16" xfId="3059" xr:uid="{00000000-0005-0000-0000-0000580A0000}"/>
    <cellStyle name="20% - Ênfase4 6 16 2" xfId="3060" xr:uid="{00000000-0005-0000-0000-0000590A0000}"/>
    <cellStyle name="20% - Ênfase4 6 17" xfId="3061" xr:uid="{00000000-0005-0000-0000-00005A0A0000}"/>
    <cellStyle name="20% - Ênfase4 6 17 2" xfId="3062" xr:uid="{00000000-0005-0000-0000-00005B0A0000}"/>
    <cellStyle name="20% - Ênfase4 6 18" xfId="3063" xr:uid="{00000000-0005-0000-0000-00005C0A0000}"/>
    <cellStyle name="20% - Ênfase4 6 18 2" xfId="3064" xr:uid="{00000000-0005-0000-0000-00005D0A0000}"/>
    <cellStyle name="20% - Ênfase4 6 19" xfId="3065" xr:uid="{00000000-0005-0000-0000-00005E0A0000}"/>
    <cellStyle name="20% - Ênfase4 6 19 2" xfId="3066" xr:uid="{00000000-0005-0000-0000-00005F0A0000}"/>
    <cellStyle name="20% - Ênfase4 6 2" xfId="3067" xr:uid="{00000000-0005-0000-0000-0000600A0000}"/>
    <cellStyle name="20% - Ênfase4 6 2 2" xfId="3068" xr:uid="{00000000-0005-0000-0000-0000610A0000}"/>
    <cellStyle name="20% - Ênfase4 6 2 2 2" xfId="3069" xr:uid="{00000000-0005-0000-0000-0000620A0000}"/>
    <cellStyle name="20% - Ênfase4 6 2 2 2 2" xfId="26434" xr:uid="{00000000-0005-0000-0000-0000630A0000}"/>
    <cellStyle name="20% - Ênfase4 6 2 2 3" xfId="26433" xr:uid="{00000000-0005-0000-0000-0000640A0000}"/>
    <cellStyle name="20% - Ênfase4 6 2 3" xfId="3070" xr:uid="{00000000-0005-0000-0000-0000650A0000}"/>
    <cellStyle name="20% - Ênfase4 6 2 3 2" xfId="3071" xr:uid="{00000000-0005-0000-0000-0000660A0000}"/>
    <cellStyle name="20% - Ênfase4 6 2 4" xfId="3072" xr:uid="{00000000-0005-0000-0000-0000670A0000}"/>
    <cellStyle name="20% - Ênfase4 6 2 4 2" xfId="3073" xr:uid="{00000000-0005-0000-0000-0000680A0000}"/>
    <cellStyle name="20% - Ênfase4 6 2 5" xfId="3074" xr:uid="{00000000-0005-0000-0000-0000690A0000}"/>
    <cellStyle name="20% - Ênfase4 6 2 5 2" xfId="3075" xr:uid="{00000000-0005-0000-0000-00006A0A0000}"/>
    <cellStyle name="20% - Ênfase4 6 2 6" xfId="3076" xr:uid="{00000000-0005-0000-0000-00006B0A0000}"/>
    <cellStyle name="20% - Ênfase4 6 20" xfId="3077" xr:uid="{00000000-0005-0000-0000-00006C0A0000}"/>
    <cellStyle name="20% - Ênfase4 6 20 2" xfId="3078" xr:uid="{00000000-0005-0000-0000-00006D0A0000}"/>
    <cellStyle name="20% - Ênfase4 6 21" xfId="3079" xr:uid="{00000000-0005-0000-0000-00006E0A0000}"/>
    <cellStyle name="20% - Ênfase4 6 21 2" xfId="3080" xr:uid="{00000000-0005-0000-0000-00006F0A0000}"/>
    <cellStyle name="20% - Ênfase4 6 22" xfId="3081" xr:uid="{00000000-0005-0000-0000-0000700A0000}"/>
    <cellStyle name="20% - Ênfase4 6 22 2" xfId="3082" xr:uid="{00000000-0005-0000-0000-0000710A0000}"/>
    <cellStyle name="20% - Ênfase4 6 23" xfId="3083" xr:uid="{00000000-0005-0000-0000-0000720A0000}"/>
    <cellStyle name="20% - Ênfase4 6 23 2" xfId="3084" xr:uid="{00000000-0005-0000-0000-0000730A0000}"/>
    <cellStyle name="20% - Ênfase4 6 24" xfId="3085" xr:uid="{00000000-0005-0000-0000-0000740A0000}"/>
    <cellStyle name="20% - Ênfase4 6 24 2" xfId="3086" xr:uid="{00000000-0005-0000-0000-0000750A0000}"/>
    <cellStyle name="20% - Ênfase4 6 25" xfId="3087" xr:uid="{00000000-0005-0000-0000-0000760A0000}"/>
    <cellStyle name="20% - Ênfase4 6 25 2" xfId="3088" xr:uid="{00000000-0005-0000-0000-0000770A0000}"/>
    <cellStyle name="20% - Ênfase4 6 26" xfId="3089" xr:uid="{00000000-0005-0000-0000-0000780A0000}"/>
    <cellStyle name="20% - Ênfase4 6 26 2" xfId="3090" xr:uid="{00000000-0005-0000-0000-0000790A0000}"/>
    <cellStyle name="20% - Ênfase4 6 27" xfId="3091" xr:uid="{00000000-0005-0000-0000-00007A0A0000}"/>
    <cellStyle name="20% - Ênfase4 6 27 2" xfId="3092" xr:uid="{00000000-0005-0000-0000-00007B0A0000}"/>
    <cellStyle name="20% - Ênfase4 6 28" xfId="3093" xr:uid="{00000000-0005-0000-0000-00007C0A0000}"/>
    <cellStyle name="20% - Ênfase4 6 28 2" xfId="3094" xr:uid="{00000000-0005-0000-0000-00007D0A0000}"/>
    <cellStyle name="20% - Ênfase4 6 29" xfId="3095" xr:uid="{00000000-0005-0000-0000-00007E0A0000}"/>
    <cellStyle name="20% - Ênfase4 6 29 2" xfId="3096" xr:uid="{00000000-0005-0000-0000-00007F0A0000}"/>
    <cellStyle name="20% - Ênfase4 6 3" xfId="3097" xr:uid="{00000000-0005-0000-0000-0000800A0000}"/>
    <cellStyle name="20% - Ênfase4 6 3 2" xfId="3098" xr:uid="{00000000-0005-0000-0000-0000810A0000}"/>
    <cellStyle name="20% - Ênfase4 6 3 2 2" xfId="3099" xr:uid="{00000000-0005-0000-0000-0000820A0000}"/>
    <cellStyle name="20% - Ênfase4 6 3 3" xfId="3100" xr:uid="{00000000-0005-0000-0000-0000830A0000}"/>
    <cellStyle name="20% - Ênfase4 6 3 3 2" xfId="3101" xr:uid="{00000000-0005-0000-0000-0000840A0000}"/>
    <cellStyle name="20% - Ênfase4 6 3 4" xfId="3102" xr:uid="{00000000-0005-0000-0000-0000850A0000}"/>
    <cellStyle name="20% - Ênfase4 6 3 4 2" xfId="3103" xr:uid="{00000000-0005-0000-0000-0000860A0000}"/>
    <cellStyle name="20% - Ênfase4 6 3 5" xfId="3104" xr:uid="{00000000-0005-0000-0000-0000870A0000}"/>
    <cellStyle name="20% - Ênfase4 6 3 5 2" xfId="3105" xr:uid="{00000000-0005-0000-0000-0000880A0000}"/>
    <cellStyle name="20% - Ênfase4 6 3 6" xfId="3106" xr:uid="{00000000-0005-0000-0000-0000890A0000}"/>
    <cellStyle name="20% - Ênfase4 6 30" xfId="3107" xr:uid="{00000000-0005-0000-0000-00008A0A0000}"/>
    <cellStyle name="20% - Ênfase4 6 30 2" xfId="3108" xr:uid="{00000000-0005-0000-0000-00008B0A0000}"/>
    <cellStyle name="20% - Ênfase4 6 31" xfId="3109" xr:uid="{00000000-0005-0000-0000-00008C0A0000}"/>
    <cellStyle name="20% - Ênfase4 6 31 2" xfId="3110" xr:uid="{00000000-0005-0000-0000-00008D0A0000}"/>
    <cellStyle name="20% - Ênfase4 6 32" xfId="3111" xr:uid="{00000000-0005-0000-0000-00008E0A0000}"/>
    <cellStyle name="20% - Ênfase4 6 32 2" xfId="3112" xr:uid="{00000000-0005-0000-0000-00008F0A0000}"/>
    <cellStyle name="20% - Ênfase4 6 33" xfId="3113" xr:uid="{00000000-0005-0000-0000-0000900A0000}"/>
    <cellStyle name="20% - Ênfase4 6 33 2" xfId="3114" xr:uid="{00000000-0005-0000-0000-0000910A0000}"/>
    <cellStyle name="20% - Ênfase4 6 34" xfId="3115" xr:uid="{00000000-0005-0000-0000-0000920A0000}"/>
    <cellStyle name="20% - Ênfase4 6 34 2" xfId="3116" xr:uid="{00000000-0005-0000-0000-0000930A0000}"/>
    <cellStyle name="20% - Ênfase4 6 35" xfId="3117" xr:uid="{00000000-0005-0000-0000-0000940A0000}"/>
    <cellStyle name="20% - Ênfase4 6 35 2" xfId="3118" xr:uid="{00000000-0005-0000-0000-0000950A0000}"/>
    <cellStyle name="20% - Ênfase4 6 36" xfId="3119" xr:uid="{00000000-0005-0000-0000-0000960A0000}"/>
    <cellStyle name="20% - Ênfase4 6 36 2" xfId="3120" xr:uid="{00000000-0005-0000-0000-0000970A0000}"/>
    <cellStyle name="20% - Ênfase4 6 37" xfId="3121" xr:uid="{00000000-0005-0000-0000-0000980A0000}"/>
    <cellStyle name="20% - Ênfase4 6 4" xfId="3122" xr:uid="{00000000-0005-0000-0000-0000990A0000}"/>
    <cellStyle name="20% - Ênfase4 6 4 2" xfId="3123" xr:uid="{00000000-0005-0000-0000-00009A0A0000}"/>
    <cellStyle name="20% - Ênfase4 6 4 2 2" xfId="3124" xr:uid="{00000000-0005-0000-0000-00009B0A0000}"/>
    <cellStyle name="20% - Ênfase4 6 4 3" xfId="3125" xr:uid="{00000000-0005-0000-0000-00009C0A0000}"/>
    <cellStyle name="20% - Ênfase4 6 4 3 2" xfId="3126" xr:uid="{00000000-0005-0000-0000-00009D0A0000}"/>
    <cellStyle name="20% - Ênfase4 6 4 4" xfId="3127" xr:uid="{00000000-0005-0000-0000-00009E0A0000}"/>
    <cellStyle name="20% - Ênfase4 6 4 4 2" xfId="3128" xr:uid="{00000000-0005-0000-0000-00009F0A0000}"/>
    <cellStyle name="20% - Ênfase4 6 4 5" xfId="3129" xr:uid="{00000000-0005-0000-0000-0000A00A0000}"/>
    <cellStyle name="20% - Ênfase4 6 4 5 2" xfId="3130" xr:uid="{00000000-0005-0000-0000-0000A10A0000}"/>
    <cellStyle name="20% - Ênfase4 6 4 6" xfId="3131" xr:uid="{00000000-0005-0000-0000-0000A20A0000}"/>
    <cellStyle name="20% - Ênfase4 6 5" xfId="3132" xr:uid="{00000000-0005-0000-0000-0000A30A0000}"/>
    <cellStyle name="20% - Ênfase4 6 5 2" xfId="3133" xr:uid="{00000000-0005-0000-0000-0000A40A0000}"/>
    <cellStyle name="20% - Ênfase4 6 6" xfId="3134" xr:uid="{00000000-0005-0000-0000-0000A50A0000}"/>
    <cellStyle name="20% - Ênfase4 6 6 2" xfId="3135" xr:uid="{00000000-0005-0000-0000-0000A60A0000}"/>
    <cellStyle name="20% - Ênfase4 6 7" xfId="3136" xr:uid="{00000000-0005-0000-0000-0000A70A0000}"/>
    <cellStyle name="20% - Ênfase4 6 7 2" xfId="3137" xr:uid="{00000000-0005-0000-0000-0000A80A0000}"/>
    <cellStyle name="20% - Ênfase4 6 8" xfId="3138" xr:uid="{00000000-0005-0000-0000-0000A90A0000}"/>
    <cellStyle name="20% - Ênfase4 6 8 2" xfId="3139" xr:uid="{00000000-0005-0000-0000-0000AA0A0000}"/>
    <cellStyle name="20% - Ênfase4 6 9" xfId="3140" xr:uid="{00000000-0005-0000-0000-0000AB0A0000}"/>
    <cellStyle name="20% - Ênfase4 6 9 2" xfId="3141" xr:uid="{00000000-0005-0000-0000-0000AC0A0000}"/>
    <cellStyle name="20% - Ênfase4 7" xfId="3142" xr:uid="{00000000-0005-0000-0000-0000AD0A0000}"/>
    <cellStyle name="20% - Ênfase4 7 10" xfId="3143" xr:uid="{00000000-0005-0000-0000-0000AE0A0000}"/>
    <cellStyle name="20% - Ênfase4 7 10 2" xfId="3144" xr:uid="{00000000-0005-0000-0000-0000AF0A0000}"/>
    <cellStyle name="20% - Ênfase4 7 11" xfId="3145" xr:uid="{00000000-0005-0000-0000-0000B00A0000}"/>
    <cellStyle name="20% - Ênfase4 7 11 2" xfId="3146" xr:uid="{00000000-0005-0000-0000-0000B10A0000}"/>
    <cellStyle name="20% - Ênfase4 7 12" xfId="3147" xr:uid="{00000000-0005-0000-0000-0000B20A0000}"/>
    <cellStyle name="20% - Ênfase4 7 12 2" xfId="3148" xr:uid="{00000000-0005-0000-0000-0000B30A0000}"/>
    <cellStyle name="20% - Ênfase4 7 13" xfId="3149" xr:uid="{00000000-0005-0000-0000-0000B40A0000}"/>
    <cellStyle name="20% - Ênfase4 7 13 2" xfId="3150" xr:uid="{00000000-0005-0000-0000-0000B50A0000}"/>
    <cellStyle name="20% - Ênfase4 7 14" xfId="3151" xr:uid="{00000000-0005-0000-0000-0000B60A0000}"/>
    <cellStyle name="20% - Ênfase4 7 14 2" xfId="3152" xr:uid="{00000000-0005-0000-0000-0000B70A0000}"/>
    <cellStyle name="20% - Ênfase4 7 15" xfId="3153" xr:uid="{00000000-0005-0000-0000-0000B80A0000}"/>
    <cellStyle name="20% - Ênfase4 7 15 2" xfId="3154" xr:uid="{00000000-0005-0000-0000-0000B90A0000}"/>
    <cellStyle name="20% - Ênfase4 7 16" xfId="3155" xr:uid="{00000000-0005-0000-0000-0000BA0A0000}"/>
    <cellStyle name="20% - Ênfase4 7 16 2" xfId="3156" xr:uid="{00000000-0005-0000-0000-0000BB0A0000}"/>
    <cellStyle name="20% - Ênfase4 7 17" xfId="3157" xr:uid="{00000000-0005-0000-0000-0000BC0A0000}"/>
    <cellStyle name="20% - Ênfase4 7 17 2" xfId="3158" xr:uid="{00000000-0005-0000-0000-0000BD0A0000}"/>
    <cellStyle name="20% - Ênfase4 7 18" xfId="3159" xr:uid="{00000000-0005-0000-0000-0000BE0A0000}"/>
    <cellStyle name="20% - Ênfase4 7 18 2" xfId="3160" xr:uid="{00000000-0005-0000-0000-0000BF0A0000}"/>
    <cellStyle name="20% - Ênfase4 7 19" xfId="3161" xr:uid="{00000000-0005-0000-0000-0000C00A0000}"/>
    <cellStyle name="20% - Ênfase4 7 19 2" xfId="3162" xr:uid="{00000000-0005-0000-0000-0000C10A0000}"/>
    <cellStyle name="20% - Ênfase4 7 2" xfId="3163" xr:uid="{00000000-0005-0000-0000-0000C20A0000}"/>
    <cellStyle name="20% - Ênfase4 7 2 2" xfId="3164" xr:uid="{00000000-0005-0000-0000-0000C30A0000}"/>
    <cellStyle name="20% - Ênfase4 7 2 2 2" xfId="3165" xr:uid="{00000000-0005-0000-0000-0000C40A0000}"/>
    <cellStyle name="20% - Ênfase4 7 2 2 2 2" xfId="26436" xr:uid="{00000000-0005-0000-0000-0000C50A0000}"/>
    <cellStyle name="20% - Ênfase4 7 2 2 3" xfId="26435" xr:uid="{00000000-0005-0000-0000-0000C60A0000}"/>
    <cellStyle name="20% - Ênfase4 7 2 3" xfId="3166" xr:uid="{00000000-0005-0000-0000-0000C70A0000}"/>
    <cellStyle name="20% - Ênfase4 7 2 3 2" xfId="3167" xr:uid="{00000000-0005-0000-0000-0000C80A0000}"/>
    <cellStyle name="20% - Ênfase4 7 2 4" xfId="3168" xr:uid="{00000000-0005-0000-0000-0000C90A0000}"/>
    <cellStyle name="20% - Ênfase4 7 2 4 2" xfId="3169" xr:uid="{00000000-0005-0000-0000-0000CA0A0000}"/>
    <cellStyle name="20% - Ênfase4 7 2 5" xfId="3170" xr:uid="{00000000-0005-0000-0000-0000CB0A0000}"/>
    <cellStyle name="20% - Ênfase4 7 2 5 2" xfId="3171" xr:uid="{00000000-0005-0000-0000-0000CC0A0000}"/>
    <cellStyle name="20% - Ênfase4 7 2 6" xfId="3172" xr:uid="{00000000-0005-0000-0000-0000CD0A0000}"/>
    <cellStyle name="20% - Ênfase4 7 20" xfId="3173" xr:uid="{00000000-0005-0000-0000-0000CE0A0000}"/>
    <cellStyle name="20% - Ênfase4 7 20 2" xfId="3174" xr:uid="{00000000-0005-0000-0000-0000CF0A0000}"/>
    <cellStyle name="20% - Ênfase4 7 21" xfId="3175" xr:uid="{00000000-0005-0000-0000-0000D00A0000}"/>
    <cellStyle name="20% - Ênfase4 7 21 2" xfId="3176" xr:uid="{00000000-0005-0000-0000-0000D10A0000}"/>
    <cellStyle name="20% - Ênfase4 7 22" xfId="3177" xr:uid="{00000000-0005-0000-0000-0000D20A0000}"/>
    <cellStyle name="20% - Ênfase4 7 22 2" xfId="3178" xr:uid="{00000000-0005-0000-0000-0000D30A0000}"/>
    <cellStyle name="20% - Ênfase4 7 23" xfId="3179" xr:uid="{00000000-0005-0000-0000-0000D40A0000}"/>
    <cellStyle name="20% - Ênfase4 7 23 2" xfId="3180" xr:uid="{00000000-0005-0000-0000-0000D50A0000}"/>
    <cellStyle name="20% - Ênfase4 7 24" xfId="3181" xr:uid="{00000000-0005-0000-0000-0000D60A0000}"/>
    <cellStyle name="20% - Ênfase4 7 24 2" xfId="3182" xr:uid="{00000000-0005-0000-0000-0000D70A0000}"/>
    <cellStyle name="20% - Ênfase4 7 25" xfId="3183" xr:uid="{00000000-0005-0000-0000-0000D80A0000}"/>
    <cellStyle name="20% - Ênfase4 7 25 2" xfId="3184" xr:uid="{00000000-0005-0000-0000-0000D90A0000}"/>
    <cellStyle name="20% - Ênfase4 7 26" xfId="3185" xr:uid="{00000000-0005-0000-0000-0000DA0A0000}"/>
    <cellStyle name="20% - Ênfase4 7 26 2" xfId="3186" xr:uid="{00000000-0005-0000-0000-0000DB0A0000}"/>
    <cellStyle name="20% - Ênfase4 7 27" xfId="3187" xr:uid="{00000000-0005-0000-0000-0000DC0A0000}"/>
    <cellStyle name="20% - Ênfase4 7 27 2" xfId="3188" xr:uid="{00000000-0005-0000-0000-0000DD0A0000}"/>
    <cellStyle name="20% - Ênfase4 7 28" xfId="3189" xr:uid="{00000000-0005-0000-0000-0000DE0A0000}"/>
    <cellStyle name="20% - Ênfase4 7 28 2" xfId="3190" xr:uid="{00000000-0005-0000-0000-0000DF0A0000}"/>
    <cellStyle name="20% - Ênfase4 7 29" xfId="3191" xr:uid="{00000000-0005-0000-0000-0000E00A0000}"/>
    <cellStyle name="20% - Ênfase4 7 29 2" xfId="3192" xr:uid="{00000000-0005-0000-0000-0000E10A0000}"/>
    <cellStyle name="20% - Ênfase4 7 3" xfId="3193" xr:uid="{00000000-0005-0000-0000-0000E20A0000}"/>
    <cellStyle name="20% - Ênfase4 7 3 2" xfId="3194" xr:uid="{00000000-0005-0000-0000-0000E30A0000}"/>
    <cellStyle name="20% - Ênfase4 7 3 2 2" xfId="3195" xr:uid="{00000000-0005-0000-0000-0000E40A0000}"/>
    <cellStyle name="20% - Ênfase4 7 3 3" xfId="3196" xr:uid="{00000000-0005-0000-0000-0000E50A0000}"/>
    <cellStyle name="20% - Ênfase4 7 3 3 2" xfId="3197" xr:uid="{00000000-0005-0000-0000-0000E60A0000}"/>
    <cellStyle name="20% - Ênfase4 7 3 4" xfId="3198" xr:uid="{00000000-0005-0000-0000-0000E70A0000}"/>
    <cellStyle name="20% - Ênfase4 7 3 4 2" xfId="3199" xr:uid="{00000000-0005-0000-0000-0000E80A0000}"/>
    <cellStyle name="20% - Ênfase4 7 3 5" xfId="3200" xr:uid="{00000000-0005-0000-0000-0000E90A0000}"/>
    <cellStyle name="20% - Ênfase4 7 3 5 2" xfId="3201" xr:uid="{00000000-0005-0000-0000-0000EA0A0000}"/>
    <cellStyle name="20% - Ênfase4 7 3 6" xfId="3202" xr:uid="{00000000-0005-0000-0000-0000EB0A0000}"/>
    <cellStyle name="20% - Ênfase4 7 30" xfId="3203" xr:uid="{00000000-0005-0000-0000-0000EC0A0000}"/>
    <cellStyle name="20% - Ênfase4 7 30 2" xfId="3204" xr:uid="{00000000-0005-0000-0000-0000ED0A0000}"/>
    <cellStyle name="20% - Ênfase4 7 31" xfId="3205" xr:uid="{00000000-0005-0000-0000-0000EE0A0000}"/>
    <cellStyle name="20% - Ênfase4 7 31 2" xfId="3206" xr:uid="{00000000-0005-0000-0000-0000EF0A0000}"/>
    <cellStyle name="20% - Ênfase4 7 32" xfId="3207" xr:uid="{00000000-0005-0000-0000-0000F00A0000}"/>
    <cellStyle name="20% - Ênfase4 7 32 2" xfId="3208" xr:uid="{00000000-0005-0000-0000-0000F10A0000}"/>
    <cellStyle name="20% - Ênfase4 7 33" xfId="3209" xr:uid="{00000000-0005-0000-0000-0000F20A0000}"/>
    <cellStyle name="20% - Ênfase4 7 33 2" xfId="3210" xr:uid="{00000000-0005-0000-0000-0000F30A0000}"/>
    <cellStyle name="20% - Ênfase4 7 34" xfId="3211" xr:uid="{00000000-0005-0000-0000-0000F40A0000}"/>
    <cellStyle name="20% - Ênfase4 7 34 2" xfId="3212" xr:uid="{00000000-0005-0000-0000-0000F50A0000}"/>
    <cellStyle name="20% - Ênfase4 7 35" xfId="3213" xr:uid="{00000000-0005-0000-0000-0000F60A0000}"/>
    <cellStyle name="20% - Ênfase4 7 35 2" xfId="3214" xr:uid="{00000000-0005-0000-0000-0000F70A0000}"/>
    <cellStyle name="20% - Ênfase4 7 36" xfId="3215" xr:uid="{00000000-0005-0000-0000-0000F80A0000}"/>
    <cellStyle name="20% - Ênfase4 7 36 2" xfId="3216" xr:uid="{00000000-0005-0000-0000-0000F90A0000}"/>
    <cellStyle name="20% - Ênfase4 7 37" xfId="3217" xr:uid="{00000000-0005-0000-0000-0000FA0A0000}"/>
    <cellStyle name="20% - Ênfase4 7 4" xfId="3218" xr:uid="{00000000-0005-0000-0000-0000FB0A0000}"/>
    <cellStyle name="20% - Ênfase4 7 4 2" xfId="3219" xr:uid="{00000000-0005-0000-0000-0000FC0A0000}"/>
    <cellStyle name="20% - Ênfase4 7 4 2 2" xfId="3220" xr:uid="{00000000-0005-0000-0000-0000FD0A0000}"/>
    <cellStyle name="20% - Ênfase4 7 4 3" xfId="3221" xr:uid="{00000000-0005-0000-0000-0000FE0A0000}"/>
    <cellStyle name="20% - Ênfase4 7 4 3 2" xfId="3222" xr:uid="{00000000-0005-0000-0000-0000FF0A0000}"/>
    <cellStyle name="20% - Ênfase4 7 4 4" xfId="3223" xr:uid="{00000000-0005-0000-0000-0000000B0000}"/>
    <cellStyle name="20% - Ênfase4 7 4 4 2" xfId="3224" xr:uid="{00000000-0005-0000-0000-0000010B0000}"/>
    <cellStyle name="20% - Ênfase4 7 4 5" xfId="3225" xr:uid="{00000000-0005-0000-0000-0000020B0000}"/>
    <cellStyle name="20% - Ênfase4 7 4 5 2" xfId="3226" xr:uid="{00000000-0005-0000-0000-0000030B0000}"/>
    <cellStyle name="20% - Ênfase4 7 4 6" xfId="3227" xr:uid="{00000000-0005-0000-0000-0000040B0000}"/>
    <cellStyle name="20% - Ênfase4 7 5" xfId="3228" xr:uid="{00000000-0005-0000-0000-0000050B0000}"/>
    <cellStyle name="20% - Ênfase4 7 5 2" xfId="3229" xr:uid="{00000000-0005-0000-0000-0000060B0000}"/>
    <cellStyle name="20% - Ênfase4 7 6" xfId="3230" xr:uid="{00000000-0005-0000-0000-0000070B0000}"/>
    <cellStyle name="20% - Ênfase4 7 6 2" xfId="3231" xr:uid="{00000000-0005-0000-0000-0000080B0000}"/>
    <cellStyle name="20% - Ênfase4 7 7" xfId="3232" xr:uid="{00000000-0005-0000-0000-0000090B0000}"/>
    <cellStyle name="20% - Ênfase4 7 7 2" xfId="3233" xr:uid="{00000000-0005-0000-0000-00000A0B0000}"/>
    <cellStyle name="20% - Ênfase4 7 8" xfId="3234" xr:uid="{00000000-0005-0000-0000-00000B0B0000}"/>
    <cellStyle name="20% - Ênfase4 7 8 2" xfId="3235" xr:uid="{00000000-0005-0000-0000-00000C0B0000}"/>
    <cellStyle name="20% - Ênfase4 7 9" xfId="3236" xr:uid="{00000000-0005-0000-0000-00000D0B0000}"/>
    <cellStyle name="20% - Ênfase4 7 9 2" xfId="3237" xr:uid="{00000000-0005-0000-0000-00000E0B0000}"/>
    <cellStyle name="20% - Ênfase4 8" xfId="3238" xr:uid="{00000000-0005-0000-0000-00000F0B0000}"/>
    <cellStyle name="20% - Ênfase4 8 10" xfId="3239" xr:uid="{00000000-0005-0000-0000-0000100B0000}"/>
    <cellStyle name="20% - Ênfase4 8 10 2" xfId="3240" xr:uid="{00000000-0005-0000-0000-0000110B0000}"/>
    <cellStyle name="20% - Ênfase4 8 2" xfId="3241" xr:uid="{00000000-0005-0000-0000-0000120B0000}"/>
    <cellStyle name="20% - Ênfase4 8 2 2" xfId="3242" xr:uid="{00000000-0005-0000-0000-0000130B0000}"/>
    <cellStyle name="20% - Ênfase4 8 2 2 2" xfId="25277" xr:uid="{00000000-0005-0000-0000-0000140B0000}"/>
    <cellStyle name="20% - Ênfase4 8 2 2 2 2" xfId="26439" xr:uid="{00000000-0005-0000-0000-0000150B0000}"/>
    <cellStyle name="20% - Ênfase4 8 2 2 3" xfId="26438" xr:uid="{00000000-0005-0000-0000-0000160B0000}"/>
    <cellStyle name="20% - Ênfase4 8 2 3" xfId="25278" xr:uid="{00000000-0005-0000-0000-0000170B0000}"/>
    <cellStyle name="20% - Ênfase4 8 2 3 2" xfId="26440" xr:uid="{00000000-0005-0000-0000-0000180B0000}"/>
    <cellStyle name="20% - Ênfase4 8 2 4" xfId="26437" xr:uid="{00000000-0005-0000-0000-0000190B0000}"/>
    <cellStyle name="20% - Ênfase4 8 3" xfId="3243" xr:uid="{00000000-0005-0000-0000-00001A0B0000}"/>
    <cellStyle name="20% - Ênfase4 8 3 2" xfId="3244" xr:uid="{00000000-0005-0000-0000-00001B0B0000}"/>
    <cellStyle name="20% - Ênfase4 8 3 2 2" xfId="26442" xr:uid="{00000000-0005-0000-0000-00001C0B0000}"/>
    <cellStyle name="20% - Ênfase4 8 3 3" xfId="26441" xr:uid="{00000000-0005-0000-0000-00001D0B0000}"/>
    <cellStyle name="20% - Ênfase4 8 4" xfId="3245" xr:uid="{00000000-0005-0000-0000-00001E0B0000}"/>
    <cellStyle name="20% - Ênfase4 8 4 2" xfId="3246" xr:uid="{00000000-0005-0000-0000-00001F0B0000}"/>
    <cellStyle name="20% - Ênfase4 8 5" xfId="3247" xr:uid="{00000000-0005-0000-0000-0000200B0000}"/>
    <cellStyle name="20% - Ênfase4 8 5 2" xfId="3248" xr:uid="{00000000-0005-0000-0000-0000210B0000}"/>
    <cellStyle name="20% - Ênfase4 8 6" xfId="3249" xr:uid="{00000000-0005-0000-0000-0000220B0000}"/>
    <cellStyle name="20% - Ênfase4 8 6 2" xfId="3250" xr:uid="{00000000-0005-0000-0000-0000230B0000}"/>
    <cellStyle name="20% - Ênfase4 8 7" xfId="3251" xr:uid="{00000000-0005-0000-0000-0000240B0000}"/>
    <cellStyle name="20% - Ênfase4 8 7 2" xfId="3252" xr:uid="{00000000-0005-0000-0000-0000250B0000}"/>
    <cellStyle name="20% - Ênfase4 8 8" xfId="3253" xr:uid="{00000000-0005-0000-0000-0000260B0000}"/>
    <cellStyle name="20% - Ênfase4 8 8 2" xfId="3254" xr:uid="{00000000-0005-0000-0000-0000270B0000}"/>
    <cellStyle name="20% - Ênfase4 8 9" xfId="3255" xr:uid="{00000000-0005-0000-0000-0000280B0000}"/>
    <cellStyle name="20% - Ênfase4 8 9 2" xfId="3256" xr:uid="{00000000-0005-0000-0000-0000290B0000}"/>
    <cellStyle name="20% - Ênfase4 9" xfId="3257" xr:uid="{00000000-0005-0000-0000-00002A0B0000}"/>
    <cellStyle name="20% - Ênfase4 9 10" xfId="3258" xr:uid="{00000000-0005-0000-0000-00002B0B0000}"/>
    <cellStyle name="20% - Ênfase4 9 10 2" xfId="3259" xr:uid="{00000000-0005-0000-0000-00002C0B0000}"/>
    <cellStyle name="20% - Ênfase4 9 11" xfId="3260" xr:uid="{00000000-0005-0000-0000-00002D0B0000}"/>
    <cellStyle name="20% - Ênfase4 9 12" xfId="3261" xr:uid="{00000000-0005-0000-0000-00002E0B0000}"/>
    <cellStyle name="20% - Ênfase4 9 2" xfId="3262" xr:uid="{00000000-0005-0000-0000-00002F0B0000}"/>
    <cellStyle name="20% - Ênfase4 9 2 2" xfId="3263" xr:uid="{00000000-0005-0000-0000-0000300B0000}"/>
    <cellStyle name="20% - Ênfase4 9 2 2 2" xfId="26444" xr:uid="{00000000-0005-0000-0000-0000310B0000}"/>
    <cellStyle name="20% - Ênfase4 9 2 3" xfId="26443" xr:uid="{00000000-0005-0000-0000-0000320B0000}"/>
    <cellStyle name="20% - Ênfase4 9 3" xfId="3264" xr:uid="{00000000-0005-0000-0000-0000330B0000}"/>
    <cellStyle name="20% - Ênfase4 9 3 2" xfId="3265" xr:uid="{00000000-0005-0000-0000-0000340B0000}"/>
    <cellStyle name="20% - Ênfase4 9 4" xfId="3266" xr:uid="{00000000-0005-0000-0000-0000350B0000}"/>
    <cellStyle name="20% - Ênfase4 9 4 2" xfId="3267" xr:uid="{00000000-0005-0000-0000-0000360B0000}"/>
    <cellStyle name="20% - Ênfase4 9 5" xfId="3268" xr:uid="{00000000-0005-0000-0000-0000370B0000}"/>
    <cellStyle name="20% - Ênfase4 9 5 2" xfId="3269" xr:uid="{00000000-0005-0000-0000-0000380B0000}"/>
    <cellStyle name="20% - Ênfase4 9 6" xfId="3270" xr:uid="{00000000-0005-0000-0000-0000390B0000}"/>
    <cellStyle name="20% - Ênfase4 9 6 2" xfId="3271" xr:uid="{00000000-0005-0000-0000-00003A0B0000}"/>
    <cellStyle name="20% - Ênfase4 9 7" xfId="3272" xr:uid="{00000000-0005-0000-0000-00003B0B0000}"/>
    <cellStyle name="20% - Ênfase4 9 7 2" xfId="3273" xr:uid="{00000000-0005-0000-0000-00003C0B0000}"/>
    <cellStyle name="20% - Ênfase4 9 8" xfId="3274" xr:uid="{00000000-0005-0000-0000-00003D0B0000}"/>
    <cellStyle name="20% - Ênfase4 9 8 2" xfId="3275" xr:uid="{00000000-0005-0000-0000-00003E0B0000}"/>
    <cellStyle name="20% - Ênfase4 9 9" xfId="3276" xr:uid="{00000000-0005-0000-0000-00003F0B0000}"/>
    <cellStyle name="20% - Ênfase4 9 9 2" xfId="3277" xr:uid="{00000000-0005-0000-0000-0000400B0000}"/>
    <cellStyle name="20% - Ênfase5" xfId="19" builtinId="46" customBuiltin="1"/>
    <cellStyle name="20% - Ênfase5 10" xfId="3278" xr:uid="{00000000-0005-0000-0000-0000420B0000}"/>
    <cellStyle name="20% - Ênfase5 10 2" xfId="3279" xr:uid="{00000000-0005-0000-0000-0000430B0000}"/>
    <cellStyle name="20% - Ênfase5 10 2 2" xfId="3280" xr:uid="{00000000-0005-0000-0000-0000440B0000}"/>
    <cellStyle name="20% - Ênfase5 10 2 2 2" xfId="26446" xr:uid="{00000000-0005-0000-0000-0000450B0000}"/>
    <cellStyle name="20% - Ênfase5 10 2 3" xfId="26445" xr:uid="{00000000-0005-0000-0000-0000460B0000}"/>
    <cellStyle name="20% - Ênfase5 10 3" xfId="3281" xr:uid="{00000000-0005-0000-0000-0000470B0000}"/>
    <cellStyle name="20% - Ênfase5 10 3 2" xfId="3282" xr:uid="{00000000-0005-0000-0000-0000480B0000}"/>
    <cellStyle name="20% - Ênfase5 10 4" xfId="3283" xr:uid="{00000000-0005-0000-0000-0000490B0000}"/>
    <cellStyle name="20% - Ênfase5 10 4 2" xfId="3284" xr:uid="{00000000-0005-0000-0000-00004A0B0000}"/>
    <cellStyle name="20% - Ênfase5 10 5" xfId="3285" xr:uid="{00000000-0005-0000-0000-00004B0B0000}"/>
    <cellStyle name="20% - Ênfase5 10 5 2" xfId="3286" xr:uid="{00000000-0005-0000-0000-00004C0B0000}"/>
    <cellStyle name="20% - Ênfase5 10 6" xfId="3287" xr:uid="{00000000-0005-0000-0000-00004D0B0000}"/>
    <cellStyle name="20% - Ênfase5 11" xfId="3288" xr:uid="{00000000-0005-0000-0000-00004E0B0000}"/>
    <cellStyle name="20% - Ênfase5 11 2" xfId="3289" xr:uid="{00000000-0005-0000-0000-00004F0B0000}"/>
    <cellStyle name="20% - Ênfase5 11 2 2" xfId="3290" xr:uid="{00000000-0005-0000-0000-0000500B0000}"/>
    <cellStyle name="20% - Ênfase5 11 2 3" xfId="26447" xr:uid="{00000000-0005-0000-0000-0000510B0000}"/>
    <cellStyle name="20% - Ênfase5 11 3" xfId="3291" xr:uid="{00000000-0005-0000-0000-0000520B0000}"/>
    <cellStyle name="20% - Ênfase5 11 3 2" xfId="3292" xr:uid="{00000000-0005-0000-0000-0000530B0000}"/>
    <cellStyle name="20% - Ênfase5 11 4" xfId="3293" xr:uid="{00000000-0005-0000-0000-0000540B0000}"/>
    <cellStyle name="20% - Ênfase5 11 4 2" xfId="3294" xr:uid="{00000000-0005-0000-0000-0000550B0000}"/>
    <cellStyle name="20% - Ênfase5 11 5" xfId="3295" xr:uid="{00000000-0005-0000-0000-0000560B0000}"/>
    <cellStyle name="20% - Ênfase5 11 5 2" xfId="3296" xr:uid="{00000000-0005-0000-0000-0000570B0000}"/>
    <cellStyle name="20% - Ênfase5 11 6" xfId="3297" xr:uid="{00000000-0005-0000-0000-0000580B0000}"/>
    <cellStyle name="20% - Ênfase5 11 7" xfId="25279" xr:uid="{00000000-0005-0000-0000-0000590B0000}"/>
    <cellStyle name="20% - Ênfase5 12" xfId="3298" xr:uid="{00000000-0005-0000-0000-00005A0B0000}"/>
    <cellStyle name="20% - Ênfase5 12 2" xfId="3299" xr:uid="{00000000-0005-0000-0000-00005B0B0000}"/>
    <cellStyle name="20% - Ênfase5 12 2 2" xfId="3300" xr:uid="{00000000-0005-0000-0000-00005C0B0000}"/>
    <cellStyle name="20% - Ênfase5 12 2 2 2" xfId="26449" xr:uid="{00000000-0005-0000-0000-00005D0B0000}"/>
    <cellStyle name="20% - Ênfase5 12 2 3" xfId="26448" xr:uid="{00000000-0005-0000-0000-00005E0B0000}"/>
    <cellStyle name="20% - Ênfase5 12 3" xfId="3301" xr:uid="{00000000-0005-0000-0000-00005F0B0000}"/>
    <cellStyle name="20% - Ênfase5 12 3 2" xfId="3302" xr:uid="{00000000-0005-0000-0000-0000600B0000}"/>
    <cellStyle name="20% - Ênfase5 12 4" xfId="3303" xr:uid="{00000000-0005-0000-0000-0000610B0000}"/>
    <cellStyle name="20% - Ênfase5 12 4 2" xfId="3304" xr:uid="{00000000-0005-0000-0000-0000620B0000}"/>
    <cellStyle name="20% - Ênfase5 12 5" xfId="3305" xr:uid="{00000000-0005-0000-0000-0000630B0000}"/>
    <cellStyle name="20% - Ênfase5 12 5 2" xfId="3306" xr:uid="{00000000-0005-0000-0000-0000640B0000}"/>
    <cellStyle name="20% - Ênfase5 12 6" xfId="3307" xr:uid="{00000000-0005-0000-0000-0000650B0000}"/>
    <cellStyle name="20% - Ênfase5 13" xfId="3308" xr:uid="{00000000-0005-0000-0000-0000660B0000}"/>
    <cellStyle name="20% - Ênfase5 13 2" xfId="3309" xr:uid="{00000000-0005-0000-0000-0000670B0000}"/>
    <cellStyle name="20% - Ênfase5 14" xfId="3310" xr:uid="{00000000-0005-0000-0000-0000680B0000}"/>
    <cellStyle name="20% - Ênfase5 14 2" xfId="3311" xr:uid="{00000000-0005-0000-0000-0000690B0000}"/>
    <cellStyle name="20% - Ênfase5 15" xfId="3312" xr:uid="{00000000-0005-0000-0000-00006A0B0000}"/>
    <cellStyle name="20% - Ênfase5 15 2" xfId="3313" xr:uid="{00000000-0005-0000-0000-00006B0B0000}"/>
    <cellStyle name="20% - Ênfase5 16" xfId="3314" xr:uid="{00000000-0005-0000-0000-00006C0B0000}"/>
    <cellStyle name="20% - Ênfase5 16 2" xfId="3315" xr:uid="{00000000-0005-0000-0000-00006D0B0000}"/>
    <cellStyle name="20% - Ênfase5 17" xfId="3316" xr:uid="{00000000-0005-0000-0000-00006E0B0000}"/>
    <cellStyle name="20% - Ênfase5 17 2" xfId="3317" xr:uid="{00000000-0005-0000-0000-00006F0B0000}"/>
    <cellStyle name="20% - Ênfase5 18" xfId="3318" xr:uid="{00000000-0005-0000-0000-0000700B0000}"/>
    <cellStyle name="20% - Ênfase5 18 2" xfId="3319" xr:uid="{00000000-0005-0000-0000-0000710B0000}"/>
    <cellStyle name="20% - Ênfase5 19" xfId="3320" xr:uid="{00000000-0005-0000-0000-0000720B0000}"/>
    <cellStyle name="20% - Ênfase5 19 2" xfId="3321" xr:uid="{00000000-0005-0000-0000-0000730B0000}"/>
    <cellStyle name="20% - Ênfase5 2" xfId="3322" xr:uid="{00000000-0005-0000-0000-0000740B0000}"/>
    <cellStyle name="20% - Ênfase5 2 2" xfId="3323" xr:uid="{00000000-0005-0000-0000-0000750B0000}"/>
    <cellStyle name="20% - Ênfase5 2 2 10" xfId="3324" xr:uid="{00000000-0005-0000-0000-0000760B0000}"/>
    <cellStyle name="20% - Ênfase5 2 2 10 2" xfId="3325" xr:uid="{00000000-0005-0000-0000-0000770B0000}"/>
    <cellStyle name="20% - Ênfase5 2 2 11" xfId="3326" xr:uid="{00000000-0005-0000-0000-0000780B0000}"/>
    <cellStyle name="20% - Ênfase5 2 2 11 2" xfId="3327" xr:uid="{00000000-0005-0000-0000-0000790B0000}"/>
    <cellStyle name="20% - Ênfase5 2 2 12" xfId="3328" xr:uid="{00000000-0005-0000-0000-00007A0B0000}"/>
    <cellStyle name="20% - Ênfase5 2 2 12 2" xfId="3329" xr:uid="{00000000-0005-0000-0000-00007B0B0000}"/>
    <cellStyle name="20% - Ênfase5 2 2 2" xfId="3330" xr:uid="{00000000-0005-0000-0000-00007C0B0000}"/>
    <cellStyle name="20% - Ênfase5 2 2 2 10" xfId="3331" xr:uid="{00000000-0005-0000-0000-00007D0B0000}"/>
    <cellStyle name="20% - Ênfase5 2 2 2 11" xfId="3332" xr:uid="{00000000-0005-0000-0000-00007E0B0000}"/>
    <cellStyle name="20% - Ênfase5 2 2 2 2" xfId="3333" xr:uid="{00000000-0005-0000-0000-00007F0B0000}"/>
    <cellStyle name="20% - Ênfase5 2 2 2 2 2" xfId="25281" xr:uid="{00000000-0005-0000-0000-0000800B0000}"/>
    <cellStyle name="20% - Ênfase5 2 2 2 2 2 2" xfId="26454" xr:uid="{00000000-0005-0000-0000-0000810B0000}"/>
    <cellStyle name="20% - Ênfase5 2 2 2 2 3" xfId="26453" xr:uid="{00000000-0005-0000-0000-0000820B0000}"/>
    <cellStyle name="20% - Ênfase5 2 2 2 2 4" xfId="25280" xr:uid="{00000000-0005-0000-0000-0000830B0000}"/>
    <cellStyle name="20% - Ênfase5 2 2 2 3" xfId="3334" xr:uid="{00000000-0005-0000-0000-0000840B0000}"/>
    <cellStyle name="20% - Ênfase5 2 2 2 3 2" xfId="26455" xr:uid="{00000000-0005-0000-0000-0000850B0000}"/>
    <cellStyle name="20% - Ênfase5 2 2 2 3 3" xfId="25282" xr:uid="{00000000-0005-0000-0000-0000860B0000}"/>
    <cellStyle name="20% - Ênfase5 2 2 2 4" xfId="3335" xr:uid="{00000000-0005-0000-0000-0000870B0000}"/>
    <cellStyle name="20% - Ênfase5 2 2 2 4 2" xfId="26452" xr:uid="{00000000-0005-0000-0000-0000880B0000}"/>
    <cellStyle name="20% - Ênfase5 2 2 2 5" xfId="3336" xr:uid="{00000000-0005-0000-0000-0000890B0000}"/>
    <cellStyle name="20% - Ênfase5 2 2 2 6" xfId="3337" xr:uid="{00000000-0005-0000-0000-00008A0B0000}"/>
    <cellStyle name="20% - Ênfase5 2 2 2 7" xfId="3338" xr:uid="{00000000-0005-0000-0000-00008B0B0000}"/>
    <cellStyle name="20% - Ênfase5 2 2 2 8" xfId="3339" xr:uid="{00000000-0005-0000-0000-00008C0B0000}"/>
    <cellStyle name="20% - Ênfase5 2 2 2 9" xfId="3340" xr:uid="{00000000-0005-0000-0000-00008D0B0000}"/>
    <cellStyle name="20% - Ênfase5 2 2 3" xfId="3341" xr:uid="{00000000-0005-0000-0000-00008E0B0000}"/>
    <cellStyle name="20% - Ênfase5 2 2 3 2" xfId="25284" xr:uid="{00000000-0005-0000-0000-00008F0B0000}"/>
    <cellStyle name="20% - Ênfase5 2 2 3 2 2" xfId="25285" xr:uid="{00000000-0005-0000-0000-0000900B0000}"/>
    <cellStyle name="20% - Ênfase5 2 2 3 2 2 2" xfId="26458" xr:uid="{00000000-0005-0000-0000-0000910B0000}"/>
    <cellStyle name="20% - Ênfase5 2 2 3 2 3" xfId="26457" xr:uid="{00000000-0005-0000-0000-0000920B0000}"/>
    <cellStyle name="20% - Ênfase5 2 2 3 3" xfId="25286" xr:uid="{00000000-0005-0000-0000-0000930B0000}"/>
    <cellStyle name="20% - Ênfase5 2 2 3 3 2" xfId="26459" xr:uid="{00000000-0005-0000-0000-0000940B0000}"/>
    <cellStyle name="20% - Ênfase5 2 2 3 4" xfId="26456" xr:uid="{00000000-0005-0000-0000-0000950B0000}"/>
    <cellStyle name="20% - Ênfase5 2 2 3 5" xfId="25283" xr:uid="{00000000-0005-0000-0000-0000960B0000}"/>
    <cellStyle name="20% - Ênfase5 2 2 4" xfId="3342" xr:uid="{00000000-0005-0000-0000-0000970B0000}"/>
    <cellStyle name="20% - Ênfase5 2 2 4 2" xfId="26460" xr:uid="{00000000-0005-0000-0000-0000980B0000}"/>
    <cellStyle name="20% - Ênfase5 2 2 5" xfId="3343" xr:uid="{00000000-0005-0000-0000-0000990B0000}"/>
    <cellStyle name="20% - Ênfase5 2 2 5 2" xfId="3344" xr:uid="{00000000-0005-0000-0000-00009A0B0000}"/>
    <cellStyle name="20% - Ênfase5 2 2 5 3" xfId="26451" xr:uid="{00000000-0005-0000-0000-00009B0B0000}"/>
    <cellStyle name="20% - Ênfase5 2 2 6" xfId="3345" xr:uid="{00000000-0005-0000-0000-00009C0B0000}"/>
    <cellStyle name="20% - Ênfase5 2 2 6 2" xfId="3346" xr:uid="{00000000-0005-0000-0000-00009D0B0000}"/>
    <cellStyle name="20% - Ênfase5 2 2 7" xfId="3347" xr:uid="{00000000-0005-0000-0000-00009E0B0000}"/>
    <cellStyle name="20% - Ênfase5 2 2 7 2" xfId="3348" xr:uid="{00000000-0005-0000-0000-00009F0B0000}"/>
    <cellStyle name="20% - Ênfase5 2 2 8" xfId="3349" xr:uid="{00000000-0005-0000-0000-0000A00B0000}"/>
    <cellStyle name="20% - Ênfase5 2 2 8 2" xfId="3350" xr:uid="{00000000-0005-0000-0000-0000A10B0000}"/>
    <cellStyle name="20% - Ênfase5 2 2 9" xfId="3351" xr:uid="{00000000-0005-0000-0000-0000A20B0000}"/>
    <cellStyle name="20% - Ênfase5 2 2 9 2" xfId="3352" xr:uid="{00000000-0005-0000-0000-0000A30B0000}"/>
    <cellStyle name="20% - Ênfase5 2 3" xfId="3353" xr:uid="{00000000-0005-0000-0000-0000A40B0000}"/>
    <cellStyle name="20% - Ênfase5 2 3 2" xfId="25288" xr:uid="{00000000-0005-0000-0000-0000A50B0000}"/>
    <cellStyle name="20% - Ênfase5 2 3 2 2" xfId="25289" xr:uid="{00000000-0005-0000-0000-0000A60B0000}"/>
    <cellStyle name="20% - Ênfase5 2 3 2 2 2" xfId="26463" xr:uid="{00000000-0005-0000-0000-0000A70B0000}"/>
    <cellStyle name="20% - Ênfase5 2 3 2 3" xfId="26462" xr:uid="{00000000-0005-0000-0000-0000A80B0000}"/>
    <cellStyle name="20% - Ênfase5 2 3 3" xfId="25290" xr:uid="{00000000-0005-0000-0000-0000A90B0000}"/>
    <cellStyle name="20% - Ênfase5 2 3 3 2" xfId="26464" xr:uid="{00000000-0005-0000-0000-0000AA0B0000}"/>
    <cellStyle name="20% - Ênfase5 2 3 4" xfId="26461" xr:uid="{00000000-0005-0000-0000-0000AB0B0000}"/>
    <cellStyle name="20% - Ênfase5 2 3 5" xfId="25287" xr:uid="{00000000-0005-0000-0000-0000AC0B0000}"/>
    <cellStyle name="20% - Ênfase5 2 4" xfId="3354" xr:uid="{00000000-0005-0000-0000-0000AD0B0000}"/>
    <cellStyle name="20% - Ênfase5 2 4 2" xfId="25292" xr:uid="{00000000-0005-0000-0000-0000AE0B0000}"/>
    <cellStyle name="20% - Ênfase5 2 4 2 2" xfId="25293" xr:uid="{00000000-0005-0000-0000-0000AF0B0000}"/>
    <cellStyle name="20% - Ênfase5 2 4 2 2 2" xfId="26467" xr:uid="{00000000-0005-0000-0000-0000B00B0000}"/>
    <cellStyle name="20% - Ênfase5 2 4 2 3" xfId="26466" xr:uid="{00000000-0005-0000-0000-0000B10B0000}"/>
    <cellStyle name="20% - Ênfase5 2 4 3" xfId="25294" xr:uid="{00000000-0005-0000-0000-0000B20B0000}"/>
    <cellStyle name="20% - Ênfase5 2 4 3 2" xfId="26468" xr:uid="{00000000-0005-0000-0000-0000B30B0000}"/>
    <cellStyle name="20% - Ênfase5 2 4 4" xfId="26465" xr:uid="{00000000-0005-0000-0000-0000B40B0000}"/>
    <cellStyle name="20% - Ênfase5 2 4 5" xfId="25291" xr:uid="{00000000-0005-0000-0000-0000B50B0000}"/>
    <cellStyle name="20% - Ênfase5 2 5" xfId="3355" xr:uid="{00000000-0005-0000-0000-0000B60B0000}"/>
    <cellStyle name="20% - Ênfase5 2 5 10" xfId="3356" xr:uid="{00000000-0005-0000-0000-0000B70B0000}"/>
    <cellStyle name="20% - Ênfase5 2 5 10 2" xfId="3357" xr:uid="{00000000-0005-0000-0000-0000B80B0000}"/>
    <cellStyle name="20% - Ênfase5 2 5 2" xfId="3358" xr:uid="{00000000-0005-0000-0000-0000B90B0000}"/>
    <cellStyle name="20% - Ênfase5 2 5 2 2" xfId="3359" xr:uid="{00000000-0005-0000-0000-0000BA0B0000}"/>
    <cellStyle name="20% - Ênfase5 2 5 3" xfId="3360" xr:uid="{00000000-0005-0000-0000-0000BB0B0000}"/>
    <cellStyle name="20% - Ênfase5 2 5 3 2" xfId="3361" xr:uid="{00000000-0005-0000-0000-0000BC0B0000}"/>
    <cellStyle name="20% - Ênfase5 2 5 4" xfId="3362" xr:uid="{00000000-0005-0000-0000-0000BD0B0000}"/>
    <cellStyle name="20% - Ênfase5 2 5 4 2" xfId="3363" xr:uid="{00000000-0005-0000-0000-0000BE0B0000}"/>
    <cellStyle name="20% - Ênfase5 2 5 5" xfId="3364" xr:uid="{00000000-0005-0000-0000-0000BF0B0000}"/>
    <cellStyle name="20% - Ênfase5 2 5 5 2" xfId="3365" xr:uid="{00000000-0005-0000-0000-0000C00B0000}"/>
    <cellStyle name="20% - Ênfase5 2 5 6" xfId="3366" xr:uid="{00000000-0005-0000-0000-0000C10B0000}"/>
    <cellStyle name="20% - Ênfase5 2 5 6 2" xfId="3367" xr:uid="{00000000-0005-0000-0000-0000C20B0000}"/>
    <cellStyle name="20% - Ênfase5 2 5 7" xfId="3368" xr:uid="{00000000-0005-0000-0000-0000C30B0000}"/>
    <cellStyle name="20% - Ênfase5 2 5 7 2" xfId="3369" xr:uid="{00000000-0005-0000-0000-0000C40B0000}"/>
    <cellStyle name="20% - Ênfase5 2 5 8" xfId="3370" xr:uid="{00000000-0005-0000-0000-0000C50B0000}"/>
    <cellStyle name="20% - Ênfase5 2 5 8 2" xfId="3371" xr:uid="{00000000-0005-0000-0000-0000C60B0000}"/>
    <cellStyle name="20% - Ênfase5 2 5 9" xfId="3372" xr:uid="{00000000-0005-0000-0000-0000C70B0000}"/>
    <cellStyle name="20% - Ênfase5 2 5 9 2" xfId="3373" xr:uid="{00000000-0005-0000-0000-0000C80B0000}"/>
    <cellStyle name="20% - Ênfase5 2 6" xfId="3374" xr:uid="{00000000-0005-0000-0000-0000C90B0000}"/>
    <cellStyle name="20% - Ênfase5 2 6 2" xfId="3375" xr:uid="{00000000-0005-0000-0000-0000CA0B0000}"/>
    <cellStyle name="20% - Ênfase5 2 6 2 2" xfId="3376" xr:uid="{00000000-0005-0000-0000-0000CB0B0000}"/>
    <cellStyle name="20% - Ênfase5 2 6 3" xfId="3377" xr:uid="{00000000-0005-0000-0000-0000CC0B0000}"/>
    <cellStyle name="20% - Ênfase5 2 6 3 2" xfId="3378" xr:uid="{00000000-0005-0000-0000-0000CD0B0000}"/>
    <cellStyle name="20% - Ênfase5 2 6 4" xfId="3379" xr:uid="{00000000-0005-0000-0000-0000CE0B0000}"/>
    <cellStyle name="20% - Ênfase5 2 6 4 2" xfId="3380" xr:uid="{00000000-0005-0000-0000-0000CF0B0000}"/>
    <cellStyle name="20% - Ênfase5 2 6 5" xfId="3381" xr:uid="{00000000-0005-0000-0000-0000D00B0000}"/>
    <cellStyle name="20% - Ênfase5 2 6 5 2" xfId="3382" xr:uid="{00000000-0005-0000-0000-0000D10B0000}"/>
    <cellStyle name="20% - Ênfase5 2 6 6" xfId="3383" xr:uid="{00000000-0005-0000-0000-0000D20B0000}"/>
    <cellStyle name="20% - Ênfase5 2 7" xfId="26450" xr:uid="{00000000-0005-0000-0000-0000D30B0000}"/>
    <cellStyle name="20% - Ênfase5 20" xfId="3384" xr:uid="{00000000-0005-0000-0000-0000D40B0000}"/>
    <cellStyle name="20% - Ênfase5 20 2" xfId="3385" xr:uid="{00000000-0005-0000-0000-0000D50B0000}"/>
    <cellStyle name="20% - Ênfase5 21" xfId="3386" xr:uid="{00000000-0005-0000-0000-0000D60B0000}"/>
    <cellStyle name="20% - Ênfase5 21 2" xfId="3387" xr:uid="{00000000-0005-0000-0000-0000D70B0000}"/>
    <cellStyle name="20% - Ênfase5 22" xfId="3388" xr:uid="{00000000-0005-0000-0000-0000D80B0000}"/>
    <cellStyle name="20% - Ênfase5 22 2" xfId="3389" xr:uid="{00000000-0005-0000-0000-0000D90B0000}"/>
    <cellStyle name="20% - Ênfase5 23" xfId="3390" xr:uid="{00000000-0005-0000-0000-0000DA0B0000}"/>
    <cellStyle name="20% - Ênfase5 23 2" xfId="3391" xr:uid="{00000000-0005-0000-0000-0000DB0B0000}"/>
    <cellStyle name="20% - Ênfase5 24" xfId="3392" xr:uid="{00000000-0005-0000-0000-0000DC0B0000}"/>
    <cellStyle name="20% - Ênfase5 24 2" xfId="3393" xr:uid="{00000000-0005-0000-0000-0000DD0B0000}"/>
    <cellStyle name="20% - Ênfase5 25" xfId="3394" xr:uid="{00000000-0005-0000-0000-0000DE0B0000}"/>
    <cellStyle name="20% - Ênfase5 25 2" xfId="3395" xr:uid="{00000000-0005-0000-0000-0000DF0B0000}"/>
    <cellStyle name="20% - Ênfase5 26" xfId="3396" xr:uid="{00000000-0005-0000-0000-0000E00B0000}"/>
    <cellStyle name="20% - Ênfase5 26 2" xfId="3397" xr:uid="{00000000-0005-0000-0000-0000E10B0000}"/>
    <cellStyle name="20% - Ênfase5 27" xfId="3398" xr:uid="{00000000-0005-0000-0000-0000E20B0000}"/>
    <cellStyle name="20% - Ênfase5 27 2" xfId="3399" xr:uid="{00000000-0005-0000-0000-0000E30B0000}"/>
    <cellStyle name="20% - Ênfase5 28" xfId="3400" xr:uid="{00000000-0005-0000-0000-0000E40B0000}"/>
    <cellStyle name="20% - Ênfase5 28 2" xfId="3401" xr:uid="{00000000-0005-0000-0000-0000E50B0000}"/>
    <cellStyle name="20% - Ênfase5 29" xfId="3402" xr:uid="{00000000-0005-0000-0000-0000E60B0000}"/>
    <cellStyle name="20% - Ênfase5 29 2" xfId="3403" xr:uid="{00000000-0005-0000-0000-0000E70B0000}"/>
    <cellStyle name="20% - Ênfase5 3" xfId="3404" xr:uid="{00000000-0005-0000-0000-0000E80B0000}"/>
    <cellStyle name="20% - Ênfase5 3 2" xfId="3405" xr:uid="{00000000-0005-0000-0000-0000E90B0000}"/>
    <cellStyle name="20% - Ênfase5 3 2 10" xfId="3406" xr:uid="{00000000-0005-0000-0000-0000EA0B0000}"/>
    <cellStyle name="20% - Ênfase5 3 2 10 2" xfId="3407" xr:uid="{00000000-0005-0000-0000-0000EB0B0000}"/>
    <cellStyle name="20% - Ênfase5 3 2 11" xfId="3408" xr:uid="{00000000-0005-0000-0000-0000EC0B0000}"/>
    <cellStyle name="20% - Ênfase5 3 2 11 2" xfId="3409" xr:uid="{00000000-0005-0000-0000-0000ED0B0000}"/>
    <cellStyle name="20% - Ênfase5 3 2 12" xfId="3410" xr:uid="{00000000-0005-0000-0000-0000EE0B0000}"/>
    <cellStyle name="20% - Ênfase5 3 2 12 2" xfId="3411" xr:uid="{00000000-0005-0000-0000-0000EF0B0000}"/>
    <cellStyle name="20% - Ênfase5 3 2 2" xfId="3412" xr:uid="{00000000-0005-0000-0000-0000F00B0000}"/>
    <cellStyle name="20% - Ênfase5 3 2 2 10" xfId="3413" xr:uid="{00000000-0005-0000-0000-0000F10B0000}"/>
    <cellStyle name="20% - Ênfase5 3 2 2 11" xfId="3414" xr:uid="{00000000-0005-0000-0000-0000F20B0000}"/>
    <cellStyle name="20% - Ênfase5 3 2 2 2" xfId="3415" xr:uid="{00000000-0005-0000-0000-0000F30B0000}"/>
    <cellStyle name="20% - Ênfase5 3 2 2 2 2" xfId="25296" xr:uid="{00000000-0005-0000-0000-0000F40B0000}"/>
    <cellStyle name="20% - Ênfase5 3 2 2 2 2 2" xfId="26472" xr:uid="{00000000-0005-0000-0000-0000F50B0000}"/>
    <cellStyle name="20% - Ênfase5 3 2 2 2 3" xfId="26471" xr:uid="{00000000-0005-0000-0000-0000F60B0000}"/>
    <cellStyle name="20% - Ênfase5 3 2 2 2 4" xfId="25295" xr:uid="{00000000-0005-0000-0000-0000F70B0000}"/>
    <cellStyle name="20% - Ênfase5 3 2 2 3" xfId="3416" xr:uid="{00000000-0005-0000-0000-0000F80B0000}"/>
    <cellStyle name="20% - Ênfase5 3 2 2 3 2" xfId="26473" xr:uid="{00000000-0005-0000-0000-0000F90B0000}"/>
    <cellStyle name="20% - Ênfase5 3 2 2 3 3" xfId="25297" xr:uid="{00000000-0005-0000-0000-0000FA0B0000}"/>
    <cellStyle name="20% - Ênfase5 3 2 2 4" xfId="3417" xr:uid="{00000000-0005-0000-0000-0000FB0B0000}"/>
    <cellStyle name="20% - Ênfase5 3 2 2 4 2" xfId="26470" xr:uid="{00000000-0005-0000-0000-0000FC0B0000}"/>
    <cellStyle name="20% - Ênfase5 3 2 2 5" xfId="3418" xr:uid="{00000000-0005-0000-0000-0000FD0B0000}"/>
    <cellStyle name="20% - Ênfase5 3 2 2 6" xfId="3419" xr:uid="{00000000-0005-0000-0000-0000FE0B0000}"/>
    <cellStyle name="20% - Ênfase5 3 2 2 7" xfId="3420" xr:uid="{00000000-0005-0000-0000-0000FF0B0000}"/>
    <cellStyle name="20% - Ênfase5 3 2 2 8" xfId="3421" xr:uid="{00000000-0005-0000-0000-0000000C0000}"/>
    <cellStyle name="20% - Ênfase5 3 2 2 9" xfId="3422" xr:uid="{00000000-0005-0000-0000-0000010C0000}"/>
    <cellStyle name="20% - Ênfase5 3 2 3" xfId="3423" xr:uid="{00000000-0005-0000-0000-0000020C0000}"/>
    <cellStyle name="20% - Ênfase5 3 2 3 2" xfId="25299" xr:uid="{00000000-0005-0000-0000-0000030C0000}"/>
    <cellStyle name="20% - Ênfase5 3 2 3 2 2" xfId="26475" xr:uid="{00000000-0005-0000-0000-0000040C0000}"/>
    <cellStyle name="20% - Ênfase5 3 2 3 3" xfId="26474" xr:uid="{00000000-0005-0000-0000-0000050C0000}"/>
    <cellStyle name="20% - Ênfase5 3 2 3 4" xfId="25298" xr:uid="{00000000-0005-0000-0000-0000060C0000}"/>
    <cellStyle name="20% - Ênfase5 3 2 4" xfId="3424" xr:uid="{00000000-0005-0000-0000-0000070C0000}"/>
    <cellStyle name="20% - Ênfase5 3 2 4 2" xfId="26476" xr:uid="{00000000-0005-0000-0000-0000080C0000}"/>
    <cellStyle name="20% - Ênfase5 3 2 4 3" xfId="25300" xr:uid="{00000000-0005-0000-0000-0000090C0000}"/>
    <cellStyle name="20% - Ênfase5 3 2 5" xfId="3425" xr:uid="{00000000-0005-0000-0000-00000A0C0000}"/>
    <cellStyle name="20% - Ênfase5 3 2 5 2" xfId="3426" xr:uid="{00000000-0005-0000-0000-00000B0C0000}"/>
    <cellStyle name="20% - Ênfase5 3 2 6" xfId="3427" xr:uid="{00000000-0005-0000-0000-00000C0C0000}"/>
    <cellStyle name="20% - Ênfase5 3 2 6 2" xfId="3428" xr:uid="{00000000-0005-0000-0000-00000D0C0000}"/>
    <cellStyle name="20% - Ênfase5 3 2 7" xfId="3429" xr:uid="{00000000-0005-0000-0000-00000E0C0000}"/>
    <cellStyle name="20% - Ênfase5 3 2 7 2" xfId="3430" xr:uid="{00000000-0005-0000-0000-00000F0C0000}"/>
    <cellStyle name="20% - Ênfase5 3 2 8" xfId="3431" xr:uid="{00000000-0005-0000-0000-0000100C0000}"/>
    <cellStyle name="20% - Ênfase5 3 2 8 2" xfId="3432" xr:uid="{00000000-0005-0000-0000-0000110C0000}"/>
    <cellStyle name="20% - Ênfase5 3 2 9" xfId="3433" xr:uid="{00000000-0005-0000-0000-0000120C0000}"/>
    <cellStyle name="20% - Ênfase5 3 2 9 2" xfId="3434" xr:uid="{00000000-0005-0000-0000-0000130C0000}"/>
    <cellStyle name="20% - Ênfase5 3 3" xfId="3435" xr:uid="{00000000-0005-0000-0000-0000140C0000}"/>
    <cellStyle name="20% - Ênfase5 3 3 2" xfId="25302" xr:uid="{00000000-0005-0000-0000-0000150C0000}"/>
    <cellStyle name="20% - Ênfase5 3 3 2 2" xfId="25303" xr:uid="{00000000-0005-0000-0000-0000160C0000}"/>
    <cellStyle name="20% - Ênfase5 3 3 2 2 2" xfId="26479" xr:uid="{00000000-0005-0000-0000-0000170C0000}"/>
    <cellStyle name="20% - Ênfase5 3 3 2 3" xfId="26478" xr:uid="{00000000-0005-0000-0000-0000180C0000}"/>
    <cellStyle name="20% - Ênfase5 3 3 3" xfId="25304" xr:uid="{00000000-0005-0000-0000-0000190C0000}"/>
    <cellStyle name="20% - Ênfase5 3 3 3 2" xfId="26480" xr:uid="{00000000-0005-0000-0000-00001A0C0000}"/>
    <cellStyle name="20% - Ênfase5 3 3 4" xfId="26477" xr:uid="{00000000-0005-0000-0000-00001B0C0000}"/>
    <cellStyle name="20% - Ênfase5 3 3 5" xfId="25301" xr:uid="{00000000-0005-0000-0000-00001C0C0000}"/>
    <cellStyle name="20% - Ênfase5 3 4" xfId="3436" xr:uid="{00000000-0005-0000-0000-00001D0C0000}"/>
    <cellStyle name="20% - Ênfase5 3 4 2" xfId="26481" xr:uid="{00000000-0005-0000-0000-00001E0C0000}"/>
    <cellStyle name="20% - Ênfase5 3 5" xfId="3437" xr:uid="{00000000-0005-0000-0000-00001F0C0000}"/>
    <cellStyle name="20% - Ênfase5 3 5 10" xfId="3438" xr:uid="{00000000-0005-0000-0000-0000200C0000}"/>
    <cellStyle name="20% - Ênfase5 3 5 10 2" xfId="3439" xr:uid="{00000000-0005-0000-0000-0000210C0000}"/>
    <cellStyle name="20% - Ênfase5 3 5 2" xfId="3440" xr:uid="{00000000-0005-0000-0000-0000220C0000}"/>
    <cellStyle name="20% - Ênfase5 3 5 2 2" xfId="3441" xr:uid="{00000000-0005-0000-0000-0000230C0000}"/>
    <cellStyle name="20% - Ênfase5 3 5 3" xfId="3442" xr:uid="{00000000-0005-0000-0000-0000240C0000}"/>
    <cellStyle name="20% - Ênfase5 3 5 3 2" xfId="3443" xr:uid="{00000000-0005-0000-0000-0000250C0000}"/>
    <cellStyle name="20% - Ênfase5 3 5 4" xfId="3444" xr:uid="{00000000-0005-0000-0000-0000260C0000}"/>
    <cellStyle name="20% - Ênfase5 3 5 4 2" xfId="3445" xr:uid="{00000000-0005-0000-0000-0000270C0000}"/>
    <cellStyle name="20% - Ênfase5 3 5 5" xfId="3446" xr:uid="{00000000-0005-0000-0000-0000280C0000}"/>
    <cellStyle name="20% - Ênfase5 3 5 5 2" xfId="3447" xr:uid="{00000000-0005-0000-0000-0000290C0000}"/>
    <cellStyle name="20% - Ênfase5 3 5 6" xfId="3448" xr:uid="{00000000-0005-0000-0000-00002A0C0000}"/>
    <cellStyle name="20% - Ênfase5 3 5 6 2" xfId="3449" xr:uid="{00000000-0005-0000-0000-00002B0C0000}"/>
    <cellStyle name="20% - Ênfase5 3 5 7" xfId="3450" xr:uid="{00000000-0005-0000-0000-00002C0C0000}"/>
    <cellStyle name="20% - Ênfase5 3 5 7 2" xfId="3451" xr:uid="{00000000-0005-0000-0000-00002D0C0000}"/>
    <cellStyle name="20% - Ênfase5 3 5 8" xfId="3452" xr:uid="{00000000-0005-0000-0000-00002E0C0000}"/>
    <cellStyle name="20% - Ênfase5 3 5 8 2" xfId="3453" xr:uid="{00000000-0005-0000-0000-00002F0C0000}"/>
    <cellStyle name="20% - Ênfase5 3 5 9" xfId="3454" xr:uid="{00000000-0005-0000-0000-0000300C0000}"/>
    <cellStyle name="20% - Ênfase5 3 5 9 2" xfId="3455" xr:uid="{00000000-0005-0000-0000-0000310C0000}"/>
    <cellStyle name="20% - Ênfase5 3 6" xfId="3456" xr:uid="{00000000-0005-0000-0000-0000320C0000}"/>
    <cellStyle name="20% - Ênfase5 3 6 2" xfId="3457" xr:uid="{00000000-0005-0000-0000-0000330C0000}"/>
    <cellStyle name="20% - Ênfase5 3 6 2 2" xfId="3458" xr:uid="{00000000-0005-0000-0000-0000340C0000}"/>
    <cellStyle name="20% - Ênfase5 3 6 3" xfId="3459" xr:uid="{00000000-0005-0000-0000-0000350C0000}"/>
    <cellStyle name="20% - Ênfase5 3 6 3 2" xfId="3460" xr:uid="{00000000-0005-0000-0000-0000360C0000}"/>
    <cellStyle name="20% - Ênfase5 3 6 4" xfId="3461" xr:uid="{00000000-0005-0000-0000-0000370C0000}"/>
    <cellStyle name="20% - Ênfase5 3 6 4 2" xfId="3462" xr:uid="{00000000-0005-0000-0000-0000380C0000}"/>
    <cellStyle name="20% - Ênfase5 3 6 5" xfId="3463" xr:uid="{00000000-0005-0000-0000-0000390C0000}"/>
    <cellStyle name="20% - Ênfase5 3 6 5 2" xfId="3464" xr:uid="{00000000-0005-0000-0000-00003A0C0000}"/>
    <cellStyle name="20% - Ênfase5 3 6 6" xfId="3465" xr:uid="{00000000-0005-0000-0000-00003B0C0000}"/>
    <cellStyle name="20% - Ênfase5 3 7" xfId="25305" xr:uid="{00000000-0005-0000-0000-00003C0C0000}"/>
    <cellStyle name="20% - Ênfase5 3 7 2" xfId="26482" xr:uid="{00000000-0005-0000-0000-00003D0C0000}"/>
    <cellStyle name="20% - Ênfase5 3 8" xfId="26469" xr:uid="{00000000-0005-0000-0000-00003E0C0000}"/>
    <cellStyle name="20% - Ênfase5 30" xfId="3466" xr:uid="{00000000-0005-0000-0000-00003F0C0000}"/>
    <cellStyle name="20% - Ênfase5 30 2" xfId="3467" xr:uid="{00000000-0005-0000-0000-0000400C0000}"/>
    <cellStyle name="20% - Ênfase5 31" xfId="3468" xr:uid="{00000000-0005-0000-0000-0000410C0000}"/>
    <cellStyle name="20% - Ênfase5 31 2" xfId="3469" xr:uid="{00000000-0005-0000-0000-0000420C0000}"/>
    <cellStyle name="20% - Ênfase5 32" xfId="3470" xr:uid="{00000000-0005-0000-0000-0000430C0000}"/>
    <cellStyle name="20% - Ênfase5 32 2" xfId="3471" xr:uid="{00000000-0005-0000-0000-0000440C0000}"/>
    <cellStyle name="20% - Ênfase5 33" xfId="3472" xr:uid="{00000000-0005-0000-0000-0000450C0000}"/>
    <cellStyle name="20% - Ênfase5 33 2" xfId="3473" xr:uid="{00000000-0005-0000-0000-0000460C0000}"/>
    <cellStyle name="20% - Ênfase5 34" xfId="3474" xr:uid="{00000000-0005-0000-0000-0000470C0000}"/>
    <cellStyle name="20% - Ênfase5 34 2" xfId="3475" xr:uid="{00000000-0005-0000-0000-0000480C0000}"/>
    <cellStyle name="20% - Ênfase5 35" xfId="3476" xr:uid="{00000000-0005-0000-0000-0000490C0000}"/>
    <cellStyle name="20% - Ênfase5 35 2" xfId="3477" xr:uid="{00000000-0005-0000-0000-00004A0C0000}"/>
    <cellStyle name="20% - Ênfase5 36" xfId="3478" xr:uid="{00000000-0005-0000-0000-00004B0C0000}"/>
    <cellStyle name="20% - Ênfase5 36 2" xfId="3479" xr:uid="{00000000-0005-0000-0000-00004C0C0000}"/>
    <cellStyle name="20% - Ênfase5 37" xfId="3480" xr:uid="{00000000-0005-0000-0000-00004D0C0000}"/>
    <cellStyle name="20% - Ênfase5 37 2" xfId="3481" xr:uid="{00000000-0005-0000-0000-00004E0C0000}"/>
    <cellStyle name="20% - Ênfase5 38" xfId="3482" xr:uid="{00000000-0005-0000-0000-00004F0C0000}"/>
    <cellStyle name="20% - Ênfase5 38 2" xfId="3483" xr:uid="{00000000-0005-0000-0000-0000500C0000}"/>
    <cellStyle name="20% - Ênfase5 39" xfId="3484" xr:uid="{00000000-0005-0000-0000-0000510C0000}"/>
    <cellStyle name="20% - Ênfase5 39 2" xfId="3485" xr:uid="{00000000-0005-0000-0000-0000520C0000}"/>
    <cellStyle name="20% - Ênfase5 4" xfId="3486" xr:uid="{00000000-0005-0000-0000-0000530C0000}"/>
    <cellStyle name="20% - Ênfase5 4 2" xfId="3487" xr:uid="{00000000-0005-0000-0000-0000540C0000}"/>
    <cellStyle name="20% - Ênfase5 4 2 10" xfId="3488" xr:uid="{00000000-0005-0000-0000-0000550C0000}"/>
    <cellStyle name="20% - Ênfase5 4 2 10 2" xfId="3489" xr:uid="{00000000-0005-0000-0000-0000560C0000}"/>
    <cellStyle name="20% - Ênfase5 4 2 11" xfId="3490" xr:uid="{00000000-0005-0000-0000-0000570C0000}"/>
    <cellStyle name="20% - Ênfase5 4 2 11 2" xfId="3491" xr:uid="{00000000-0005-0000-0000-0000580C0000}"/>
    <cellStyle name="20% - Ênfase5 4 2 12" xfId="3492" xr:uid="{00000000-0005-0000-0000-0000590C0000}"/>
    <cellStyle name="20% - Ênfase5 4 2 12 2" xfId="3493" xr:uid="{00000000-0005-0000-0000-00005A0C0000}"/>
    <cellStyle name="20% - Ênfase5 4 2 2" xfId="3494" xr:uid="{00000000-0005-0000-0000-00005B0C0000}"/>
    <cellStyle name="20% - Ênfase5 4 2 2 10" xfId="3495" xr:uid="{00000000-0005-0000-0000-00005C0C0000}"/>
    <cellStyle name="20% - Ênfase5 4 2 2 11" xfId="3496" xr:uid="{00000000-0005-0000-0000-00005D0C0000}"/>
    <cellStyle name="20% - Ênfase5 4 2 2 2" xfId="3497" xr:uid="{00000000-0005-0000-0000-00005E0C0000}"/>
    <cellStyle name="20% - Ênfase5 4 2 2 2 2" xfId="25307" xr:uid="{00000000-0005-0000-0000-00005F0C0000}"/>
    <cellStyle name="20% - Ênfase5 4 2 2 2 2 2" xfId="26486" xr:uid="{00000000-0005-0000-0000-0000600C0000}"/>
    <cellStyle name="20% - Ênfase5 4 2 2 2 3" xfId="26485" xr:uid="{00000000-0005-0000-0000-0000610C0000}"/>
    <cellStyle name="20% - Ênfase5 4 2 2 2 4" xfId="25306" xr:uid="{00000000-0005-0000-0000-0000620C0000}"/>
    <cellStyle name="20% - Ênfase5 4 2 2 3" xfId="3498" xr:uid="{00000000-0005-0000-0000-0000630C0000}"/>
    <cellStyle name="20% - Ênfase5 4 2 2 3 2" xfId="26487" xr:uid="{00000000-0005-0000-0000-0000640C0000}"/>
    <cellStyle name="20% - Ênfase5 4 2 2 3 3" xfId="25308" xr:uid="{00000000-0005-0000-0000-0000650C0000}"/>
    <cellStyle name="20% - Ênfase5 4 2 2 4" xfId="3499" xr:uid="{00000000-0005-0000-0000-0000660C0000}"/>
    <cellStyle name="20% - Ênfase5 4 2 2 4 2" xfId="26484" xr:uid="{00000000-0005-0000-0000-0000670C0000}"/>
    <cellStyle name="20% - Ênfase5 4 2 2 5" xfId="3500" xr:uid="{00000000-0005-0000-0000-0000680C0000}"/>
    <cellStyle name="20% - Ênfase5 4 2 2 6" xfId="3501" xr:uid="{00000000-0005-0000-0000-0000690C0000}"/>
    <cellStyle name="20% - Ênfase5 4 2 2 7" xfId="3502" xr:uid="{00000000-0005-0000-0000-00006A0C0000}"/>
    <cellStyle name="20% - Ênfase5 4 2 2 8" xfId="3503" xr:uid="{00000000-0005-0000-0000-00006B0C0000}"/>
    <cellStyle name="20% - Ênfase5 4 2 2 9" xfId="3504" xr:uid="{00000000-0005-0000-0000-00006C0C0000}"/>
    <cellStyle name="20% - Ênfase5 4 2 3" xfId="3505" xr:uid="{00000000-0005-0000-0000-00006D0C0000}"/>
    <cellStyle name="20% - Ênfase5 4 2 3 2" xfId="25310" xr:uid="{00000000-0005-0000-0000-00006E0C0000}"/>
    <cellStyle name="20% - Ênfase5 4 2 3 2 2" xfId="26489" xr:uid="{00000000-0005-0000-0000-00006F0C0000}"/>
    <cellStyle name="20% - Ênfase5 4 2 3 3" xfId="26488" xr:uid="{00000000-0005-0000-0000-0000700C0000}"/>
    <cellStyle name="20% - Ênfase5 4 2 3 4" xfId="25309" xr:uid="{00000000-0005-0000-0000-0000710C0000}"/>
    <cellStyle name="20% - Ênfase5 4 2 4" xfId="3506" xr:uid="{00000000-0005-0000-0000-0000720C0000}"/>
    <cellStyle name="20% - Ênfase5 4 2 4 2" xfId="26490" xr:uid="{00000000-0005-0000-0000-0000730C0000}"/>
    <cellStyle name="20% - Ênfase5 4 2 4 3" xfId="25311" xr:uid="{00000000-0005-0000-0000-0000740C0000}"/>
    <cellStyle name="20% - Ênfase5 4 2 5" xfId="3507" xr:uid="{00000000-0005-0000-0000-0000750C0000}"/>
    <cellStyle name="20% - Ênfase5 4 2 5 2" xfId="3508" xr:uid="{00000000-0005-0000-0000-0000760C0000}"/>
    <cellStyle name="20% - Ênfase5 4 2 6" xfId="3509" xr:uid="{00000000-0005-0000-0000-0000770C0000}"/>
    <cellStyle name="20% - Ênfase5 4 2 6 2" xfId="3510" xr:uid="{00000000-0005-0000-0000-0000780C0000}"/>
    <cellStyle name="20% - Ênfase5 4 2 7" xfId="3511" xr:uid="{00000000-0005-0000-0000-0000790C0000}"/>
    <cellStyle name="20% - Ênfase5 4 2 7 2" xfId="3512" xr:uid="{00000000-0005-0000-0000-00007A0C0000}"/>
    <cellStyle name="20% - Ênfase5 4 2 8" xfId="3513" xr:uid="{00000000-0005-0000-0000-00007B0C0000}"/>
    <cellStyle name="20% - Ênfase5 4 2 8 2" xfId="3514" xr:uid="{00000000-0005-0000-0000-00007C0C0000}"/>
    <cellStyle name="20% - Ênfase5 4 2 9" xfId="3515" xr:uid="{00000000-0005-0000-0000-00007D0C0000}"/>
    <cellStyle name="20% - Ênfase5 4 2 9 2" xfId="3516" xr:uid="{00000000-0005-0000-0000-00007E0C0000}"/>
    <cellStyle name="20% - Ênfase5 4 3" xfId="3517" xr:uid="{00000000-0005-0000-0000-00007F0C0000}"/>
    <cellStyle name="20% - Ênfase5 4 3 2" xfId="25313" xr:uid="{00000000-0005-0000-0000-0000800C0000}"/>
    <cellStyle name="20% - Ênfase5 4 3 2 2" xfId="25314" xr:uid="{00000000-0005-0000-0000-0000810C0000}"/>
    <cellStyle name="20% - Ênfase5 4 3 2 2 2" xfId="26493" xr:uid="{00000000-0005-0000-0000-0000820C0000}"/>
    <cellStyle name="20% - Ênfase5 4 3 2 3" xfId="26492" xr:uid="{00000000-0005-0000-0000-0000830C0000}"/>
    <cellStyle name="20% - Ênfase5 4 3 3" xfId="25315" xr:uid="{00000000-0005-0000-0000-0000840C0000}"/>
    <cellStyle name="20% - Ênfase5 4 3 3 2" xfId="26494" xr:uid="{00000000-0005-0000-0000-0000850C0000}"/>
    <cellStyle name="20% - Ênfase5 4 3 4" xfId="26491" xr:uid="{00000000-0005-0000-0000-0000860C0000}"/>
    <cellStyle name="20% - Ênfase5 4 3 5" xfId="25312" xr:uid="{00000000-0005-0000-0000-0000870C0000}"/>
    <cellStyle name="20% - Ênfase5 4 4" xfId="3518" xr:uid="{00000000-0005-0000-0000-0000880C0000}"/>
    <cellStyle name="20% - Ênfase5 4 4 2" xfId="26495" xr:uid="{00000000-0005-0000-0000-0000890C0000}"/>
    <cellStyle name="20% - Ênfase5 4 5" xfId="3519" xr:uid="{00000000-0005-0000-0000-00008A0C0000}"/>
    <cellStyle name="20% - Ênfase5 4 5 10" xfId="3520" xr:uid="{00000000-0005-0000-0000-00008B0C0000}"/>
    <cellStyle name="20% - Ênfase5 4 5 10 2" xfId="3521" xr:uid="{00000000-0005-0000-0000-00008C0C0000}"/>
    <cellStyle name="20% - Ênfase5 4 5 2" xfId="3522" xr:uid="{00000000-0005-0000-0000-00008D0C0000}"/>
    <cellStyle name="20% - Ênfase5 4 5 2 2" xfId="3523" xr:uid="{00000000-0005-0000-0000-00008E0C0000}"/>
    <cellStyle name="20% - Ênfase5 4 5 3" xfId="3524" xr:uid="{00000000-0005-0000-0000-00008F0C0000}"/>
    <cellStyle name="20% - Ênfase5 4 5 3 2" xfId="3525" xr:uid="{00000000-0005-0000-0000-0000900C0000}"/>
    <cellStyle name="20% - Ênfase5 4 5 4" xfId="3526" xr:uid="{00000000-0005-0000-0000-0000910C0000}"/>
    <cellStyle name="20% - Ênfase5 4 5 4 2" xfId="3527" xr:uid="{00000000-0005-0000-0000-0000920C0000}"/>
    <cellStyle name="20% - Ênfase5 4 5 5" xfId="3528" xr:uid="{00000000-0005-0000-0000-0000930C0000}"/>
    <cellStyle name="20% - Ênfase5 4 5 5 2" xfId="3529" xr:uid="{00000000-0005-0000-0000-0000940C0000}"/>
    <cellStyle name="20% - Ênfase5 4 5 6" xfId="3530" xr:uid="{00000000-0005-0000-0000-0000950C0000}"/>
    <cellStyle name="20% - Ênfase5 4 5 6 2" xfId="3531" xr:uid="{00000000-0005-0000-0000-0000960C0000}"/>
    <cellStyle name="20% - Ênfase5 4 5 7" xfId="3532" xr:uid="{00000000-0005-0000-0000-0000970C0000}"/>
    <cellStyle name="20% - Ênfase5 4 5 7 2" xfId="3533" xr:uid="{00000000-0005-0000-0000-0000980C0000}"/>
    <cellStyle name="20% - Ênfase5 4 5 8" xfId="3534" xr:uid="{00000000-0005-0000-0000-0000990C0000}"/>
    <cellStyle name="20% - Ênfase5 4 5 8 2" xfId="3535" xr:uid="{00000000-0005-0000-0000-00009A0C0000}"/>
    <cellStyle name="20% - Ênfase5 4 5 9" xfId="3536" xr:uid="{00000000-0005-0000-0000-00009B0C0000}"/>
    <cellStyle name="20% - Ênfase5 4 5 9 2" xfId="3537" xr:uid="{00000000-0005-0000-0000-00009C0C0000}"/>
    <cellStyle name="20% - Ênfase5 4 6" xfId="3538" xr:uid="{00000000-0005-0000-0000-00009D0C0000}"/>
    <cellStyle name="20% - Ênfase5 4 6 2" xfId="3539" xr:uid="{00000000-0005-0000-0000-00009E0C0000}"/>
    <cellStyle name="20% - Ênfase5 4 6 2 2" xfId="3540" xr:uid="{00000000-0005-0000-0000-00009F0C0000}"/>
    <cellStyle name="20% - Ênfase5 4 6 3" xfId="3541" xr:uid="{00000000-0005-0000-0000-0000A00C0000}"/>
    <cellStyle name="20% - Ênfase5 4 6 3 2" xfId="3542" xr:uid="{00000000-0005-0000-0000-0000A10C0000}"/>
    <cellStyle name="20% - Ênfase5 4 6 4" xfId="3543" xr:uid="{00000000-0005-0000-0000-0000A20C0000}"/>
    <cellStyle name="20% - Ênfase5 4 6 4 2" xfId="3544" xr:uid="{00000000-0005-0000-0000-0000A30C0000}"/>
    <cellStyle name="20% - Ênfase5 4 6 5" xfId="3545" xr:uid="{00000000-0005-0000-0000-0000A40C0000}"/>
    <cellStyle name="20% - Ênfase5 4 6 5 2" xfId="3546" xr:uid="{00000000-0005-0000-0000-0000A50C0000}"/>
    <cellStyle name="20% - Ênfase5 4 6 6" xfId="3547" xr:uid="{00000000-0005-0000-0000-0000A60C0000}"/>
    <cellStyle name="20% - Ênfase5 4 7" xfId="26483" xr:uid="{00000000-0005-0000-0000-0000A70C0000}"/>
    <cellStyle name="20% - Ênfase5 40" xfId="3548" xr:uid="{00000000-0005-0000-0000-0000A80C0000}"/>
    <cellStyle name="20% - Ênfase5 40 2" xfId="3549" xr:uid="{00000000-0005-0000-0000-0000A90C0000}"/>
    <cellStyle name="20% - Ênfase5 41" xfId="3550" xr:uid="{00000000-0005-0000-0000-0000AA0C0000}"/>
    <cellStyle name="20% - Ênfase5 41 2" xfId="3551" xr:uid="{00000000-0005-0000-0000-0000AB0C0000}"/>
    <cellStyle name="20% - Ênfase5 42" xfId="3552" xr:uid="{00000000-0005-0000-0000-0000AC0C0000}"/>
    <cellStyle name="20% - Ênfase5 42 2" xfId="3553" xr:uid="{00000000-0005-0000-0000-0000AD0C0000}"/>
    <cellStyle name="20% - Ênfase5 43" xfId="3554" xr:uid="{00000000-0005-0000-0000-0000AE0C0000}"/>
    <cellStyle name="20% - Ênfase5 43 2" xfId="3555" xr:uid="{00000000-0005-0000-0000-0000AF0C0000}"/>
    <cellStyle name="20% - Ênfase5 44" xfId="3556" xr:uid="{00000000-0005-0000-0000-0000B00C0000}"/>
    <cellStyle name="20% - Ênfase5 44 2" xfId="3557" xr:uid="{00000000-0005-0000-0000-0000B10C0000}"/>
    <cellStyle name="20% - Ênfase5 45" xfId="3558" xr:uid="{00000000-0005-0000-0000-0000B20C0000}"/>
    <cellStyle name="20% - Ênfase5 45 2" xfId="3559" xr:uid="{00000000-0005-0000-0000-0000B30C0000}"/>
    <cellStyle name="20% - Ênfase5 46" xfId="3560" xr:uid="{00000000-0005-0000-0000-0000B40C0000}"/>
    <cellStyle name="20% - Ênfase5 46 2" xfId="3561" xr:uid="{00000000-0005-0000-0000-0000B50C0000}"/>
    <cellStyle name="20% - Ênfase5 47" xfId="3562" xr:uid="{00000000-0005-0000-0000-0000B60C0000}"/>
    <cellStyle name="20% - Ênfase5 47 2" xfId="3563" xr:uid="{00000000-0005-0000-0000-0000B70C0000}"/>
    <cellStyle name="20% - Ênfase5 48" xfId="3564" xr:uid="{00000000-0005-0000-0000-0000B80C0000}"/>
    <cellStyle name="20% - Ênfase5 48 2" xfId="3565" xr:uid="{00000000-0005-0000-0000-0000B90C0000}"/>
    <cellStyle name="20% - Ênfase5 49" xfId="3566" xr:uid="{00000000-0005-0000-0000-0000BA0C0000}"/>
    <cellStyle name="20% - Ênfase5 49 2" xfId="3567" xr:uid="{00000000-0005-0000-0000-0000BB0C0000}"/>
    <cellStyle name="20% - Ênfase5 5" xfId="3568" xr:uid="{00000000-0005-0000-0000-0000BC0C0000}"/>
    <cellStyle name="20% - Ênfase5 5 2" xfId="3569" xr:uid="{00000000-0005-0000-0000-0000BD0C0000}"/>
    <cellStyle name="20% - Ênfase5 5 2 2" xfId="3570" xr:uid="{00000000-0005-0000-0000-0000BE0C0000}"/>
    <cellStyle name="20% - Ênfase5 5 2 2 2" xfId="25317" xr:uid="{00000000-0005-0000-0000-0000BF0C0000}"/>
    <cellStyle name="20% - Ênfase5 5 2 2 2 2" xfId="25318" xr:uid="{00000000-0005-0000-0000-0000C00C0000}"/>
    <cellStyle name="20% - Ênfase5 5 2 2 2 2 2" xfId="26498" xr:uid="{00000000-0005-0000-0000-0000C10C0000}"/>
    <cellStyle name="20% - Ênfase5 5 2 2 2 3" xfId="26497" xr:uid="{00000000-0005-0000-0000-0000C20C0000}"/>
    <cellStyle name="20% - Ênfase5 5 2 2 3" xfId="25319" xr:uid="{00000000-0005-0000-0000-0000C30C0000}"/>
    <cellStyle name="20% - Ênfase5 5 2 2 3 2" xfId="26499" xr:uid="{00000000-0005-0000-0000-0000C40C0000}"/>
    <cellStyle name="20% - Ênfase5 5 2 2 4" xfId="26496" xr:uid="{00000000-0005-0000-0000-0000C50C0000}"/>
    <cellStyle name="20% - Ênfase5 5 2 2 5" xfId="25316" xr:uid="{00000000-0005-0000-0000-0000C60C0000}"/>
    <cellStyle name="20% - Ênfase5 5 2 3" xfId="3571" xr:uid="{00000000-0005-0000-0000-0000C70C0000}"/>
    <cellStyle name="20% - Ênfase5 5 2 3 2" xfId="25321" xr:uid="{00000000-0005-0000-0000-0000C80C0000}"/>
    <cellStyle name="20% - Ênfase5 5 2 3 2 2" xfId="26501" xr:uid="{00000000-0005-0000-0000-0000C90C0000}"/>
    <cellStyle name="20% - Ênfase5 5 2 3 3" xfId="26500" xr:uid="{00000000-0005-0000-0000-0000CA0C0000}"/>
    <cellStyle name="20% - Ênfase5 5 2 3 4" xfId="25320" xr:uid="{00000000-0005-0000-0000-0000CB0C0000}"/>
    <cellStyle name="20% - Ênfase5 5 2 4" xfId="3572" xr:uid="{00000000-0005-0000-0000-0000CC0C0000}"/>
    <cellStyle name="20% - Ênfase5 5 2 4 2" xfId="26502" xr:uid="{00000000-0005-0000-0000-0000CD0C0000}"/>
    <cellStyle name="20% - Ênfase5 5 2 4 3" xfId="25322" xr:uid="{00000000-0005-0000-0000-0000CE0C0000}"/>
    <cellStyle name="20% - Ênfase5 5 2 5" xfId="3573" xr:uid="{00000000-0005-0000-0000-0000CF0C0000}"/>
    <cellStyle name="20% - Ênfase5 5 2 5 2" xfId="3574" xr:uid="{00000000-0005-0000-0000-0000D00C0000}"/>
    <cellStyle name="20% - Ênfase5 5 2 6" xfId="3575" xr:uid="{00000000-0005-0000-0000-0000D10C0000}"/>
    <cellStyle name="20% - Ênfase5 5 2 6 2" xfId="3576" xr:uid="{00000000-0005-0000-0000-0000D20C0000}"/>
    <cellStyle name="20% - Ênfase5 5 2 7" xfId="3577" xr:uid="{00000000-0005-0000-0000-0000D30C0000}"/>
    <cellStyle name="20% - Ênfase5 5 2 7 2" xfId="3578" xr:uid="{00000000-0005-0000-0000-0000D40C0000}"/>
    <cellStyle name="20% - Ênfase5 5 2 8" xfId="3579" xr:uid="{00000000-0005-0000-0000-0000D50C0000}"/>
    <cellStyle name="20% - Ênfase5 5 2 8 2" xfId="3580" xr:uid="{00000000-0005-0000-0000-0000D60C0000}"/>
    <cellStyle name="20% - Ênfase5 5 2 9" xfId="3581" xr:uid="{00000000-0005-0000-0000-0000D70C0000}"/>
    <cellStyle name="20% - Ênfase5 5 3" xfId="3582" xr:uid="{00000000-0005-0000-0000-0000D80C0000}"/>
    <cellStyle name="20% - Ênfase5 5 3 2" xfId="25324" xr:uid="{00000000-0005-0000-0000-0000D90C0000}"/>
    <cellStyle name="20% - Ênfase5 5 3 2 2" xfId="25325" xr:uid="{00000000-0005-0000-0000-0000DA0C0000}"/>
    <cellStyle name="20% - Ênfase5 5 3 2 2 2" xfId="26505" xr:uid="{00000000-0005-0000-0000-0000DB0C0000}"/>
    <cellStyle name="20% - Ênfase5 5 3 2 3" xfId="26504" xr:uid="{00000000-0005-0000-0000-0000DC0C0000}"/>
    <cellStyle name="20% - Ênfase5 5 3 3" xfId="25326" xr:uid="{00000000-0005-0000-0000-0000DD0C0000}"/>
    <cellStyle name="20% - Ênfase5 5 3 3 2" xfId="26506" xr:uid="{00000000-0005-0000-0000-0000DE0C0000}"/>
    <cellStyle name="20% - Ênfase5 5 3 4" xfId="26503" xr:uid="{00000000-0005-0000-0000-0000DF0C0000}"/>
    <cellStyle name="20% - Ênfase5 5 3 5" xfId="25323" xr:uid="{00000000-0005-0000-0000-0000E00C0000}"/>
    <cellStyle name="20% - Ênfase5 5 4" xfId="3583" xr:uid="{00000000-0005-0000-0000-0000E10C0000}"/>
    <cellStyle name="20% - Ênfase5 5 4 2" xfId="25328" xr:uid="{00000000-0005-0000-0000-0000E20C0000}"/>
    <cellStyle name="20% - Ênfase5 5 4 2 2" xfId="26508" xr:uid="{00000000-0005-0000-0000-0000E30C0000}"/>
    <cellStyle name="20% - Ênfase5 5 4 3" xfId="26507" xr:uid="{00000000-0005-0000-0000-0000E40C0000}"/>
    <cellStyle name="20% - Ênfase5 5 4 4" xfId="25327" xr:uid="{00000000-0005-0000-0000-0000E50C0000}"/>
    <cellStyle name="20% - Ênfase5 5 5" xfId="3584" xr:uid="{00000000-0005-0000-0000-0000E60C0000}"/>
    <cellStyle name="20% - Ênfase5 5 5 2" xfId="3585" xr:uid="{00000000-0005-0000-0000-0000E70C0000}"/>
    <cellStyle name="20% - Ênfase5 5 5 2 2" xfId="3586" xr:uid="{00000000-0005-0000-0000-0000E80C0000}"/>
    <cellStyle name="20% - Ênfase5 5 5 3" xfId="3587" xr:uid="{00000000-0005-0000-0000-0000E90C0000}"/>
    <cellStyle name="20% - Ênfase5 5 5 3 2" xfId="3588" xr:uid="{00000000-0005-0000-0000-0000EA0C0000}"/>
    <cellStyle name="20% - Ênfase5 5 5 4" xfId="3589" xr:uid="{00000000-0005-0000-0000-0000EB0C0000}"/>
    <cellStyle name="20% - Ênfase5 5 5 4 2" xfId="3590" xr:uid="{00000000-0005-0000-0000-0000EC0C0000}"/>
    <cellStyle name="20% - Ênfase5 5 5 5" xfId="3591" xr:uid="{00000000-0005-0000-0000-0000ED0C0000}"/>
    <cellStyle name="20% - Ênfase5 5 5 5 2" xfId="3592" xr:uid="{00000000-0005-0000-0000-0000EE0C0000}"/>
    <cellStyle name="20% - Ênfase5 5 5 6" xfId="3593" xr:uid="{00000000-0005-0000-0000-0000EF0C0000}"/>
    <cellStyle name="20% - Ênfase5 5 6" xfId="3594" xr:uid="{00000000-0005-0000-0000-0000F00C0000}"/>
    <cellStyle name="20% - Ênfase5 5 6 2" xfId="3595" xr:uid="{00000000-0005-0000-0000-0000F10C0000}"/>
    <cellStyle name="20% - Ênfase5 5 6 2 2" xfId="3596" xr:uid="{00000000-0005-0000-0000-0000F20C0000}"/>
    <cellStyle name="20% - Ênfase5 5 6 3" xfId="3597" xr:uid="{00000000-0005-0000-0000-0000F30C0000}"/>
    <cellStyle name="20% - Ênfase5 5 6 3 2" xfId="3598" xr:uid="{00000000-0005-0000-0000-0000F40C0000}"/>
    <cellStyle name="20% - Ênfase5 5 6 4" xfId="3599" xr:uid="{00000000-0005-0000-0000-0000F50C0000}"/>
    <cellStyle name="20% - Ênfase5 5 6 4 2" xfId="3600" xr:uid="{00000000-0005-0000-0000-0000F60C0000}"/>
    <cellStyle name="20% - Ênfase5 5 6 5" xfId="3601" xr:uid="{00000000-0005-0000-0000-0000F70C0000}"/>
    <cellStyle name="20% - Ênfase5 5 6 5 2" xfId="3602" xr:uid="{00000000-0005-0000-0000-0000F80C0000}"/>
    <cellStyle name="20% - Ênfase5 5 6 6" xfId="3603" xr:uid="{00000000-0005-0000-0000-0000F90C0000}"/>
    <cellStyle name="20% - Ênfase5 50" xfId="3604" xr:uid="{00000000-0005-0000-0000-0000FA0C0000}"/>
    <cellStyle name="20% - Ênfase5 50 2" xfId="3605" xr:uid="{00000000-0005-0000-0000-0000FB0C0000}"/>
    <cellStyle name="20% - Ênfase5 51" xfId="3606" xr:uid="{00000000-0005-0000-0000-0000FC0C0000}"/>
    <cellStyle name="20% - Ênfase5 51 2" xfId="3607" xr:uid="{00000000-0005-0000-0000-0000FD0C0000}"/>
    <cellStyle name="20% - Ênfase5 52" xfId="3608" xr:uid="{00000000-0005-0000-0000-0000FE0C0000}"/>
    <cellStyle name="20% - Ênfase5 52 2" xfId="3609" xr:uid="{00000000-0005-0000-0000-0000FF0C0000}"/>
    <cellStyle name="20% - Ênfase5 53" xfId="3610" xr:uid="{00000000-0005-0000-0000-0000000D0000}"/>
    <cellStyle name="20% - Ênfase5 53 2" xfId="3611" xr:uid="{00000000-0005-0000-0000-0000010D0000}"/>
    <cellStyle name="20% - Ênfase5 54" xfId="3612" xr:uid="{00000000-0005-0000-0000-0000020D0000}"/>
    <cellStyle name="20% - Ênfase5 54 2" xfId="3613" xr:uid="{00000000-0005-0000-0000-0000030D0000}"/>
    <cellStyle name="20% - Ênfase5 55" xfId="3614" xr:uid="{00000000-0005-0000-0000-0000040D0000}"/>
    <cellStyle name="20% - Ênfase5 55 2" xfId="3615" xr:uid="{00000000-0005-0000-0000-0000050D0000}"/>
    <cellStyle name="20% - Ênfase5 6" xfId="3616" xr:uid="{00000000-0005-0000-0000-0000060D0000}"/>
    <cellStyle name="20% - Ênfase5 6 10" xfId="3617" xr:uid="{00000000-0005-0000-0000-0000070D0000}"/>
    <cellStyle name="20% - Ênfase5 6 10 2" xfId="3618" xr:uid="{00000000-0005-0000-0000-0000080D0000}"/>
    <cellStyle name="20% - Ênfase5 6 11" xfId="3619" xr:uid="{00000000-0005-0000-0000-0000090D0000}"/>
    <cellStyle name="20% - Ênfase5 6 11 2" xfId="3620" xr:uid="{00000000-0005-0000-0000-00000A0D0000}"/>
    <cellStyle name="20% - Ênfase5 6 12" xfId="3621" xr:uid="{00000000-0005-0000-0000-00000B0D0000}"/>
    <cellStyle name="20% - Ênfase5 6 12 2" xfId="3622" xr:uid="{00000000-0005-0000-0000-00000C0D0000}"/>
    <cellStyle name="20% - Ênfase5 6 13" xfId="3623" xr:uid="{00000000-0005-0000-0000-00000D0D0000}"/>
    <cellStyle name="20% - Ênfase5 6 13 2" xfId="3624" xr:uid="{00000000-0005-0000-0000-00000E0D0000}"/>
    <cellStyle name="20% - Ênfase5 6 14" xfId="3625" xr:uid="{00000000-0005-0000-0000-00000F0D0000}"/>
    <cellStyle name="20% - Ênfase5 6 14 2" xfId="3626" xr:uid="{00000000-0005-0000-0000-0000100D0000}"/>
    <cellStyle name="20% - Ênfase5 6 15" xfId="3627" xr:uid="{00000000-0005-0000-0000-0000110D0000}"/>
    <cellStyle name="20% - Ênfase5 6 15 2" xfId="3628" xr:uid="{00000000-0005-0000-0000-0000120D0000}"/>
    <cellStyle name="20% - Ênfase5 6 16" xfId="3629" xr:uid="{00000000-0005-0000-0000-0000130D0000}"/>
    <cellStyle name="20% - Ênfase5 6 16 2" xfId="3630" xr:uid="{00000000-0005-0000-0000-0000140D0000}"/>
    <cellStyle name="20% - Ênfase5 6 17" xfId="3631" xr:uid="{00000000-0005-0000-0000-0000150D0000}"/>
    <cellStyle name="20% - Ênfase5 6 17 2" xfId="3632" xr:uid="{00000000-0005-0000-0000-0000160D0000}"/>
    <cellStyle name="20% - Ênfase5 6 18" xfId="3633" xr:uid="{00000000-0005-0000-0000-0000170D0000}"/>
    <cellStyle name="20% - Ênfase5 6 18 2" xfId="3634" xr:uid="{00000000-0005-0000-0000-0000180D0000}"/>
    <cellStyle name="20% - Ênfase5 6 19" xfId="3635" xr:uid="{00000000-0005-0000-0000-0000190D0000}"/>
    <cellStyle name="20% - Ênfase5 6 19 2" xfId="3636" xr:uid="{00000000-0005-0000-0000-00001A0D0000}"/>
    <cellStyle name="20% - Ênfase5 6 2" xfId="3637" xr:uid="{00000000-0005-0000-0000-00001B0D0000}"/>
    <cellStyle name="20% - Ênfase5 6 2 2" xfId="3638" xr:uid="{00000000-0005-0000-0000-00001C0D0000}"/>
    <cellStyle name="20% - Ênfase5 6 2 2 2" xfId="3639" xr:uid="{00000000-0005-0000-0000-00001D0D0000}"/>
    <cellStyle name="20% - Ênfase5 6 2 2 2 2" xfId="26510" xr:uid="{00000000-0005-0000-0000-00001E0D0000}"/>
    <cellStyle name="20% - Ênfase5 6 2 2 3" xfId="26509" xr:uid="{00000000-0005-0000-0000-00001F0D0000}"/>
    <cellStyle name="20% - Ênfase5 6 2 3" xfId="3640" xr:uid="{00000000-0005-0000-0000-0000200D0000}"/>
    <cellStyle name="20% - Ênfase5 6 2 3 2" xfId="3641" xr:uid="{00000000-0005-0000-0000-0000210D0000}"/>
    <cellStyle name="20% - Ênfase5 6 2 4" xfId="3642" xr:uid="{00000000-0005-0000-0000-0000220D0000}"/>
    <cellStyle name="20% - Ênfase5 6 2 4 2" xfId="3643" xr:uid="{00000000-0005-0000-0000-0000230D0000}"/>
    <cellStyle name="20% - Ênfase5 6 2 5" xfId="3644" xr:uid="{00000000-0005-0000-0000-0000240D0000}"/>
    <cellStyle name="20% - Ênfase5 6 2 5 2" xfId="3645" xr:uid="{00000000-0005-0000-0000-0000250D0000}"/>
    <cellStyle name="20% - Ênfase5 6 2 6" xfId="3646" xr:uid="{00000000-0005-0000-0000-0000260D0000}"/>
    <cellStyle name="20% - Ênfase5 6 20" xfId="3647" xr:uid="{00000000-0005-0000-0000-0000270D0000}"/>
    <cellStyle name="20% - Ênfase5 6 20 2" xfId="3648" xr:uid="{00000000-0005-0000-0000-0000280D0000}"/>
    <cellStyle name="20% - Ênfase5 6 21" xfId="3649" xr:uid="{00000000-0005-0000-0000-0000290D0000}"/>
    <cellStyle name="20% - Ênfase5 6 21 2" xfId="3650" xr:uid="{00000000-0005-0000-0000-00002A0D0000}"/>
    <cellStyle name="20% - Ênfase5 6 22" xfId="3651" xr:uid="{00000000-0005-0000-0000-00002B0D0000}"/>
    <cellStyle name="20% - Ênfase5 6 22 2" xfId="3652" xr:uid="{00000000-0005-0000-0000-00002C0D0000}"/>
    <cellStyle name="20% - Ênfase5 6 23" xfId="3653" xr:uid="{00000000-0005-0000-0000-00002D0D0000}"/>
    <cellStyle name="20% - Ênfase5 6 23 2" xfId="3654" xr:uid="{00000000-0005-0000-0000-00002E0D0000}"/>
    <cellStyle name="20% - Ênfase5 6 24" xfId="3655" xr:uid="{00000000-0005-0000-0000-00002F0D0000}"/>
    <cellStyle name="20% - Ênfase5 6 24 2" xfId="3656" xr:uid="{00000000-0005-0000-0000-0000300D0000}"/>
    <cellStyle name="20% - Ênfase5 6 25" xfId="3657" xr:uid="{00000000-0005-0000-0000-0000310D0000}"/>
    <cellStyle name="20% - Ênfase5 6 25 2" xfId="3658" xr:uid="{00000000-0005-0000-0000-0000320D0000}"/>
    <cellStyle name="20% - Ênfase5 6 26" xfId="3659" xr:uid="{00000000-0005-0000-0000-0000330D0000}"/>
    <cellStyle name="20% - Ênfase5 6 26 2" xfId="3660" xr:uid="{00000000-0005-0000-0000-0000340D0000}"/>
    <cellStyle name="20% - Ênfase5 6 27" xfId="3661" xr:uid="{00000000-0005-0000-0000-0000350D0000}"/>
    <cellStyle name="20% - Ênfase5 6 27 2" xfId="3662" xr:uid="{00000000-0005-0000-0000-0000360D0000}"/>
    <cellStyle name="20% - Ênfase5 6 28" xfId="3663" xr:uid="{00000000-0005-0000-0000-0000370D0000}"/>
    <cellStyle name="20% - Ênfase5 6 28 2" xfId="3664" xr:uid="{00000000-0005-0000-0000-0000380D0000}"/>
    <cellStyle name="20% - Ênfase5 6 29" xfId="3665" xr:uid="{00000000-0005-0000-0000-0000390D0000}"/>
    <cellStyle name="20% - Ênfase5 6 29 2" xfId="3666" xr:uid="{00000000-0005-0000-0000-00003A0D0000}"/>
    <cellStyle name="20% - Ênfase5 6 3" xfId="3667" xr:uid="{00000000-0005-0000-0000-00003B0D0000}"/>
    <cellStyle name="20% - Ênfase5 6 3 2" xfId="3668" xr:uid="{00000000-0005-0000-0000-00003C0D0000}"/>
    <cellStyle name="20% - Ênfase5 6 3 2 2" xfId="3669" xr:uid="{00000000-0005-0000-0000-00003D0D0000}"/>
    <cellStyle name="20% - Ênfase5 6 3 3" xfId="3670" xr:uid="{00000000-0005-0000-0000-00003E0D0000}"/>
    <cellStyle name="20% - Ênfase5 6 3 3 2" xfId="3671" xr:uid="{00000000-0005-0000-0000-00003F0D0000}"/>
    <cellStyle name="20% - Ênfase5 6 3 4" xfId="3672" xr:uid="{00000000-0005-0000-0000-0000400D0000}"/>
    <cellStyle name="20% - Ênfase5 6 3 4 2" xfId="3673" xr:uid="{00000000-0005-0000-0000-0000410D0000}"/>
    <cellStyle name="20% - Ênfase5 6 3 5" xfId="3674" xr:uid="{00000000-0005-0000-0000-0000420D0000}"/>
    <cellStyle name="20% - Ênfase5 6 3 5 2" xfId="3675" xr:uid="{00000000-0005-0000-0000-0000430D0000}"/>
    <cellStyle name="20% - Ênfase5 6 3 6" xfId="3676" xr:uid="{00000000-0005-0000-0000-0000440D0000}"/>
    <cellStyle name="20% - Ênfase5 6 30" xfId="3677" xr:uid="{00000000-0005-0000-0000-0000450D0000}"/>
    <cellStyle name="20% - Ênfase5 6 30 2" xfId="3678" xr:uid="{00000000-0005-0000-0000-0000460D0000}"/>
    <cellStyle name="20% - Ênfase5 6 31" xfId="3679" xr:uid="{00000000-0005-0000-0000-0000470D0000}"/>
    <cellStyle name="20% - Ênfase5 6 31 2" xfId="3680" xr:uid="{00000000-0005-0000-0000-0000480D0000}"/>
    <cellStyle name="20% - Ênfase5 6 32" xfId="3681" xr:uid="{00000000-0005-0000-0000-0000490D0000}"/>
    <cellStyle name="20% - Ênfase5 6 32 2" xfId="3682" xr:uid="{00000000-0005-0000-0000-00004A0D0000}"/>
    <cellStyle name="20% - Ênfase5 6 33" xfId="3683" xr:uid="{00000000-0005-0000-0000-00004B0D0000}"/>
    <cellStyle name="20% - Ênfase5 6 33 2" xfId="3684" xr:uid="{00000000-0005-0000-0000-00004C0D0000}"/>
    <cellStyle name="20% - Ênfase5 6 34" xfId="3685" xr:uid="{00000000-0005-0000-0000-00004D0D0000}"/>
    <cellStyle name="20% - Ênfase5 6 34 2" xfId="3686" xr:uid="{00000000-0005-0000-0000-00004E0D0000}"/>
    <cellStyle name="20% - Ênfase5 6 35" xfId="3687" xr:uid="{00000000-0005-0000-0000-00004F0D0000}"/>
    <cellStyle name="20% - Ênfase5 6 35 2" xfId="3688" xr:uid="{00000000-0005-0000-0000-0000500D0000}"/>
    <cellStyle name="20% - Ênfase5 6 36" xfId="3689" xr:uid="{00000000-0005-0000-0000-0000510D0000}"/>
    <cellStyle name="20% - Ênfase5 6 36 2" xfId="3690" xr:uid="{00000000-0005-0000-0000-0000520D0000}"/>
    <cellStyle name="20% - Ênfase5 6 37" xfId="3691" xr:uid="{00000000-0005-0000-0000-0000530D0000}"/>
    <cellStyle name="20% - Ênfase5 6 4" xfId="3692" xr:uid="{00000000-0005-0000-0000-0000540D0000}"/>
    <cellStyle name="20% - Ênfase5 6 4 2" xfId="3693" xr:uid="{00000000-0005-0000-0000-0000550D0000}"/>
    <cellStyle name="20% - Ênfase5 6 4 2 2" xfId="3694" xr:uid="{00000000-0005-0000-0000-0000560D0000}"/>
    <cellStyle name="20% - Ênfase5 6 4 3" xfId="3695" xr:uid="{00000000-0005-0000-0000-0000570D0000}"/>
    <cellStyle name="20% - Ênfase5 6 4 3 2" xfId="3696" xr:uid="{00000000-0005-0000-0000-0000580D0000}"/>
    <cellStyle name="20% - Ênfase5 6 4 4" xfId="3697" xr:uid="{00000000-0005-0000-0000-0000590D0000}"/>
    <cellStyle name="20% - Ênfase5 6 4 4 2" xfId="3698" xr:uid="{00000000-0005-0000-0000-00005A0D0000}"/>
    <cellStyle name="20% - Ênfase5 6 4 5" xfId="3699" xr:uid="{00000000-0005-0000-0000-00005B0D0000}"/>
    <cellStyle name="20% - Ênfase5 6 4 5 2" xfId="3700" xr:uid="{00000000-0005-0000-0000-00005C0D0000}"/>
    <cellStyle name="20% - Ênfase5 6 4 6" xfId="3701" xr:uid="{00000000-0005-0000-0000-00005D0D0000}"/>
    <cellStyle name="20% - Ênfase5 6 5" xfId="3702" xr:uid="{00000000-0005-0000-0000-00005E0D0000}"/>
    <cellStyle name="20% - Ênfase5 6 5 2" xfId="3703" xr:uid="{00000000-0005-0000-0000-00005F0D0000}"/>
    <cellStyle name="20% - Ênfase5 6 6" xfId="3704" xr:uid="{00000000-0005-0000-0000-0000600D0000}"/>
    <cellStyle name="20% - Ênfase5 6 6 2" xfId="3705" xr:uid="{00000000-0005-0000-0000-0000610D0000}"/>
    <cellStyle name="20% - Ênfase5 6 7" xfId="3706" xr:uid="{00000000-0005-0000-0000-0000620D0000}"/>
    <cellStyle name="20% - Ênfase5 6 7 2" xfId="3707" xr:uid="{00000000-0005-0000-0000-0000630D0000}"/>
    <cellStyle name="20% - Ênfase5 6 8" xfId="3708" xr:uid="{00000000-0005-0000-0000-0000640D0000}"/>
    <cellStyle name="20% - Ênfase5 6 8 2" xfId="3709" xr:uid="{00000000-0005-0000-0000-0000650D0000}"/>
    <cellStyle name="20% - Ênfase5 6 9" xfId="3710" xr:uid="{00000000-0005-0000-0000-0000660D0000}"/>
    <cellStyle name="20% - Ênfase5 6 9 2" xfId="3711" xr:uid="{00000000-0005-0000-0000-0000670D0000}"/>
    <cellStyle name="20% - Ênfase5 7" xfId="3712" xr:uid="{00000000-0005-0000-0000-0000680D0000}"/>
    <cellStyle name="20% - Ênfase5 7 10" xfId="3713" xr:uid="{00000000-0005-0000-0000-0000690D0000}"/>
    <cellStyle name="20% - Ênfase5 7 10 2" xfId="3714" xr:uid="{00000000-0005-0000-0000-00006A0D0000}"/>
    <cellStyle name="20% - Ênfase5 7 11" xfId="3715" xr:uid="{00000000-0005-0000-0000-00006B0D0000}"/>
    <cellStyle name="20% - Ênfase5 7 11 2" xfId="3716" xr:uid="{00000000-0005-0000-0000-00006C0D0000}"/>
    <cellStyle name="20% - Ênfase5 7 12" xfId="3717" xr:uid="{00000000-0005-0000-0000-00006D0D0000}"/>
    <cellStyle name="20% - Ênfase5 7 12 2" xfId="3718" xr:uid="{00000000-0005-0000-0000-00006E0D0000}"/>
    <cellStyle name="20% - Ênfase5 7 13" xfId="3719" xr:uid="{00000000-0005-0000-0000-00006F0D0000}"/>
    <cellStyle name="20% - Ênfase5 7 13 2" xfId="3720" xr:uid="{00000000-0005-0000-0000-0000700D0000}"/>
    <cellStyle name="20% - Ênfase5 7 14" xfId="3721" xr:uid="{00000000-0005-0000-0000-0000710D0000}"/>
    <cellStyle name="20% - Ênfase5 7 14 2" xfId="3722" xr:uid="{00000000-0005-0000-0000-0000720D0000}"/>
    <cellStyle name="20% - Ênfase5 7 15" xfId="3723" xr:uid="{00000000-0005-0000-0000-0000730D0000}"/>
    <cellStyle name="20% - Ênfase5 7 15 2" xfId="3724" xr:uid="{00000000-0005-0000-0000-0000740D0000}"/>
    <cellStyle name="20% - Ênfase5 7 16" xfId="3725" xr:uid="{00000000-0005-0000-0000-0000750D0000}"/>
    <cellStyle name="20% - Ênfase5 7 16 2" xfId="3726" xr:uid="{00000000-0005-0000-0000-0000760D0000}"/>
    <cellStyle name="20% - Ênfase5 7 17" xfId="3727" xr:uid="{00000000-0005-0000-0000-0000770D0000}"/>
    <cellStyle name="20% - Ênfase5 7 17 2" xfId="3728" xr:uid="{00000000-0005-0000-0000-0000780D0000}"/>
    <cellStyle name="20% - Ênfase5 7 18" xfId="3729" xr:uid="{00000000-0005-0000-0000-0000790D0000}"/>
    <cellStyle name="20% - Ênfase5 7 18 2" xfId="3730" xr:uid="{00000000-0005-0000-0000-00007A0D0000}"/>
    <cellStyle name="20% - Ênfase5 7 19" xfId="3731" xr:uid="{00000000-0005-0000-0000-00007B0D0000}"/>
    <cellStyle name="20% - Ênfase5 7 19 2" xfId="3732" xr:uid="{00000000-0005-0000-0000-00007C0D0000}"/>
    <cellStyle name="20% - Ênfase5 7 2" xfId="3733" xr:uid="{00000000-0005-0000-0000-00007D0D0000}"/>
    <cellStyle name="20% - Ênfase5 7 2 2" xfId="3734" xr:uid="{00000000-0005-0000-0000-00007E0D0000}"/>
    <cellStyle name="20% - Ênfase5 7 2 2 2" xfId="3735" xr:uid="{00000000-0005-0000-0000-00007F0D0000}"/>
    <cellStyle name="20% - Ênfase5 7 2 2 2 2" xfId="26512" xr:uid="{00000000-0005-0000-0000-0000800D0000}"/>
    <cellStyle name="20% - Ênfase5 7 2 2 3" xfId="26511" xr:uid="{00000000-0005-0000-0000-0000810D0000}"/>
    <cellStyle name="20% - Ênfase5 7 2 3" xfId="3736" xr:uid="{00000000-0005-0000-0000-0000820D0000}"/>
    <cellStyle name="20% - Ênfase5 7 2 3 2" xfId="3737" xr:uid="{00000000-0005-0000-0000-0000830D0000}"/>
    <cellStyle name="20% - Ênfase5 7 2 4" xfId="3738" xr:uid="{00000000-0005-0000-0000-0000840D0000}"/>
    <cellStyle name="20% - Ênfase5 7 2 4 2" xfId="3739" xr:uid="{00000000-0005-0000-0000-0000850D0000}"/>
    <cellStyle name="20% - Ênfase5 7 2 5" xfId="3740" xr:uid="{00000000-0005-0000-0000-0000860D0000}"/>
    <cellStyle name="20% - Ênfase5 7 2 5 2" xfId="3741" xr:uid="{00000000-0005-0000-0000-0000870D0000}"/>
    <cellStyle name="20% - Ênfase5 7 2 6" xfId="3742" xr:uid="{00000000-0005-0000-0000-0000880D0000}"/>
    <cellStyle name="20% - Ênfase5 7 20" xfId="3743" xr:uid="{00000000-0005-0000-0000-0000890D0000}"/>
    <cellStyle name="20% - Ênfase5 7 20 2" xfId="3744" xr:uid="{00000000-0005-0000-0000-00008A0D0000}"/>
    <cellStyle name="20% - Ênfase5 7 21" xfId="3745" xr:uid="{00000000-0005-0000-0000-00008B0D0000}"/>
    <cellStyle name="20% - Ênfase5 7 21 2" xfId="3746" xr:uid="{00000000-0005-0000-0000-00008C0D0000}"/>
    <cellStyle name="20% - Ênfase5 7 22" xfId="3747" xr:uid="{00000000-0005-0000-0000-00008D0D0000}"/>
    <cellStyle name="20% - Ênfase5 7 22 2" xfId="3748" xr:uid="{00000000-0005-0000-0000-00008E0D0000}"/>
    <cellStyle name="20% - Ênfase5 7 23" xfId="3749" xr:uid="{00000000-0005-0000-0000-00008F0D0000}"/>
    <cellStyle name="20% - Ênfase5 7 23 2" xfId="3750" xr:uid="{00000000-0005-0000-0000-0000900D0000}"/>
    <cellStyle name="20% - Ênfase5 7 24" xfId="3751" xr:uid="{00000000-0005-0000-0000-0000910D0000}"/>
    <cellStyle name="20% - Ênfase5 7 24 2" xfId="3752" xr:uid="{00000000-0005-0000-0000-0000920D0000}"/>
    <cellStyle name="20% - Ênfase5 7 25" xfId="3753" xr:uid="{00000000-0005-0000-0000-0000930D0000}"/>
    <cellStyle name="20% - Ênfase5 7 25 2" xfId="3754" xr:uid="{00000000-0005-0000-0000-0000940D0000}"/>
    <cellStyle name="20% - Ênfase5 7 26" xfId="3755" xr:uid="{00000000-0005-0000-0000-0000950D0000}"/>
    <cellStyle name="20% - Ênfase5 7 26 2" xfId="3756" xr:uid="{00000000-0005-0000-0000-0000960D0000}"/>
    <cellStyle name="20% - Ênfase5 7 27" xfId="3757" xr:uid="{00000000-0005-0000-0000-0000970D0000}"/>
    <cellStyle name="20% - Ênfase5 7 27 2" xfId="3758" xr:uid="{00000000-0005-0000-0000-0000980D0000}"/>
    <cellStyle name="20% - Ênfase5 7 28" xfId="3759" xr:uid="{00000000-0005-0000-0000-0000990D0000}"/>
    <cellStyle name="20% - Ênfase5 7 28 2" xfId="3760" xr:uid="{00000000-0005-0000-0000-00009A0D0000}"/>
    <cellStyle name="20% - Ênfase5 7 29" xfId="3761" xr:uid="{00000000-0005-0000-0000-00009B0D0000}"/>
    <cellStyle name="20% - Ênfase5 7 29 2" xfId="3762" xr:uid="{00000000-0005-0000-0000-00009C0D0000}"/>
    <cellStyle name="20% - Ênfase5 7 3" xfId="3763" xr:uid="{00000000-0005-0000-0000-00009D0D0000}"/>
    <cellStyle name="20% - Ênfase5 7 3 2" xfId="3764" xr:uid="{00000000-0005-0000-0000-00009E0D0000}"/>
    <cellStyle name="20% - Ênfase5 7 3 2 2" xfId="3765" xr:uid="{00000000-0005-0000-0000-00009F0D0000}"/>
    <cellStyle name="20% - Ênfase5 7 3 3" xfId="3766" xr:uid="{00000000-0005-0000-0000-0000A00D0000}"/>
    <cellStyle name="20% - Ênfase5 7 3 3 2" xfId="3767" xr:uid="{00000000-0005-0000-0000-0000A10D0000}"/>
    <cellStyle name="20% - Ênfase5 7 3 4" xfId="3768" xr:uid="{00000000-0005-0000-0000-0000A20D0000}"/>
    <cellStyle name="20% - Ênfase5 7 3 4 2" xfId="3769" xr:uid="{00000000-0005-0000-0000-0000A30D0000}"/>
    <cellStyle name="20% - Ênfase5 7 3 5" xfId="3770" xr:uid="{00000000-0005-0000-0000-0000A40D0000}"/>
    <cellStyle name="20% - Ênfase5 7 3 5 2" xfId="3771" xr:uid="{00000000-0005-0000-0000-0000A50D0000}"/>
    <cellStyle name="20% - Ênfase5 7 3 6" xfId="3772" xr:uid="{00000000-0005-0000-0000-0000A60D0000}"/>
    <cellStyle name="20% - Ênfase5 7 30" xfId="3773" xr:uid="{00000000-0005-0000-0000-0000A70D0000}"/>
    <cellStyle name="20% - Ênfase5 7 30 2" xfId="3774" xr:uid="{00000000-0005-0000-0000-0000A80D0000}"/>
    <cellStyle name="20% - Ênfase5 7 31" xfId="3775" xr:uid="{00000000-0005-0000-0000-0000A90D0000}"/>
    <cellStyle name="20% - Ênfase5 7 31 2" xfId="3776" xr:uid="{00000000-0005-0000-0000-0000AA0D0000}"/>
    <cellStyle name="20% - Ênfase5 7 32" xfId="3777" xr:uid="{00000000-0005-0000-0000-0000AB0D0000}"/>
    <cellStyle name="20% - Ênfase5 7 32 2" xfId="3778" xr:uid="{00000000-0005-0000-0000-0000AC0D0000}"/>
    <cellStyle name="20% - Ênfase5 7 33" xfId="3779" xr:uid="{00000000-0005-0000-0000-0000AD0D0000}"/>
    <cellStyle name="20% - Ênfase5 7 33 2" xfId="3780" xr:uid="{00000000-0005-0000-0000-0000AE0D0000}"/>
    <cellStyle name="20% - Ênfase5 7 34" xfId="3781" xr:uid="{00000000-0005-0000-0000-0000AF0D0000}"/>
    <cellStyle name="20% - Ênfase5 7 34 2" xfId="3782" xr:uid="{00000000-0005-0000-0000-0000B00D0000}"/>
    <cellStyle name="20% - Ênfase5 7 35" xfId="3783" xr:uid="{00000000-0005-0000-0000-0000B10D0000}"/>
    <cellStyle name="20% - Ênfase5 7 35 2" xfId="3784" xr:uid="{00000000-0005-0000-0000-0000B20D0000}"/>
    <cellStyle name="20% - Ênfase5 7 36" xfId="3785" xr:uid="{00000000-0005-0000-0000-0000B30D0000}"/>
    <cellStyle name="20% - Ênfase5 7 36 2" xfId="3786" xr:uid="{00000000-0005-0000-0000-0000B40D0000}"/>
    <cellStyle name="20% - Ênfase5 7 37" xfId="3787" xr:uid="{00000000-0005-0000-0000-0000B50D0000}"/>
    <cellStyle name="20% - Ênfase5 7 4" xfId="3788" xr:uid="{00000000-0005-0000-0000-0000B60D0000}"/>
    <cellStyle name="20% - Ênfase5 7 4 2" xfId="3789" xr:uid="{00000000-0005-0000-0000-0000B70D0000}"/>
    <cellStyle name="20% - Ênfase5 7 4 2 2" xfId="3790" xr:uid="{00000000-0005-0000-0000-0000B80D0000}"/>
    <cellStyle name="20% - Ênfase5 7 4 3" xfId="3791" xr:uid="{00000000-0005-0000-0000-0000B90D0000}"/>
    <cellStyle name="20% - Ênfase5 7 4 3 2" xfId="3792" xr:uid="{00000000-0005-0000-0000-0000BA0D0000}"/>
    <cellStyle name="20% - Ênfase5 7 4 4" xfId="3793" xr:uid="{00000000-0005-0000-0000-0000BB0D0000}"/>
    <cellStyle name="20% - Ênfase5 7 4 4 2" xfId="3794" xr:uid="{00000000-0005-0000-0000-0000BC0D0000}"/>
    <cellStyle name="20% - Ênfase5 7 4 5" xfId="3795" xr:uid="{00000000-0005-0000-0000-0000BD0D0000}"/>
    <cellStyle name="20% - Ênfase5 7 4 5 2" xfId="3796" xr:uid="{00000000-0005-0000-0000-0000BE0D0000}"/>
    <cellStyle name="20% - Ênfase5 7 4 6" xfId="3797" xr:uid="{00000000-0005-0000-0000-0000BF0D0000}"/>
    <cellStyle name="20% - Ênfase5 7 5" xfId="3798" xr:uid="{00000000-0005-0000-0000-0000C00D0000}"/>
    <cellStyle name="20% - Ênfase5 7 5 2" xfId="3799" xr:uid="{00000000-0005-0000-0000-0000C10D0000}"/>
    <cellStyle name="20% - Ênfase5 7 6" xfId="3800" xr:uid="{00000000-0005-0000-0000-0000C20D0000}"/>
    <cellStyle name="20% - Ênfase5 7 6 2" xfId="3801" xr:uid="{00000000-0005-0000-0000-0000C30D0000}"/>
    <cellStyle name="20% - Ênfase5 7 7" xfId="3802" xr:uid="{00000000-0005-0000-0000-0000C40D0000}"/>
    <cellStyle name="20% - Ênfase5 7 7 2" xfId="3803" xr:uid="{00000000-0005-0000-0000-0000C50D0000}"/>
    <cellStyle name="20% - Ênfase5 7 8" xfId="3804" xr:uid="{00000000-0005-0000-0000-0000C60D0000}"/>
    <cellStyle name="20% - Ênfase5 7 8 2" xfId="3805" xr:uid="{00000000-0005-0000-0000-0000C70D0000}"/>
    <cellStyle name="20% - Ênfase5 7 9" xfId="3806" xr:uid="{00000000-0005-0000-0000-0000C80D0000}"/>
    <cellStyle name="20% - Ênfase5 7 9 2" xfId="3807" xr:uid="{00000000-0005-0000-0000-0000C90D0000}"/>
    <cellStyle name="20% - Ênfase5 8" xfId="3808" xr:uid="{00000000-0005-0000-0000-0000CA0D0000}"/>
    <cellStyle name="20% - Ênfase5 8 10" xfId="3809" xr:uid="{00000000-0005-0000-0000-0000CB0D0000}"/>
    <cellStyle name="20% - Ênfase5 8 10 2" xfId="3810" xr:uid="{00000000-0005-0000-0000-0000CC0D0000}"/>
    <cellStyle name="20% - Ênfase5 8 2" xfId="3811" xr:uid="{00000000-0005-0000-0000-0000CD0D0000}"/>
    <cellStyle name="20% - Ênfase5 8 2 2" xfId="3812" xr:uid="{00000000-0005-0000-0000-0000CE0D0000}"/>
    <cellStyle name="20% - Ênfase5 8 2 2 2" xfId="25329" xr:uid="{00000000-0005-0000-0000-0000CF0D0000}"/>
    <cellStyle name="20% - Ênfase5 8 2 2 2 2" xfId="26515" xr:uid="{00000000-0005-0000-0000-0000D00D0000}"/>
    <cellStyle name="20% - Ênfase5 8 2 2 3" xfId="26514" xr:uid="{00000000-0005-0000-0000-0000D10D0000}"/>
    <cellStyle name="20% - Ênfase5 8 2 3" xfId="25330" xr:uid="{00000000-0005-0000-0000-0000D20D0000}"/>
    <cellStyle name="20% - Ênfase5 8 2 3 2" xfId="26516" xr:uid="{00000000-0005-0000-0000-0000D30D0000}"/>
    <cellStyle name="20% - Ênfase5 8 2 4" xfId="26513" xr:uid="{00000000-0005-0000-0000-0000D40D0000}"/>
    <cellStyle name="20% - Ênfase5 8 3" xfId="3813" xr:uid="{00000000-0005-0000-0000-0000D50D0000}"/>
    <cellStyle name="20% - Ênfase5 8 3 2" xfId="3814" xr:uid="{00000000-0005-0000-0000-0000D60D0000}"/>
    <cellStyle name="20% - Ênfase5 8 3 2 2" xfId="26518" xr:uid="{00000000-0005-0000-0000-0000D70D0000}"/>
    <cellStyle name="20% - Ênfase5 8 3 3" xfId="26517" xr:uid="{00000000-0005-0000-0000-0000D80D0000}"/>
    <cellStyle name="20% - Ênfase5 8 4" xfId="3815" xr:uid="{00000000-0005-0000-0000-0000D90D0000}"/>
    <cellStyle name="20% - Ênfase5 8 4 2" xfId="3816" xr:uid="{00000000-0005-0000-0000-0000DA0D0000}"/>
    <cellStyle name="20% - Ênfase5 8 5" xfId="3817" xr:uid="{00000000-0005-0000-0000-0000DB0D0000}"/>
    <cellStyle name="20% - Ênfase5 8 5 2" xfId="3818" xr:uid="{00000000-0005-0000-0000-0000DC0D0000}"/>
    <cellStyle name="20% - Ênfase5 8 6" xfId="3819" xr:uid="{00000000-0005-0000-0000-0000DD0D0000}"/>
    <cellStyle name="20% - Ênfase5 8 6 2" xfId="3820" xr:uid="{00000000-0005-0000-0000-0000DE0D0000}"/>
    <cellStyle name="20% - Ênfase5 8 7" xfId="3821" xr:uid="{00000000-0005-0000-0000-0000DF0D0000}"/>
    <cellStyle name="20% - Ênfase5 8 7 2" xfId="3822" xr:uid="{00000000-0005-0000-0000-0000E00D0000}"/>
    <cellStyle name="20% - Ênfase5 8 8" xfId="3823" xr:uid="{00000000-0005-0000-0000-0000E10D0000}"/>
    <cellStyle name="20% - Ênfase5 8 8 2" xfId="3824" xr:uid="{00000000-0005-0000-0000-0000E20D0000}"/>
    <cellStyle name="20% - Ênfase5 8 9" xfId="3825" xr:uid="{00000000-0005-0000-0000-0000E30D0000}"/>
    <cellStyle name="20% - Ênfase5 8 9 2" xfId="3826" xr:uid="{00000000-0005-0000-0000-0000E40D0000}"/>
    <cellStyle name="20% - Ênfase5 9" xfId="3827" xr:uid="{00000000-0005-0000-0000-0000E50D0000}"/>
    <cellStyle name="20% - Ênfase5 9 10" xfId="3828" xr:uid="{00000000-0005-0000-0000-0000E60D0000}"/>
    <cellStyle name="20% - Ênfase5 9 10 2" xfId="3829" xr:uid="{00000000-0005-0000-0000-0000E70D0000}"/>
    <cellStyle name="20% - Ênfase5 9 11" xfId="3830" xr:uid="{00000000-0005-0000-0000-0000E80D0000}"/>
    <cellStyle name="20% - Ênfase5 9 12" xfId="3831" xr:uid="{00000000-0005-0000-0000-0000E90D0000}"/>
    <cellStyle name="20% - Ênfase5 9 2" xfId="3832" xr:uid="{00000000-0005-0000-0000-0000EA0D0000}"/>
    <cellStyle name="20% - Ênfase5 9 2 2" xfId="3833" xr:uid="{00000000-0005-0000-0000-0000EB0D0000}"/>
    <cellStyle name="20% - Ênfase5 9 2 2 2" xfId="26520" xr:uid="{00000000-0005-0000-0000-0000EC0D0000}"/>
    <cellStyle name="20% - Ênfase5 9 2 3" xfId="26519" xr:uid="{00000000-0005-0000-0000-0000ED0D0000}"/>
    <cellStyle name="20% - Ênfase5 9 3" xfId="3834" xr:uid="{00000000-0005-0000-0000-0000EE0D0000}"/>
    <cellStyle name="20% - Ênfase5 9 3 2" xfId="3835" xr:uid="{00000000-0005-0000-0000-0000EF0D0000}"/>
    <cellStyle name="20% - Ênfase5 9 4" xfId="3836" xr:uid="{00000000-0005-0000-0000-0000F00D0000}"/>
    <cellStyle name="20% - Ênfase5 9 4 2" xfId="3837" xr:uid="{00000000-0005-0000-0000-0000F10D0000}"/>
    <cellStyle name="20% - Ênfase5 9 5" xfId="3838" xr:uid="{00000000-0005-0000-0000-0000F20D0000}"/>
    <cellStyle name="20% - Ênfase5 9 5 2" xfId="3839" xr:uid="{00000000-0005-0000-0000-0000F30D0000}"/>
    <cellStyle name="20% - Ênfase5 9 6" xfId="3840" xr:uid="{00000000-0005-0000-0000-0000F40D0000}"/>
    <cellStyle name="20% - Ênfase5 9 6 2" xfId="3841" xr:uid="{00000000-0005-0000-0000-0000F50D0000}"/>
    <cellStyle name="20% - Ênfase5 9 7" xfId="3842" xr:uid="{00000000-0005-0000-0000-0000F60D0000}"/>
    <cellStyle name="20% - Ênfase5 9 7 2" xfId="3843" xr:uid="{00000000-0005-0000-0000-0000F70D0000}"/>
    <cellStyle name="20% - Ênfase5 9 8" xfId="3844" xr:uid="{00000000-0005-0000-0000-0000F80D0000}"/>
    <cellStyle name="20% - Ênfase5 9 8 2" xfId="3845" xr:uid="{00000000-0005-0000-0000-0000F90D0000}"/>
    <cellStyle name="20% - Ênfase5 9 9" xfId="3846" xr:uid="{00000000-0005-0000-0000-0000FA0D0000}"/>
    <cellStyle name="20% - Ênfase5 9 9 2" xfId="3847" xr:uid="{00000000-0005-0000-0000-0000FB0D0000}"/>
    <cellStyle name="20% - Ênfase6" xfId="20" builtinId="50" customBuiltin="1"/>
    <cellStyle name="20% - Ênfase6 10" xfId="3848" xr:uid="{00000000-0005-0000-0000-0000FD0D0000}"/>
    <cellStyle name="20% - Ênfase6 10 2" xfId="3849" xr:uid="{00000000-0005-0000-0000-0000FE0D0000}"/>
    <cellStyle name="20% - Ênfase6 10 2 2" xfId="3850" xr:uid="{00000000-0005-0000-0000-0000FF0D0000}"/>
    <cellStyle name="20% - Ênfase6 10 2 2 2" xfId="26522" xr:uid="{00000000-0005-0000-0000-0000000E0000}"/>
    <cellStyle name="20% - Ênfase6 10 2 3" xfId="26521" xr:uid="{00000000-0005-0000-0000-0000010E0000}"/>
    <cellStyle name="20% - Ênfase6 10 3" xfId="3851" xr:uid="{00000000-0005-0000-0000-0000020E0000}"/>
    <cellStyle name="20% - Ênfase6 10 3 2" xfId="3852" xr:uid="{00000000-0005-0000-0000-0000030E0000}"/>
    <cellStyle name="20% - Ênfase6 10 4" xfId="3853" xr:uid="{00000000-0005-0000-0000-0000040E0000}"/>
    <cellStyle name="20% - Ênfase6 10 4 2" xfId="3854" xr:uid="{00000000-0005-0000-0000-0000050E0000}"/>
    <cellStyle name="20% - Ênfase6 10 5" xfId="3855" xr:uid="{00000000-0005-0000-0000-0000060E0000}"/>
    <cellStyle name="20% - Ênfase6 10 5 2" xfId="3856" xr:uid="{00000000-0005-0000-0000-0000070E0000}"/>
    <cellStyle name="20% - Ênfase6 10 6" xfId="3857" xr:uid="{00000000-0005-0000-0000-0000080E0000}"/>
    <cellStyle name="20% - Ênfase6 11" xfId="3858" xr:uid="{00000000-0005-0000-0000-0000090E0000}"/>
    <cellStyle name="20% - Ênfase6 11 2" xfId="3859" xr:uid="{00000000-0005-0000-0000-00000A0E0000}"/>
    <cellStyle name="20% - Ênfase6 11 2 2" xfId="3860" xr:uid="{00000000-0005-0000-0000-00000B0E0000}"/>
    <cellStyle name="20% - Ênfase6 11 2 3" xfId="26523" xr:uid="{00000000-0005-0000-0000-00000C0E0000}"/>
    <cellStyle name="20% - Ênfase6 11 3" xfId="3861" xr:uid="{00000000-0005-0000-0000-00000D0E0000}"/>
    <cellStyle name="20% - Ênfase6 11 3 2" xfId="3862" xr:uid="{00000000-0005-0000-0000-00000E0E0000}"/>
    <cellStyle name="20% - Ênfase6 11 4" xfId="3863" xr:uid="{00000000-0005-0000-0000-00000F0E0000}"/>
    <cellStyle name="20% - Ênfase6 11 4 2" xfId="3864" xr:uid="{00000000-0005-0000-0000-0000100E0000}"/>
    <cellStyle name="20% - Ênfase6 11 5" xfId="3865" xr:uid="{00000000-0005-0000-0000-0000110E0000}"/>
    <cellStyle name="20% - Ênfase6 11 5 2" xfId="3866" xr:uid="{00000000-0005-0000-0000-0000120E0000}"/>
    <cellStyle name="20% - Ênfase6 11 6" xfId="3867" xr:uid="{00000000-0005-0000-0000-0000130E0000}"/>
    <cellStyle name="20% - Ênfase6 11 7" xfId="25331" xr:uid="{00000000-0005-0000-0000-0000140E0000}"/>
    <cellStyle name="20% - Ênfase6 12" xfId="3868" xr:uid="{00000000-0005-0000-0000-0000150E0000}"/>
    <cellStyle name="20% - Ênfase6 12 2" xfId="3869" xr:uid="{00000000-0005-0000-0000-0000160E0000}"/>
    <cellStyle name="20% - Ênfase6 12 2 2" xfId="3870" xr:uid="{00000000-0005-0000-0000-0000170E0000}"/>
    <cellStyle name="20% - Ênfase6 12 2 2 2" xfId="26525" xr:uid="{00000000-0005-0000-0000-0000180E0000}"/>
    <cellStyle name="20% - Ênfase6 12 2 3" xfId="26524" xr:uid="{00000000-0005-0000-0000-0000190E0000}"/>
    <cellStyle name="20% - Ênfase6 12 3" xfId="3871" xr:uid="{00000000-0005-0000-0000-00001A0E0000}"/>
    <cellStyle name="20% - Ênfase6 12 3 2" xfId="3872" xr:uid="{00000000-0005-0000-0000-00001B0E0000}"/>
    <cellStyle name="20% - Ênfase6 12 4" xfId="3873" xr:uid="{00000000-0005-0000-0000-00001C0E0000}"/>
    <cellStyle name="20% - Ênfase6 12 4 2" xfId="3874" xr:uid="{00000000-0005-0000-0000-00001D0E0000}"/>
    <cellStyle name="20% - Ênfase6 12 5" xfId="3875" xr:uid="{00000000-0005-0000-0000-00001E0E0000}"/>
    <cellStyle name="20% - Ênfase6 12 5 2" xfId="3876" xr:uid="{00000000-0005-0000-0000-00001F0E0000}"/>
    <cellStyle name="20% - Ênfase6 12 6" xfId="3877" xr:uid="{00000000-0005-0000-0000-0000200E0000}"/>
    <cellStyle name="20% - Ênfase6 13" xfId="3878" xr:uid="{00000000-0005-0000-0000-0000210E0000}"/>
    <cellStyle name="20% - Ênfase6 13 2" xfId="3879" xr:uid="{00000000-0005-0000-0000-0000220E0000}"/>
    <cellStyle name="20% - Ênfase6 14" xfId="3880" xr:uid="{00000000-0005-0000-0000-0000230E0000}"/>
    <cellStyle name="20% - Ênfase6 14 2" xfId="3881" xr:uid="{00000000-0005-0000-0000-0000240E0000}"/>
    <cellStyle name="20% - Ênfase6 15" xfId="3882" xr:uid="{00000000-0005-0000-0000-0000250E0000}"/>
    <cellStyle name="20% - Ênfase6 15 2" xfId="3883" xr:uid="{00000000-0005-0000-0000-0000260E0000}"/>
    <cellStyle name="20% - Ênfase6 16" xfId="3884" xr:uid="{00000000-0005-0000-0000-0000270E0000}"/>
    <cellStyle name="20% - Ênfase6 16 2" xfId="3885" xr:uid="{00000000-0005-0000-0000-0000280E0000}"/>
    <cellStyle name="20% - Ênfase6 17" xfId="3886" xr:uid="{00000000-0005-0000-0000-0000290E0000}"/>
    <cellStyle name="20% - Ênfase6 17 2" xfId="3887" xr:uid="{00000000-0005-0000-0000-00002A0E0000}"/>
    <cellStyle name="20% - Ênfase6 18" xfId="3888" xr:uid="{00000000-0005-0000-0000-00002B0E0000}"/>
    <cellStyle name="20% - Ênfase6 18 2" xfId="3889" xr:uid="{00000000-0005-0000-0000-00002C0E0000}"/>
    <cellStyle name="20% - Ênfase6 19" xfId="3890" xr:uid="{00000000-0005-0000-0000-00002D0E0000}"/>
    <cellStyle name="20% - Ênfase6 19 2" xfId="3891" xr:uid="{00000000-0005-0000-0000-00002E0E0000}"/>
    <cellStyle name="20% - Ênfase6 2" xfId="3892" xr:uid="{00000000-0005-0000-0000-00002F0E0000}"/>
    <cellStyle name="20% - Ênfase6 2 2" xfId="3893" xr:uid="{00000000-0005-0000-0000-0000300E0000}"/>
    <cellStyle name="20% - Ênfase6 2 2 10" xfId="3894" xr:uid="{00000000-0005-0000-0000-0000310E0000}"/>
    <cellStyle name="20% - Ênfase6 2 2 10 2" xfId="3895" xr:uid="{00000000-0005-0000-0000-0000320E0000}"/>
    <cellStyle name="20% - Ênfase6 2 2 11" xfId="3896" xr:uid="{00000000-0005-0000-0000-0000330E0000}"/>
    <cellStyle name="20% - Ênfase6 2 2 11 2" xfId="3897" xr:uid="{00000000-0005-0000-0000-0000340E0000}"/>
    <cellStyle name="20% - Ênfase6 2 2 12" xfId="3898" xr:uid="{00000000-0005-0000-0000-0000350E0000}"/>
    <cellStyle name="20% - Ênfase6 2 2 12 2" xfId="3899" xr:uid="{00000000-0005-0000-0000-0000360E0000}"/>
    <cellStyle name="20% - Ênfase6 2 2 2" xfId="3900" xr:uid="{00000000-0005-0000-0000-0000370E0000}"/>
    <cellStyle name="20% - Ênfase6 2 2 2 10" xfId="3901" xr:uid="{00000000-0005-0000-0000-0000380E0000}"/>
    <cellStyle name="20% - Ênfase6 2 2 2 11" xfId="3902" xr:uid="{00000000-0005-0000-0000-0000390E0000}"/>
    <cellStyle name="20% - Ênfase6 2 2 2 2" xfId="3903" xr:uid="{00000000-0005-0000-0000-00003A0E0000}"/>
    <cellStyle name="20% - Ênfase6 2 2 2 2 2" xfId="25333" xr:uid="{00000000-0005-0000-0000-00003B0E0000}"/>
    <cellStyle name="20% - Ênfase6 2 2 2 2 2 2" xfId="26530" xr:uid="{00000000-0005-0000-0000-00003C0E0000}"/>
    <cellStyle name="20% - Ênfase6 2 2 2 2 3" xfId="26529" xr:uid="{00000000-0005-0000-0000-00003D0E0000}"/>
    <cellStyle name="20% - Ênfase6 2 2 2 2 4" xfId="25332" xr:uid="{00000000-0005-0000-0000-00003E0E0000}"/>
    <cellStyle name="20% - Ênfase6 2 2 2 3" xfId="3904" xr:uid="{00000000-0005-0000-0000-00003F0E0000}"/>
    <cellStyle name="20% - Ênfase6 2 2 2 3 2" xfId="26531" xr:uid="{00000000-0005-0000-0000-0000400E0000}"/>
    <cellStyle name="20% - Ênfase6 2 2 2 3 3" xfId="25334" xr:uid="{00000000-0005-0000-0000-0000410E0000}"/>
    <cellStyle name="20% - Ênfase6 2 2 2 4" xfId="3905" xr:uid="{00000000-0005-0000-0000-0000420E0000}"/>
    <cellStyle name="20% - Ênfase6 2 2 2 4 2" xfId="26528" xr:uid="{00000000-0005-0000-0000-0000430E0000}"/>
    <cellStyle name="20% - Ênfase6 2 2 2 5" xfId="3906" xr:uid="{00000000-0005-0000-0000-0000440E0000}"/>
    <cellStyle name="20% - Ênfase6 2 2 2 6" xfId="3907" xr:uid="{00000000-0005-0000-0000-0000450E0000}"/>
    <cellStyle name="20% - Ênfase6 2 2 2 7" xfId="3908" xr:uid="{00000000-0005-0000-0000-0000460E0000}"/>
    <cellStyle name="20% - Ênfase6 2 2 2 8" xfId="3909" xr:uid="{00000000-0005-0000-0000-0000470E0000}"/>
    <cellStyle name="20% - Ênfase6 2 2 2 9" xfId="3910" xr:uid="{00000000-0005-0000-0000-0000480E0000}"/>
    <cellStyle name="20% - Ênfase6 2 2 3" xfId="3911" xr:uid="{00000000-0005-0000-0000-0000490E0000}"/>
    <cellStyle name="20% - Ênfase6 2 2 3 2" xfId="25336" xr:uid="{00000000-0005-0000-0000-00004A0E0000}"/>
    <cellStyle name="20% - Ênfase6 2 2 3 2 2" xfId="25337" xr:uid="{00000000-0005-0000-0000-00004B0E0000}"/>
    <cellStyle name="20% - Ênfase6 2 2 3 2 2 2" xfId="26534" xr:uid="{00000000-0005-0000-0000-00004C0E0000}"/>
    <cellStyle name="20% - Ênfase6 2 2 3 2 3" xfId="26533" xr:uid="{00000000-0005-0000-0000-00004D0E0000}"/>
    <cellStyle name="20% - Ênfase6 2 2 3 3" xfId="25338" xr:uid="{00000000-0005-0000-0000-00004E0E0000}"/>
    <cellStyle name="20% - Ênfase6 2 2 3 3 2" xfId="26535" xr:uid="{00000000-0005-0000-0000-00004F0E0000}"/>
    <cellStyle name="20% - Ênfase6 2 2 3 4" xfId="26532" xr:uid="{00000000-0005-0000-0000-0000500E0000}"/>
    <cellStyle name="20% - Ênfase6 2 2 3 5" xfId="25335" xr:uid="{00000000-0005-0000-0000-0000510E0000}"/>
    <cellStyle name="20% - Ênfase6 2 2 4" xfId="3912" xr:uid="{00000000-0005-0000-0000-0000520E0000}"/>
    <cellStyle name="20% - Ênfase6 2 2 4 2" xfId="26536" xr:uid="{00000000-0005-0000-0000-0000530E0000}"/>
    <cellStyle name="20% - Ênfase6 2 2 5" xfId="3913" xr:uid="{00000000-0005-0000-0000-0000540E0000}"/>
    <cellStyle name="20% - Ênfase6 2 2 5 2" xfId="3914" xr:uid="{00000000-0005-0000-0000-0000550E0000}"/>
    <cellStyle name="20% - Ênfase6 2 2 5 3" xfId="26527" xr:uid="{00000000-0005-0000-0000-0000560E0000}"/>
    <cellStyle name="20% - Ênfase6 2 2 6" xfId="3915" xr:uid="{00000000-0005-0000-0000-0000570E0000}"/>
    <cellStyle name="20% - Ênfase6 2 2 6 2" xfId="3916" xr:uid="{00000000-0005-0000-0000-0000580E0000}"/>
    <cellStyle name="20% - Ênfase6 2 2 7" xfId="3917" xr:uid="{00000000-0005-0000-0000-0000590E0000}"/>
    <cellStyle name="20% - Ênfase6 2 2 7 2" xfId="3918" xr:uid="{00000000-0005-0000-0000-00005A0E0000}"/>
    <cellStyle name="20% - Ênfase6 2 2 8" xfId="3919" xr:uid="{00000000-0005-0000-0000-00005B0E0000}"/>
    <cellStyle name="20% - Ênfase6 2 2 8 2" xfId="3920" xr:uid="{00000000-0005-0000-0000-00005C0E0000}"/>
    <cellStyle name="20% - Ênfase6 2 2 9" xfId="3921" xr:uid="{00000000-0005-0000-0000-00005D0E0000}"/>
    <cellStyle name="20% - Ênfase6 2 2 9 2" xfId="3922" xr:uid="{00000000-0005-0000-0000-00005E0E0000}"/>
    <cellStyle name="20% - Ênfase6 2 3" xfId="3923" xr:uid="{00000000-0005-0000-0000-00005F0E0000}"/>
    <cellStyle name="20% - Ênfase6 2 3 2" xfId="25340" xr:uid="{00000000-0005-0000-0000-0000600E0000}"/>
    <cellStyle name="20% - Ênfase6 2 3 2 2" xfId="25341" xr:uid="{00000000-0005-0000-0000-0000610E0000}"/>
    <cellStyle name="20% - Ênfase6 2 3 2 2 2" xfId="26539" xr:uid="{00000000-0005-0000-0000-0000620E0000}"/>
    <cellStyle name="20% - Ênfase6 2 3 2 3" xfId="26538" xr:uid="{00000000-0005-0000-0000-0000630E0000}"/>
    <cellStyle name="20% - Ênfase6 2 3 3" xfId="25342" xr:uid="{00000000-0005-0000-0000-0000640E0000}"/>
    <cellStyle name="20% - Ênfase6 2 3 3 2" xfId="26540" xr:uid="{00000000-0005-0000-0000-0000650E0000}"/>
    <cellStyle name="20% - Ênfase6 2 3 4" xfId="26537" xr:uid="{00000000-0005-0000-0000-0000660E0000}"/>
    <cellStyle name="20% - Ênfase6 2 3 5" xfId="25339" xr:uid="{00000000-0005-0000-0000-0000670E0000}"/>
    <cellStyle name="20% - Ênfase6 2 4" xfId="3924" xr:uid="{00000000-0005-0000-0000-0000680E0000}"/>
    <cellStyle name="20% - Ênfase6 2 4 2" xfId="25344" xr:uid="{00000000-0005-0000-0000-0000690E0000}"/>
    <cellStyle name="20% - Ênfase6 2 4 2 2" xfId="25345" xr:uid="{00000000-0005-0000-0000-00006A0E0000}"/>
    <cellStyle name="20% - Ênfase6 2 4 2 2 2" xfId="26543" xr:uid="{00000000-0005-0000-0000-00006B0E0000}"/>
    <cellStyle name="20% - Ênfase6 2 4 2 3" xfId="26542" xr:uid="{00000000-0005-0000-0000-00006C0E0000}"/>
    <cellStyle name="20% - Ênfase6 2 4 3" xfId="25346" xr:uid="{00000000-0005-0000-0000-00006D0E0000}"/>
    <cellStyle name="20% - Ênfase6 2 4 3 2" xfId="26544" xr:uid="{00000000-0005-0000-0000-00006E0E0000}"/>
    <cellStyle name="20% - Ênfase6 2 4 4" xfId="26541" xr:uid="{00000000-0005-0000-0000-00006F0E0000}"/>
    <cellStyle name="20% - Ênfase6 2 4 5" xfId="25343" xr:uid="{00000000-0005-0000-0000-0000700E0000}"/>
    <cellStyle name="20% - Ênfase6 2 5" xfId="3925" xr:uid="{00000000-0005-0000-0000-0000710E0000}"/>
    <cellStyle name="20% - Ênfase6 2 5 10" xfId="3926" xr:uid="{00000000-0005-0000-0000-0000720E0000}"/>
    <cellStyle name="20% - Ênfase6 2 5 10 2" xfId="3927" xr:uid="{00000000-0005-0000-0000-0000730E0000}"/>
    <cellStyle name="20% - Ênfase6 2 5 2" xfId="3928" xr:uid="{00000000-0005-0000-0000-0000740E0000}"/>
    <cellStyle name="20% - Ênfase6 2 5 2 2" xfId="3929" xr:uid="{00000000-0005-0000-0000-0000750E0000}"/>
    <cellStyle name="20% - Ênfase6 2 5 3" xfId="3930" xr:uid="{00000000-0005-0000-0000-0000760E0000}"/>
    <cellStyle name="20% - Ênfase6 2 5 3 2" xfId="3931" xr:uid="{00000000-0005-0000-0000-0000770E0000}"/>
    <cellStyle name="20% - Ênfase6 2 5 4" xfId="3932" xr:uid="{00000000-0005-0000-0000-0000780E0000}"/>
    <cellStyle name="20% - Ênfase6 2 5 4 2" xfId="3933" xr:uid="{00000000-0005-0000-0000-0000790E0000}"/>
    <cellStyle name="20% - Ênfase6 2 5 5" xfId="3934" xr:uid="{00000000-0005-0000-0000-00007A0E0000}"/>
    <cellStyle name="20% - Ênfase6 2 5 5 2" xfId="3935" xr:uid="{00000000-0005-0000-0000-00007B0E0000}"/>
    <cellStyle name="20% - Ênfase6 2 5 6" xfId="3936" xr:uid="{00000000-0005-0000-0000-00007C0E0000}"/>
    <cellStyle name="20% - Ênfase6 2 5 6 2" xfId="3937" xr:uid="{00000000-0005-0000-0000-00007D0E0000}"/>
    <cellStyle name="20% - Ênfase6 2 5 7" xfId="3938" xr:uid="{00000000-0005-0000-0000-00007E0E0000}"/>
    <cellStyle name="20% - Ênfase6 2 5 7 2" xfId="3939" xr:uid="{00000000-0005-0000-0000-00007F0E0000}"/>
    <cellStyle name="20% - Ênfase6 2 5 8" xfId="3940" xr:uid="{00000000-0005-0000-0000-0000800E0000}"/>
    <cellStyle name="20% - Ênfase6 2 5 8 2" xfId="3941" xr:uid="{00000000-0005-0000-0000-0000810E0000}"/>
    <cellStyle name="20% - Ênfase6 2 5 9" xfId="3942" xr:uid="{00000000-0005-0000-0000-0000820E0000}"/>
    <cellStyle name="20% - Ênfase6 2 5 9 2" xfId="3943" xr:uid="{00000000-0005-0000-0000-0000830E0000}"/>
    <cellStyle name="20% - Ênfase6 2 6" xfId="3944" xr:uid="{00000000-0005-0000-0000-0000840E0000}"/>
    <cellStyle name="20% - Ênfase6 2 6 2" xfId="3945" xr:uid="{00000000-0005-0000-0000-0000850E0000}"/>
    <cellStyle name="20% - Ênfase6 2 6 2 2" xfId="3946" xr:uid="{00000000-0005-0000-0000-0000860E0000}"/>
    <cellStyle name="20% - Ênfase6 2 6 3" xfId="3947" xr:uid="{00000000-0005-0000-0000-0000870E0000}"/>
    <cellStyle name="20% - Ênfase6 2 6 3 2" xfId="3948" xr:uid="{00000000-0005-0000-0000-0000880E0000}"/>
    <cellStyle name="20% - Ênfase6 2 6 4" xfId="3949" xr:uid="{00000000-0005-0000-0000-0000890E0000}"/>
    <cellStyle name="20% - Ênfase6 2 6 4 2" xfId="3950" xr:uid="{00000000-0005-0000-0000-00008A0E0000}"/>
    <cellStyle name="20% - Ênfase6 2 6 5" xfId="3951" xr:uid="{00000000-0005-0000-0000-00008B0E0000}"/>
    <cellStyle name="20% - Ênfase6 2 6 5 2" xfId="3952" xr:uid="{00000000-0005-0000-0000-00008C0E0000}"/>
    <cellStyle name="20% - Ênfase6 2 6 6" xfId="3953" xr:uid="{00000000-0005-0000-0000-00008D0E0000}"/>
    <cellStyle name="20% - Ênfase6 2 7" xfId="26526" xr:uid="{00000000-0005-0000-0000-00008E0E0000}"/>
    <cellStyle name="20% - Ênfase6 20" xfId="3954" xr:uid="{00000000-0005-0000-0000-00008F0E0000}"/>
    <cellStyle name="20% - Ênfase6 20 2" xfId="3955" xr:uid="{00000000-0005-0000-0000-0000900E0000}"/>
    <cellStyle name="20% - Ênfase6 21" xfId="3956" xr:uid="{00000000-0005-0000-0000-0000910E0000}"/>
    <cellStyle name="20% - Ênfase6 21 2" xfId="3957" xr:uid="{00000000-0005-0000-0000-0000920E0000}"/>
    <cellStyle name="20% - Ênfase6 22" xfId="3958" xr:uid="{00000000-0005-0000-0000-0000930E0000}"/>
    <cellStyle name="20% - Ênfase6 22 2" xfId="3959" xr:uid="{00000000-0005-0000-0000-0000940E0000}"/>
    <cellStyle name="20% - Ênfase6 23" xfId="3960" xr:uid="{00000000-0005-0000-0000-0000950E0000}"/>
    <cellStyle name="20% - Ênfase6 23 2" xfId="3961" xr:uid="{00000000-0005-0000-0000-0000960E0000}"/>
    <cellStyle name="20% - Ênfase6 24" xfId="3962" xr:uid="{00000000-0005-0000-0000-0000970E0000}"/>
    <cellStyle name="20% - Ênfase6 24 2" xfId="3963" xr:uid="{00000000-0005-0000-0000-0000980E0000}"/>
    <cellStyle name="20% - Ênfase6 25" xfId="3964" xr:uid="{00000000-0005-0000-0000-0000990E0000}"/>
    <cellStyle name="20% - Ênfase6 25 2" xfId="3965" xr:uid="{00000000-0005-0000-0000-00009A0E0000}"/>
    <cellStyle name="20% - Ênfase6 26" xfId="3966" xr:uid="{00000000-0005-0000-0000-00009B0E0000}"/>
    <cellStyle name="20% - Ênfase6 26 2" xfId="3967" xr:uid="{00000000-0005-0000-0000-00009C0E0000}"/>
    <cellStyle name="20% - Ênfase6 27" xfId="3968" xr:uid="{00000000-0005-0000-0000-00009D0E0000}"/>
    <cellStyle name="20% - Ênfase6 27 2" xfId="3969" xr:uid="{00000000-0005-0000-0000-00009E0E0000}"/>
    <cellStyle name="20% - Ênfase6 28" xfId="3970" xr:uid="{00000000-0005-0000-0000-00009F0E0000}"/>
    <cellStyle name="20% - Ênfase6 28 2" xfId="3971" xr:uid="{00000000-0005-0000-0000-0000A00E0000}"/>
    <cellStyle name="20% - Ênfase6 29" xfId="3972" xr:uid="{00000000-0005-0000-0000-0000A10E0000}"/>
    <cellStyle name="20% - Ênfase6 29 2" xfId="3973" xr:uid="{00000000-0005-0000-0000-0000A20E0000}"/>
    <cellStyle name="20% - Ênfase6 3" xfId="3974" xr:uid="{00000000-0005-0000-0000-0000A30E0000}"/>
    <cellStyle name="20% - Ênfase6 3 2" xfId="3975" xr:uid="{00000000-0005-0000-0000-0000A40E0000}"/>
    <cellStyle name="20% - Ênfase6 3 2 10" xfId="3976" xr:uid="{00000000-0005-0000-0000-0000A50E0000}"/>
    <cellStyle name="20% - Ênfase6 3 2 10 2" xfId="3977" xr:uid="{00000000-0005-0000-0000-0000A60E0000}"/>
    <cellStyle name="20% - Ênfase6 3 2 11" xfId="3978" xr:uid="{00000000-0005-0000-0000-0000A70E0000}"/>
    <cellStyle name="20% - Ênfase6 3 2 11 2" xfId="3979" xr:uid="{00000000-0005-0000-0000-0000A80E0000}"/>
    <cellStyle name="20% - Ênfase6 3 2 12" xfId="3980" xr:uid="{00000000-0005-0000-0000-0000A90E0000}"/>
    <cellStyle name="20% - Ênfase6 3 2 12 2" xfId="3981" xr:uid="{00000000-0005-0000-0000-0000AA0E0000}"/>
    <cellStyle name="20% - Ênfase6 3 2 2" xfId="3982" xr:uid="{00000000-0005-0000-0000-0000AB0E0000}"/>
    <cellStyle name="20% - Ênfase6 3 2 2 10" xfId="3983" xr:uid="{00000000-0005-0000-0000-0000AC0E0000}"/>
    <cellStyle name="20% - Ênfase6 3 2 2 11" xfId="3984" xr:uid="{00000000-0005-0000-0000-0000AD0E0000}"/>
    <cellStyle name="20% - Ênfase6 3 2 2 2" xfId="3985" xr:uid="{00000000-0005-0000-0000-0000AE0E0000}"/>
    <cellStyle name="20% - Ênfase6 3 2 2 2 2" xfId="25348" xr:uid="{00000000-0005-0000-0000-0000AF0E0000}"/>
    <cellStyle name="20% - Ênfase6 3 2 2 2 2 2" xfId="26548" xr:uid="{00000000-0005-0000-0000-0000B00E0000}"/>
    <cellStyle name="20% - Ênfase6 3 2 2 2 3" xfId="26547" xr:uid="{00000000-0005-0000-0000-0000B10E0000}"/>
    <cellStyle name="20% - Ênfase6 3 2 2 2 4" xfId="25347" xr:uid="{00000000-0005-0000-0000-0000B20E0000}"/>
    <cellStyle name="20% - Ênfase6 3 2 2 3" xfId="3986" xr:uid="{00000000-0005-0000-0000-0000B30E0000}"/>
    <cellStyle name="20% - Ênfase6 3 2 2 3 2" xfId="26549" xr:uid="{00000000-0005-0000-0000-0000B40E0000}"/>
    <cellStyle name="20% - Ênfase6 3 2 2 3 3" xfId="25349" xr:uid="{00000000-0005-0000-0000-0000B50E0000}"/>
    <cellStyle name="20% - Ênfase6 3 2 2 4" xfId="3987" xr:uid="{00000000-0005-0000-0000-0000B60E0000}"/>
    <cellStyle name="20% - Ênfase6 3 2 2 4 2" xfId="26546" xr:uid="{00000000-0005-0000-0000-0000B70E0000}"/>
    <cellStyle name="20% - Ênfase6 3 2 2 5" xfId="3988" xr:uid="{00000000-0005-0000-0000-0000B80E0000}"/>
    <cellStyle name="20% - Ênfase6 3 2 2 6" xfId="3989" xr:uid="{00000000-0005-0000-0000-0000B90E0000}"/>
    <cellStyle name="20% - Ênfase6 3 2 2 7" xfId="3990" xr:uid="{00000000-0005-0000-0000-0000BA0E0000}"/>
    <cellStyle name="20% - Ênfase6 3 2 2 8" xfId="3991" xr:uid="{00000000-0005-0000-0000-0000BB0E0000}"/>
    <cellStyle name="20% - Ênfase6 3 2 2 9" xfId="3992" xr:uid="{00000000-0005-0000-0000-0000BC0E0000}"/>
    <cellStyle name="20% - Ênfase6 3 2 3" xfId="3993" xr:uid="{00000000-0005-0000-0000-0000BD0E0000}"/>
    <cellStyle name="20% - Ênfase6 3 2 3 2" xfId="25351" xr:uid="{00000000-0005-0000-0000-0000BE0E0000}"/>
    <cellStyle name="20% - Ênfase6 3 2 3 2 2" xfId="26551" xr:uid="{00000000-0005-0000-0000-0000BF0E0000}"/>
    <cellStyle name="20% - Ênfase6 3 2 3 3" xfId="26550" xr:uid="{00000000-0005-0000-0000-0000C00E0000}"/>
    <cellStyle name="20% - Ênfase6 3 2 3 4" xfId="25350" xr:uid="{00000000-0005-0000-0000-0000C10E0000}"/>
    <cellStyle name="20% - Ênfase6 3 2 4" xfId="3994" xr:uid="{00000000-0005-0000-0000-0000C20E0000}"/>
    <cellStyle name="20% - Ênfase6 3 2 4 2" xfId="26552" xr:uid="{00000000-0005-0000-0000-0000C30E0000}"/>
    <cellStyle name="20% - Ênfase6 3 2 4 3" xfId="25352" xr:uid="{00000000-0005-0000-0000-0000C40E0000}"/>
    <cellStyle name="20% - Ênfase6 3 2 5" xfId="3995" xr:uid="{00000000-0005-0000-0000-0000C50E0000}"/>
    <cellStyle name="20% - Ênfase6 3 2 5 2" xfId="3996" xr:uid="{00000000-0005-0000-0000-0000C60E0000}"/>
    <cellStyle name="20% - Ênfase6 3 2 6" xfId="3997" xr:uid="{00000000-0005-0000-0000-0000C70E0000}"/>
    <cellStyle name="20% - Ênfase6 3 2 6 2" xfId="3998" xr:uid="{00000000-0005-0000-0000-0000C80E0000}"/>
    <cellStyle name="20% - Ênfase6 3 2 7" xfId="3999" xr:uid="{00000000-0005-0000-0000-0000C90E0000}"/>
    <cellStyle name="20% - Ênfase6 3 2 7 2" xfId="4000" xr:uid="{00000000-0005-0000-0000-0000CA0E0000}"/>
    <cellStyle name="20% - Ênfase6 3 2 8" xfId="4001" xr:uid="{00000000-0005-0000-0000-0000CB0E0000}"/>
    <cellStyle name="20% - Ênfase6 3 2 8 2" xfId="4002" xr:uid="{00000000-0005-0000-0000-0000CC0E0000}"/>
    <cellStyle name="20% - Ênfase6 3 2 9" xfId="4003" xr:uid="{00000000-0005-0000-0000-0000CD0E0000}"/>
    <cellStyle name="20% - Ênfase6 3 2 9 2" xfId="4004" xr:uid="{00000000-0005-0000-0000-0000CE0E0000}"/>
    <cellStyle name="20% - Ênfase6 3 3" xfId="4005" xr:uid="{00000000-0005-0000-0000-0000CF0E0000}"/>
    <cellStyle name="20% - Ênfase6 3 3 2" xfId="25354" xr:uid="{00000000-0005-0000-0000-0000D00E0000}"/>
    <cellStyle name="20% - Ênfase6 3 3 2 2" xfId="25355" xr:uid="{00000000-0005-0000-0000-0000D10E0000}"/>
    <cellStyle name="20% - Ênfase6 3 3 2 2 2" xfId="26555" xr:uid="{00000000-0005-0000-0000-0000D20E0000}"/>
    <cellStyle name="20% - Ênfase6 3 3 2 3" xfId="26554" xr:uid="{00000000-0005-0000-0000-0000D30E0000}"/>
    <cellStyle name="20% - Ênfase6 3 3 3" xfId="25356" xr:uid="{00000000-0005-0000-0000-0000D40E0000}"/>
    <cellStyle name="20% - Ênfase6 3 3 3 2" xfId="26556" xr:uid="{00000000-0005-0000-0000-0000D50E0000}"/>
    <cellStyle name="20% - Ênfase6 3 3 4" xfId="26553" xr:uid="{00000000-0005-0000-0000-0000D60E0000}"/>
    <cellStyle name="20% - Ênfase6 3 3 5" xfId="25353" xr:uid="{00000000-0005-0000-0000-0000D70E0000}"/>
    <cellStyle name="20% - Ênfase6 3 4" xfId="4006" xr:uid="{00000000-0005-0000-0000-0000D80E0000}"/>
    <cellStyle name="20% - Ênfase6 3 4 2" xfId="26557" xr:uid="{00000000-0005-0000-0000-0000D90E0000}"/>
    <cellStyle name="20% - Ênfase6 3 5" xfId="4007" xr:uid="{00000000-0005-0000-0000-0000DA0E0000}"/>
    <cellStyle name="20% - Ênfase6 3 5 10" xfId="4008" xr:uid="{00000000-0005-0000-0000-0000DB0E0000}"/>
    <cellStyle name="20% - Ênfase6 3 5 10 2" xfId="4009" xr:uid="{00000000-0005-0000-0000-0000DC0E0000}"/>
    <cellStyle name="20% - Ênfase6 3 5 2" xfId="4010" xr:uid="{00000000-0005-0000-0000-0000DD0E0000}"/>
    <cellStyle name="20% - Ênfase6 3 5 2 2" xfId="4011" xr:uid="{00000000-0005-0000-0000-0000DE0E0000}"/>
    <cellStyle name="20% - Ênfase6 3 5 3" xfId="4012" xr:uid="{00000000-0005-0000-0000-0000DF0E0000}"/>
    <cellStyle name="20% - Ênfase6 3 5 3 2" xfId="4013" xr:uid="{00000000-0005-0000-0000-0000E00E0000}"/>
    <cellStyle name="20% - Ênfase6 3 5 4" xfId="4014" xr:uid="{00000000-0005-0000-0000-0000E10E0000}"/>
    <cellStyle name="20% - Ênfase6 3 5 4 2" xfId="4015" xr:uid="{00000000-0005-0000-0000-0000E20E0000}"/>
    <cellStyle name="20% - Ênfase6 3 5 5" xfId="4016" xr:uid="{00000000-0005-0000-0000-0000E30E0000}"/>
    <cellStyle name="20% - Ênfase6 3 5 5 2" xfId="4017" xr:uid="{00000000-0005-0000-0000-0000E40E0000}"/>
    <cellStyle name="20% - Ênfase6 3 5 6" xfId="4018" xr:uid="{00000000-0005-0000-0000-0000E50E0000}"/>
    <cellStyle name="20% - Ênfase6 3 5 6 2" xfId="4019" xr:uid="{00000000-0005-0000-0000-0000E60E0000}"/>
    <cellStyle name="20% - Ênfase6 3 5 7" xfId="4020" xr:uid="{00000000-0005-0000-0000-0000E70E0000}"/>
    <cellStyle name="20% - Ênfase6 3 5 7 2" xfId="4021" xr:uid="{00000000-0005-0000-0000-0000E80E0000}"/>
    <cellStyle name="20% - Ênfase6 3 5 8" xfId="4022" xr:uid="{00000000-0005-0000-0000-0000E90E0000}"/>
    <cellStyle name="20% - Ênfase6 3 5 8 2" xfId="4023" xr:uid="{00000000-0005-0000-0000-0000EA0E0000}"/>
    <cellStyle name="20% - Ênfase6 3 5 9" xfId="4024" xr:uid="{00000000-0005-0000-0000-0000EB0E0000}"/>
    <cellStyle name="20% - Ênfase6 3 5 9 2" xfId="4025" xr:uid="{00000000-0005-0000-0000-0000EC0E0000}"/>
    <cellStyle name="20% - Ênfase6 3 6" xfId="4026" xr:uid="{00000000-0005-0000-0000-0000ED0E0000}"/>
    <cellStyle name="20% - Ênfase6 3 6 2" xfId="4027" xr:uid="{00000000-0005-0000-0000-0000EE0E0000}"/>
    <cellStyle name="20% - Ênfase6 3 6 2 2" xfId="4028" xr:uid="{00000000-0005-0000-0000-0000EF0E0000}"/>
    <cellStyle name="20% - Ênfase6 3 6 3" xfId="4029" xr:uid="{00000000-0005-0000-0000-0000F00E0000}"/>
    <cellStyle name="20% - Ênfase6 3 6 3 2" xfId="4030" xr:uid="{00000000-0005-0000-0000-0000F10E0000}"/>
    <cellStyle name="20% - Ênfase6 3 6 4" xfId="4031" xr:uid="{00000000-0005-0000-0000-0000F20E0000}"/>
    <cellStyle name="20% - Ênfase6 3 6 4 2" xfId="4032" xr:uid="{00000000-0005-0000-0000-0000F30E0000}"/>
    <cellStyle name="20% - Ênfase6 3 6 5" xfId="4033" xr:uid="{00000000-0005-0000-0000-0000F40E0000}"/>
    <cellStyle name="20% - Ênfase6 3 6 5 2" xfId="4034" xr:uid="{00000000-0005-0000-0000-0000F50E0000}"/>
    <cellStyle name="20% - Ênfase6 3 6 6" xfId="4035" xr:uid="{00000000-0005-0000-0000-0000F60E0000}"/>
    <cellStyle name="20% - Ênfase6 3 7" xfId="25357" xr:uid="{00000000-0005-0000-0000-0000F70E0000}"/>
    <cellStyle name="20% - Ênfase6 3 7 2" xfId="26558" xr:uid="{00000000-0005-0000-0000-0000F80E0000}"/>
    <cellStyle name="20% - Ênfase6 3 8" xfId="26545" xr:uid="{00000000-0005-0000-0000-0000F90E0000}"/>
    <cellStyle name="20% - Ênfase6 30" xfId="4036" xr:uid="{00000000-0005-0000-0000-0000FA0E0000}"/>
    <cellStyle name="20% - Ênfase6 30 2" xfId="4037" xr:uid="{00000000-0005-0000-0000-0000FB0E0000}"/>
    <cellStyle name="20% - Ênfase6 31" xfId="4038" xr:uid="{00000000-0005-0000-0000-0000FC0E0000}"/>
    <cellStyle name="20% - Ênfase6 31 2" xfId="4039" xr:uid="{00000000-0005-0000-0000-0000FD0E0000}"/>
    <cellStyle name="20% - Ênfase6 32" xfId="4040" xr:uid="{00000000-0005-0000-0000-0000FE0E0000}"/>
    <cellStyle name="20% - Ênfase6 32 2" xfId="4041" xr:uid="{00000000-0005-0000-0000-0000FF0E0000}"/>
    <cellStyle name="20% - Ênfase6 33" xfId="4042" xr:uid="{00000000-0005-0000-0000-0000000F0000}"/>
    <cellStyle name="20% - Ênfase6 33 2" xfId="4043" xr:uid="{00000000-0005-0000-0000-0000010F0000}"/>
    <cellStyle name="20% - Ênfase6 34" xfId="4044" xr:uid="{00000000-0005-0000-0000-0000020F0000}"/>
    <cellStyle name="20% - Ênfase6 34 2" xfId="4045" xr:uid="{00000000-0005-0000-0000-0000030F0000}"/>
    <cellStyle name="20% - Ênfase6 35" xfId="4046" xr:uid="{00000000-0005-0000-0000-0000040F0000}"/>
    <cellStyle name="20% - Ênfase6 35 2" xfId="4047" xr:uid="{00000000-0005-0000-0000-0000050F0000}"/>
    <cellStyle name="20% - Ênfase6 36" xfId="4048" xr:uid="{00000000-0005-0000-0000-0000060F0000}"/>
    <cellStyle name="20% - Ênfase6 36 2" xfId="4049" xr:uid="{00000000-0005-0000-0000-0000070F0000}"/>
    <cellStyle name="20% - Ênfase6 37" xfId="4050" xr:uid="{00000000-0005-0000-0000-0000080F0000}"/>
    <cellStyle name="20% - Ênfase6 37 2" xfId="4051" xr:uid="{00000000-0005-0000-0000-0000090F0000}"/>
    <cellStyle name="20% - Ênfase6 38" xfId="4052" xr:uid="{00000000-0005-0000-0000-00000A0F0000}"/>
    <cellStyle name="20% - Ênfase6 38 2" xfId="4053" xr:uid="{00000000-0005-0000-0000-00000B0F0000}"/>
    <cellStyle name="20% - Ênfase6 39" xfId="4054" xr:uid="{00000000-0005-0000-0000-00000C0F0000}"/>
    <cellStyle name="20% - Ênfase6 39 2" xfId="4055" xr:uid="{00000000-0005-0000-0000-00000D0F0000}"/>
    <cellStyle name="20% - Ênfase6 4" xfId="4056" xr:uid="{00000000-0005-0000-0000-00000E0F0000}"/>
    <cellStyle name="20% - Ênfase6 4 2" xfId="4057" xr:uid="{00000000-0005-0000-0000-00000F0F0000}"/>
    <cellStyle name="20% - Ênfase6 4 2 10" xfId="4058" xr:uid="{00000000-0005-0000-0000-0000100F0000}"/>
    <cellStyle name="20% - Ênfase6 4 2 10 2" xfId="4059" xr:uid="{00000000-0005-0000-0000-0000110F0000}"/>
    <cellStyle name="20% - Ênfase6 4 2 11" xfId="4060" xr:uid="{00000000-0005-0000-0000-0000120F0000}"/>
    <cellStyle name="20% - Ênfase6 4 2 11 2" xfId="4061" xr:uid="{00000000-0005-0000-0000-0000130F0000}"/>
    <cellStyle name="20% - Ênfase6 4 2 12" xfId="4062" xr:uid="{00000000-0005-0000-0000-0000140F0000}"/>
    <cellStyle name="20% - Ênfase6 4 2 12 2" xfId="4063" xr:uid="{00000000-0005-0000-0000-0000150F0000}"/>
    <cellStyle name="20% - Ênfase6 4 2 2" xfId="4064" xr:uid="{00000000-0005-0000-0000-0000160F0000}"/>
    <cellStyle name="20% - Ênfase6 4 2 2 10" xfId="4065" xr:uid="{00000000-0005-0000-0000-0000170F0000}"/>
    <cellStyle name="20% - Ênfase6 4 2 2 11" xfId="4066" xr:uid="{00000000-0005-0000-0000-0000180F0000}"/>
    <cellStyle name="20% - Ênfase6 4 2 2 2" xfId="4067" xr:uid="{00000000-0005-0000-0000-0000190F0000}"/>
    <cellStyle name="20% - Ênfase6 4 2 2 2 2" xfId="25359" xr:uid="{00000000-0005-0000-0000-00001A0F0000}"/>
    <cellStyle name="20% - Ênfase6 4 2 2 2 2 2" xfId="26562" xr:uid="{00000000-0005-0000-0000-00001B0F0000}"/>
    <cellStyle name="20% - Ênfase6 4 2 2 2 3" xfId="26561" xr:uid="{00000000-0005-0000-0000-00001C0F0000}"/>
    <cellStyle name="20% - Ênfase6 4 2 2 2 4" xfId="25358" xr:uid="{00000000-0005-0000-0000-00001D0F0000}"/>
    <cellStyle name="20% - Ênfase6 4 2 2 3" xfId="4068" xr:uid="{00000000-0005-0000-0000-00001E0F0000}"/>
    <cellStyle name="20% - Ênfase6 4 2 2 3 2" xfId="26563" xr:uid="{00000000-0005-0000-0000-00001F0F0000}"/>
    <cellStyle name="20% - Ênfase6 4 2 2 3 3" xfId="25360" xr:uid="{00000000-0005-0000-0000-0000200F0000}"/>
    <cellStyle name="20% - Ênfase6 4 2 2 4" xfId="4069" xr:uid="{00000000-0005-0000-0000-0000210F0000}"/>
    <cellStyle name="20% - Ênfase6 4 2 2 4 2" xfId="26560" xr:uid="{00000000-0005-0000-0000-0000220F0000}"/>
    <cellStyle name="20% - Ênfase6 4 2 2 5" xfId="4070" xr:uid="{00000000-0005-0000-0000-0000230F0000}"/>
    <cellStyle name="20% - Ênfase6 4 2 2 6" xfId="4071" xr:uid="{00000000-0005-0000-0000-0000240F0000}"/>
    <cellStyle name="20% - Ênfase6 4 2 2 7" xfId="4072" xr:uid="{00000000-0005-0000-0000-0000250F0000}"/>
    <cellStyle name="20% - Ênfase6 4 2 2 8" xfId="4073" xr:uid="{00000000-0005-0000-0000-0000260F0000}"/>
    <cellStyle name="20% - Ênfase6 4 2 2 9" xfId="4074" xr:uid="{00000000-0005-0000-0000-0000270F0000}"/>
    <cellStyle name="20% - Ênfase6 4 2 3" xfId="4075" xr:uid="{00000000-0005-0000-0000-0000280F0000}"/>
    <cellStyle name="20% - Ênfase6 4 2 3 2" xfId="25362" xr:uid="{00000000-0005-0000-0000-0000290F0000}"/>
    <cellStyle name="20% - Ênfase6 4 2 3 2 2" xfId="26565" xr:uid="{00000000-0005-0000-0000-00002A0F0000}"/>
    <cellStyle name="20% - Ênfase6 4 2 3 3" xfId="26564" xr:uid="{00000000-0005-0000-0000-00002B0F0000}"/>
    <cellStyle name="20% - Ênfase6 4 2 3 4" xfId="25361" xr:uid="{00000000-0005-0000-0000-00002C0F0000}"/>
    <cellStyle name="20% - Ênfase6 4 2 4" xfId="4076" xr:uid="{00000000-0005-0000-0000-00002D0F0000}"/>
    <cellStyle name="20% - Ênfase6 4 2 4 2" xfId="26566" xr:uid="{00000000-0005-0000-0000-00002E0F0000}"/>
    <cellStyle name="20% - Ênfase6 4 2 4 3" xfId="25363" xr:uid="{00000000-0005-0000-0000-00002F0F0000}"/>
    <cellStyle name="20% - Ênfase6 4 2 5" xfId="4077" xr:uid="{00000000-0005-0000-0000-0000300F0000}"/>
    <cellStyle name="20% - Ênfase6 4 2 5 2" xfId="4078" xr:uid="{00000000-0005-0000-0000-0000310F0000}"/>
    <cellStyle name="20% - Ênfase6 4 2 6" xfId="4079" xr:uid="{00000000-0005-0000-0000-0000320F0000}"/>
    <cellStyle name="20% - Ênfase6 4 2 6 2" xfId="4080" xr:uid="{00000000-0005-0000-0000-0000330F0000}"/>
    <cellStyle name="20% - Ênfase6 4 2 7" xfId="4081" xr:uid="{00000000-0005-0000-0000-0000340F0000}"/>
    <cellStyle name="20% - Ênfase6 4 2 7 2" xfId="4082" xr:uid="{00000000-0005-0000-0000-0000350F0000}"/>
    <cellStyle name="20% - Ênfase6 4 2 8" xfId="4083" xr:uid="{00000000-0005-0000-0000-0000360F0000}"/>
    <cellStyle name="20% - Ênfase6 4 2 8 2" xfId="4084" xr:uid="{00000000-0005-0000-0000-0000370F0000}"/>
    <cellStyle name="20% - Ênfase6 4 2 9" xfId="4085" xr:uid="{00000000-0005-0000-0000-0000380F0000}"/>
    <cellStyle name="20% - Ênfase6 4 2 9 2" xfId="4086" xr:uid="{00000000-0005-0000-0000-0000390F0000}"/>
    <cellStyle name="20% - Ênfase6 4 3" xfId="4087" xr:uid="{00000000-0005-0000-0000-00003A0F0000}"/>
    <cellStyle name="20% - Ênfase6 4 3 2" xfId="25365" xr:uid="{00000000-0005-0000-0000-00003B0F0000}"/>
    <cellStyle name="20% - Ênfase6 4 3 2 2" xfId="25366" xr:uid="{00000000-0005-0000-0000-00003C0F0000}"/>
    <cellStyle name="20% - Ênfase6 4 3 2 2 2" xfId="26569" xr:uid="{00000000-0005-0000-0000-00003D0F0000}"/>
    <cellStyle name="20% - Ênfase6 4 3 2 3" xfId="26568" xr:uid="{00000000-0005-0000-0000-00003E0F0000}"/>
    <cellStyle name="20% - Ênfase6 4 3 3" xfId="25367" xr:uid="{00000000-0005-0000-0000-00003F0F0000}"/>
    <cellStyle name="20% - Ênfase6 4 3 3 2" xfId="26570" xr:uid="{00000000-0005-0000-0000-0000400F0000}"/>
    <cellStyle name="20% - Ênfase6 4 3 4" xfId="26567" xr:uid="{00000000-0005-0000-0000-0000410F0000}"/>
    <cellStyle name="20% - Ênfase6 4 3 5" xfId="25364" xr:uid="{00000000-0005-0000-0000-0000420F0000}"/>
    <cellStyle name="20% - Ênfase6 4 4" xfId="4088" xr:uid="{00000000-0005-0000-0000-0000430F0000}"/>
    <cellStyle name="20% - Ênfase6 4 4 2" xfId="26571" xr:uid="{00000000-0005-0000-0000-0000440F0000}"/>
    <cellStyle name="20% - Ênfase6 4 5" xfId="4089" xr:uid="{00000000-0005-0000-0000-0000450F0000}"/>
    <cellStyle name="20% - Ênfase6 4 5 10" xfId="4090" xr:uid="{00000000-0005-0000-0000-0000460F0000}"/>
    <cellStyle name="20% - Ênfase6 4 5 10 2" xfId="4091" xr:uid="{00000000-0005-0000-0000-0000470F0000}"/>
    <cellStyle name="20% - Ênfase6 4 5 2" xfId="4092" xr:uid="{00000000-0005-0000-0000-0000480F0000}"/>
    <cellStyle name="20% - Ênfase6 4 5 2 2" xfId="4093" xr:uid="{00000000-0005-0000-0000-0000490F0000}"/>
    <cellStyle name="20% - Ênfase6 4 5 3" xfId="4094" xr:uid="{00000000-0005-0000-0000-00004A0F0000}"/>
    <cellStyle name="20% - Ênfase6 4 5 3 2" xfId="4095" xr:uid="{00000000-0005-0000-0000-00004B0F0000}"/>
    <cellStyle name="20% - Ênfase6 4 5 4" xfId="4096" xr:uid="{00000000-0005-0000-0000-00004C0F0000}"/>
    <cellStyle name="20% - Ênfase6 4 5 4 2" xfId="4097" xr:uid="{00000000-0005-0000-0000-00004D0F0000}"/>
    <cellStyle name="20% - Ênfase6 4 5 5" xfId="4098" xr:uid="{00000000-0005-0000-0000-00004E0F0000}"/>
    <cellStyle name="20% - Ênfase6 4 5 5 2" xfId="4099" xr:uid="{00000000-0005-0000-0000-00004F0F0000}"/>
    <cellStyle name="20% - Ênfase6 4 5 6" xfId="4100" xr:uid="{00000000-0005-0000-0000-0000500F0000}"/>
    <cellStyle name="20% - Ênfase6 4 5 6 2" xfId="4101" xr:uid="{00000000-0005-0000-0000-0000510F0000}"/>
    <cellStyle name="20% - Ênfase6 4 5 7" xfId="4102" xr:uid="{00000000-0005-0000-0000-0000520F0000}"/>
    <cellStyle name="20% - Ênfase6 4 5 7 2" xfId="4103" xr:uid="{00000000-0005-0000-0000-0000530F0000}"/>
    <cellStyle name="20% - Ênfase6 4 5 8" xfId="4104" xr:uid="{00000000-0005-0000-0000-0000540F0000}"/>
    <cellStyle name="20% - Ênfase6 4 5 8 2" xfId="4105" xr:uid="{00000000-0005-0000-0000-0000550F0000}"/>
    <cellStyle name="20% - Ênfase6 4 5 9" xfId="4106" xr:uid="{00000000-0005-0000-0000-0000560F0000}"/>
    <cellStyle name="20% - Ênfase6 4 5 9 2" xfId="4107" xr:uid="{00000000-0005-0000-0000-0000570F0000}"/>
    <cellStyle name="20% - Ênfase6 4 6" xfId="4108" xr:uid="{00000000-0005-0000-0000-0000580F0000}"/>
    <cellStyle name="20% - Ênfase6 4 6 2" xfId="4109" xr:uid="{00000000-0005-0000-0000-0000590F0000}"/>
    <cellStyle name="20% - Ênfase6 4 6 2 2" xfId="4110" xr:uid="{00000000-0005-0000-0000-00005A0F0000}"/>
    <cellStyle name="20% - Ênfase6 4 6 3" xfId="4111" xr:uid="{00000000-0005-0000-0000-00005B0F0000}"/>
    <cellStyle name="20% - Ênfase6 4 6 3 2" xfId="4112" xr:uid="{00000000-0005-0000-0000-00005C0F0000}"/>
    <cellStyle name="20% - Ênfase6 4 6 4" xfId="4113" xr:uid="{00000000-0005-0000-0000-00005D0F0000}"/>
    <cellStyle name="20% - Ênfase6 4 6 4 2" xfId="4114" xr:uid="{00000000-0005-0000-0000-00005E0F0000}"/>
    <cellStyle name="20% - Ênfase6 4 6 5" xfId="4115" xr:uid="{00000000-0005-0000-0000-00005F0F0000}"/>
    <cellStyle name="20% - Ênfase6 4 6 5 2" xfId="4116" xr:uid="{00000000-0005-0000-0000-0000600F0000}"/>
    <cellStyle name="20% - Ênfase6 4 6 6" xfId="4117" xr:uid="{00000000-0005-0000-0000-0000610F0000}"/>
    <cellStyle name="20% - Ênfase6 4 7" xfId="26559" xr:uid="{00000000-0005-0000-0000-0000620F0000}"/>
    <cellStyle name="20% - Ênfase6 40" xfId="4118" xr:uid="{00000000-0005-0000-0000-0000630F0000}"/>
    <cellStyle name="20% - Ênfase6 40 2" xfId="4119" xr:uid="{00000000-0005-0000-0000-0000640F0000}"/>
    <cellStyle name="20% - Ênfase6 41" xfId="4120" xr:uid="{00000000-0005-0000-0000-0000650F0000}"/>
    <cellStyle name="20% - Ênfase6 41 2" xfId="4121" xr:uid="{00000000-0005-0000-0000-0000660F0000}"/>
    <cellStyle name="20% - Ênfase6 42" xfId="4122" xr:uid="{00000000-0005-0000-0000-0000670F0000}"/>
    <cellStyle name="20% - Ênfase6 42 2" xfId="4123" xr:uid="{00000000-0005-0000-0000-0000680F0000}"/>
    <cellStyle name="20% - Ênfase6 43" xfId="4124" xr:uid="{00000000-0005-0000-0000-0000690F0000}"/>
    <cellStyle name="20% - Ênfase6 43 2" xfId="4125" xr:uid="{00000000-0005-0000-0000-00006A0F0000}"/>
    <cellStyle name="20% - Ênfase6 44" xfId="4126" xr:uid="{00000000-0005-0000-0000-00006B0F0000}"/>
    <cellStyle name="20% - Ênfase6 44 2" xfId="4127" xr:uid="{00000000-0005-0000-0000-00006C0F0000}"/>
    <cellStyle name="20% - Ênfase6 45" xfId="4128" xr:uid="{00000000-0005-0000-0000-00006D0F0000}"/>
    <cellStyle name="20% - Ênfase6 45 2" xfId="4129" xr:uid="{00000000-0005-0000-0000-00006E0F0000}"/>
    <cellStyle name="20% - Ênfase6 46" xfId="4130" xr:uid="{00000000-0005-0000-0000-00006F0F0000}"/>
    <cellStyle name="20% - Ênfase6 46 2" xfId="4131" xr:uid="{00000000-0005-0000-0000-0000700F0000}"/>
    <cellStyle name="20% - Ênfase6 47" xfId="4132" xr:uid="{00000000-0005-0000-0000-0000710F0000}"/>
    <cellStyle name="20% - Ênfase6 47 2" xfId="4133" xr:uid="{00000000-0005-0000-0000-0000720F0000}"/>
    <cellStyle name="20% - Ênfase6 48" xfId="4134" xr:uid="{00000000-0005-0000-0000-0000730F0000}"/>
    <cellStyle name="20% - Ênfase6 48 2" xfId="4135" xr:uid="{00000000-0005-0000-0000-0000740F0000}"/>
    <cellStyle name="20% - Ênfase6 49" xfId="4136" xr:uid="{00000000-0005-0000-0000-0000750F0000}"/>
    <cellStyle name="20% - Ênfase6 49 2" xfId="4137" xr:uid="{00000000-0005-0000-0000-0000760F0000}"/>
    <cellStyle name="20% - Ênfase6 5" xfId="4138" xr:uid="{00000000-0005-0000-0000-0000770F0000}"/>
    <cellStyle name="20% - Ênfase6 5 2" xfId="4139" xr:uid="{00000000-0005-0000-0000-0000780F0000}"/>
    <cellStyle name="20% - Ênfase6 5 2 2" xfId="4140" xr:uid="{00000000-0005-0000-0000-0000790F0000}"/>
    <cellStyle name="20% - Ênfase6 5 2 2 2" xfId="25369" xr:uid="{00000000-0005-0000-0000-00007A0F0000}"/>
    <cellStyle name="20% - Ênfase6 5 2 2 2 2" xfId="25370" xr:uid="{00000000-0005-0000-0000-00007B0F0000}"/>
    <cellStyle name="20% - Ênfase6 5 2 2 2 2 2" xfId="26574" xr:uid="{00000000-0005-0000-0000-00007C0F0000}"/>
    <cellStyle name="20% - Ênfase6 5 2 2 2 3" xfId="26573" xr:uid="{00000000-0005-0000-0000-00007D0F0000}"/>
    <cellStyle name="20% - Ênfase6 5 2 2 3" xfId="25371" xr:uid="{00000000-0005-0000-0000-00007E0F0000}"/>
    <cellStyle name="20% - Ênfase6 5 2 2 3 2" xfId="26575" xr:uid="{00000000-0005-0000-0000-00007F0F0000}"/>
    <cellStyle name="20% - Ênfase6 5 2 2 4" xfId="26572" xr:uid="{00000000-0005-0000-0000-0000800F0000}"/>
    <cellStyle name="20% - Ênfase6 5 2 2 5" xfId="25368" xr:uid="{00000000-0005-0000-0000-0000810F0000}"/>
    <cellStyle name="20% - Ênfase6 5 2 3" xfId="4141" xr:uid="{00000000-0005-0000-0000-0000820F0000}"/>
    <cellStyle name="20% - Ênfase6 5 2 3 2" xfId="25373" xr:uid="{00000000-0005-0000-0000-0000830F0000}"/>
    <cellStyle name="20% - Ênfase6 5 2 3 2 2" xfId="26577" xr:uid="{00000000-0005-0000-0000-0000840F0000}"/>
    <cellStyle name="20% - Ênfase6 5 2 3 3" xfId="26576" xr:uid="{00000000-0005-0000-0000-0000850F0000}"/>
    <cellStyle name="20% - Ênfase6 5 2 3 4" xfId="25372" xr:uid="{00000000-0005-0000-0000-0000860F0000}"/>
    <cellStyle name="20% - Ênfase6 5 2 4" xfId="4142" xr:uid="{00000000-0005-0000-0000-0000870F0000}"/>
    <cellStyle name="20% - Ênfase6 5 2 4 2" xfId="26578" xr:uid="{00000000-0005-0000-0000-0000880F0000}"/>
    <cellStyle name="20% - Ênfase6 5 2 4 3" xfId="25374" xr:uid="{00000000-0005-0000-0000-0000890F0000}"/>
    <cellStyle name="20% - Ênfase6 5 2 5" xfId="4143" xr:uid="{00000000-0005-0000-0000-00008A0F0000}"/>
    <cellStyle name="20% - Ênfase6 5 2 5 2" xfId="4144" xr:uid="{00000000-0005-0000-0000-00008B0F0000}"/>
    <cellStyle name="20% - Ênfase6 5 2 6" xfId="4145" xr:uid="{00000000-0005-0000-0000-00008C0F0000}"/>
    <cellStyle name="20% - Ênfase6 5 2 6 2" xfId="4146" xr:uid="{00000000-0005-0000-0000-00008D0F0000}"/>
    <cellStyle name="20% - Ênfase6 5 2 7" xfId="4147" xr:uid="{00000000-0005-0000-0000-00008E0F0000}"/>
    <cellStyle name="20% - Ênfase6 5 2 7 2" xfId="4148" xr:uid="{00000000-0005-0000-0000-00008F0F0000}"/>
    <cellStyle name="20% - Ênfase6 5 2 8" xfId="4149" xr:uid="{00000000-0005-0000-0000-0000900F0000}"/>
    <cellStyle name="20% - Ênfase6 5 2 8 2" xfId="4150" xr:uid="{00000000-0005-0000-0000-0000910F0000}"/>
    <cellStyle name="20% - Ênfase6 5 2 9" xfId="4151" xr:uid="{00000000-0005-0000-0000-0000920F0000}"/>
    <cellStyle name="20% - Ênfase6 5 3" xfId="4152" xr:uid="{00000000-0005-0000-0000-0000930F0000}"/>
    <cellStyle name="20% - Ênfase6 5 3 2" xfId="25376" xr:uid="{00000000-0005-0000-0000-0000940F0000}"/>
    <cellStyle name="20% - Ênfase6 5 3 2 2" xfId="25377" xr:uid="{00000000-0005-0000-0000-0000950F0000}"/>
    <cellStyle name="20% - Ênfase6 5 3 2 2 2" xfId="26581" xr:uid="{00000000-0005-0000-0000-0000960F0000}"/>
    <cellStyle name="20% - Ênfase6 5 3 2 3" xfId="26580" xr:uid="{00000000-0005-0000-0000-0000970F0000}"/>
    <cellStyle name="20% - Ênfase6 5 3 3" xfId="25378" xr:uid="{00000000-0005-0000-0000-0000980F0000}"/>
    <cellStyle name="20% - Ênfase6 5 3 3 2" xfId="26582" xr:uid="{00000000-0005-0000-0000-0000990F0000}"/>
    <cellStyle name="20% - Ênfase6 5 3 4" xfId="26579" xr:uid="{00000000-0005-0000-0000-00009A0F0000}"/>
    <cellStyle name="20% - Ênfase6 5 3 5" xfId="25375" xr:uid="{00000000-0005-0000-0000-00009B0F0000}"/>
    <cellStyle name="20% - Ênfase6 5 4" xfId="4153" xr:uid="{00000000-0005-0000-0000-00009C0F0000}"/>
    <cellStyle name="20% - Ênfase6 5 4 2" xfId="25380" xr:uid="{00000000-0005-0000-0000-00009D0F0000}"/>
    <cellStyle name="20% - Ênfase6 5 4 2 2" xfId="26584" xr:uid="{00000000-0005-0000-0000-00009E0F0000}"/>
    <cellStyle name="20% - Ênfase6 5 4 3" xfId="26583" xr:uid="{00000000-0005-0000-0000-00009F0F0000}"/>
    <cellStyle name="20% - Ênfase6 5 4 4" xfId="25379" xr:uid="{00000000-0005-0000-0000-0000A00F0000}"/>
    <cellStyle name="20% - Ênfase6 5 5" xfId="4154" xr:uid="{00000000-0005-0000-0000-0000A10F0000}"/>
    <cellStyle name="20% - Ênfase6 5 5 2" xfId="4155" xr:uid="{00000000-0005-0000-0000-0000A20F0000}"/>
    <cellStyle name="20% - Ênfase6 5 5 2 2" xfId="4156" xr:uid="{00000000-0005-0000-0000-0000A30F0000}"/>
    <cellStyle name="20% - Ênfase6 5 5 3" xfId="4157" xr:uid="{00000000-0005-0000-0000-0000A40F0000}"/>
    <cellStyle name="20% - Ênfase6 5 5 3 2" xfId="4158" xr:uid="{00000000-0005-0000-0000-0000A50F0000}"/>
    <cellStyle name="20% - Ênfase6 5 5 4" xfId="4159" xr:uid="{00000000-0005-0000-0000-0000A60F0000}"/>
    <cellStyle name="20% - Ênfase6 5 5 4 2" xfId="4160" xr:uid="{00000000-0005-0000-0000-0000A70F0000}"/>
    <cellStyle name="20% - Ênfase6 5 5 5" xfId="4161" xr:uid="{00000000-0005-0000-0000-0000A80F0000}"/>
    <cellStyle name="20% - Ênfase6 5 5 5 2" xfId="4162" xr:uid="{00000000-0005-0000-0000-0000A90F0000}"/>
    <cellStyle name="20% - Ênfase6 5 5 6" xfId="4163" xr:uid="{00000000-0005-0000-0000-0000AA0F0000}"/>
    <cellStyle name="20% - Ênfase6 5 6" xfId="4164" xr:uid="{00000000-0005-0000-0000-0000AB0F0000}"/>
    <cellStyle name="20% - Ênfase6 5 6 2" xfId="4165" xr:uid="{00000000-0005-0000-0000-0000AC0F0000}"/>
    <cellStyle name="20% - Ênfase6 5 6 2 2" xfId="4166" xr:uid="{00000000-0005-0000-0000-0000AD0F0000}"/>
    <cellStyle name="20% - Ênfase6 5 6 3" xfId="4167" xr:uid="{00000000-0005-0000-0000-0000AE0F0000}"/>
    <cellStyle name="20% - Ênfase6 5 6 3 2" xfId="4168" xr:uid="{00000000-0005-0000-0000-0000AF0F0000}"/>
    <cellStyle name="20% - Ênfase6 5 6 4" xfId="4169" xr:uid="{00000000-0005-0000-0000-0000B00F0000}"/>
    <cellStyle name="20% - Ênfase6 5 6 4 2" xfId="4170" xr:uid="{00000000-0005-0000-0000-0000B10F0000}"/>
    <cellStyle name="20% - Ênfase6 5 6 5" xfId="4171" xr:uid="{00000000-0005-0000-0000-0000B20F0000}"/>
    <cellStyle name="20% - Ênfase6 5 6 5 2" xfId="4172" xr:uid="{00000000-0005-0000-0000-0000B30F0000}"/>
    <cellStyle name="20% - Ênfase6 5 6 6" xfId="4173" xr:uid="{00000000-0005-0000-0000-0000B40F0000}"/>
    <cellStyle name="20% - Ênfase6 50" xfId="4174" xr:uid="{00000000-0005-0000-0000-0000B50F0000}"/>
    <cellStyle name="20% - Ênfase6 50 2" xfId="4175" xr:uid="{00000000-0005-0000-0000-0000B60F0000}"/>
    <cellStyle name="20% - Ênfase6 51" xfId="4176" xr:uid="{00000000-0005-0000-0000-0000B70F0000}"/>
    <cellStyle name="20% - Ênfase6 51 2" xfId="4177" xr:uid="{00000000-0005-0000-0000-0000B80F0000}"/>
    <cellStyle name="20% - Ênfase6 52" xfId="4178" xr:uid="{00000000-0005-0000-0000-0000B90F0000}"/>
    <cellStyle name="20% - Ênfase6 52 2" xfId="4179" xr:uid="{00000000-0005-0000-0000-0000BA0F0000}"/>
    <cellStyle name="20% - Ênfase6 53" xfId="4180" xr:uid="{00000000-0005-0000-0000-0000BB0F0000}"/>
    <cellStyle name="20% - Ênfase6 53 2" xfId="4181" xr:uid="{00000000-0005-0000-0000-0000BC0F0000}"/>
    <cellStyle name="20% - Ênfase6 54" xfId="4182" xr:uid="{00000000-0005-0000-0000-0000BD0F0000}"/>
    <cellStyle name="20% - Ênfase6 54 2" xfId="4183" xr:uid="{00000000-0005-0000-0000-0000BE0F0000}"/>
    <cellStyle name="20% - Ênfase6 55" xfId="4184" xr:uid="{00000000-0005-0000-0000-0000BF0F0000}"/>
    <cellStyle name="20% - Ênfase6 55 2" xfId="4185" xr:uid="{00000000-0005-0000-0000-0000C00F0000}"/>
    <cellStyle name="20% - Ênfase6 6" xfId="4186" xr:uid="{00000000-0005-0000-0000-0000C10F0000}"/>
    <cellStyle name="20% - Ênfase6 6 10" xfId="4187" xr:uid="{00000000-0005-0000-0000-0000C20F0000}"/>
    <cellStyle name="20% - Ênfase6 6 10 2" xfId="4188" xr:uid="{00000000-0005-0000-0000-0000C30F0000}"/>
    <cellStyle name="20% - Ênfase6 6 11" xfId="4189" xr:uid="{00000000-0005-0000-0000-0000C40F0000}"/>
    <cellStyle name="20% - Ênfase6 6 11 2" xfId="4190" xr:uid="{00000000-0005-0000-0000-0000C50F0000}"/>
    <cellStyle name="20% - Ênfase6 6 12" xfId="4191" xr:uid="{00000000-0005-0000-0000-0000C60F0000}"/>
    <cellStyle name="20% - Ênfase6 6 12 2" xfId="4192" xr:uid="{00000000-0005-0000-0000-0000C70F0000}"/>
    <cellStyle name="20% - Ênfase6 6 13" xfId="4193" xr:uid="{00000000-0005-0000-0000-0000C80F0000}"/>
    <cellStyle name="20% - Ênfase6 6 13 2" xfId="4194" xr:uid="{00000000-0005-0000-0000-0000C90F0000}"/>
    <cellStyle name="20% - Ênfase6 6 14" xfId="4195" xr:uid="{00000000-0005-0000-0000-0000CA0F0000}"/>
    <cellStyle name="20% - Ênfase6 6 14 2" xfId="4196" xr:uid="{00000000-0005-0000-0000-0000CB0F0000}"/>
    <cellStyle name="20% - Ênfase6 6 15" xfId="4197" xr:uid="{00000000-0005-0000-0000-0000CC0F0000}"/>
    <cellStyle name="20% - Ênfase6 6 15 2" xfId="4198" xr:uid="{00000000-0005-0000-0000-0000CD0F0000}"/>
    <cellStyle name="20% - Ênfase6 6 16" xfId="4199" xr:uid="{00000000-0005-0000-0000-0000CE0F0000}"/>
    <cellStyle name="20% - Ênfase6 6 16 2" xfId="4200" xr:uid="{00000000-0005-0000-0000-0000CF0F0000}"/>
    <cellStyle name="20% - Ênfase6 6 17" xfId="4201" xr:uid="{00000000-0005-0000-0000-0000D00F0000}"/>
    <cellStyle name="20% - Ênfase6 6 17 2" xfId="4202" xr:uid="{00000000-0005-0000-0000-0000D10F0000}"/>
    <cellStyle name="20% - Ênfase6 6 18" xfId="4203" xr:uid="{00000000-0005-0000-0000-0000D20F0000}"/>
    <cellStyle name="20% - Ênfase6 6 18 2" xfId="4204" xr:uid="{00000000-0005-0000-0000-0000D30F0000}"/>
    <cellStyle name="20% - Ênfase6 6 19" xfId="4205" xr:uid="{00000000-0005-0000-0000-0000D40F0000}"/>
    <cellStyle name="20% - Ênfase6 6 19 2" xfId="4206" xr:uid="{00000000-0005-0000-0000-0000D50F0000}"/>
    <cellStyle name="20% - Ênfase6 6 2" xfId="4207" xr:uid="{00000000-0005-0000-0000-0000D60F0000}"/>
    <cellStyle name="20% - Ênfase6 6 2 2" xfId="4208" xr:uid="{00000000-0005-0000-0000-0000D70F0000}"/>
    <cellStyle name="20% - Ênfase6 6 2 2 2" xfId="4209" xr:uid="{00000000-0005-0000-0000-0000D80F0000}"/>
    <cellStyle name="20% - Ênfase6 6 2 2 2 2" xfId="26586" xr:uid="{00000000-0005-0000-0000-0000D90F0000}"/>
    <cellStyle name="20% - Ênfase6 6 2 2 3" xfId="26585" xr:uid="{00000000-0005-0000-0000-0000DA0F0000}"/>
    <cellStyle name="20% - Ênfase6 6 2 3" xfId="4210" xr:uid="{00000000-0005-0000-0000-0000DB0F0000}"/>
    <cellStyle name="20% - Ênfase6 6 2 3 2" xfId="4211" xr:uid="{00000000-0005-0000-0000-0000DC0F0000}"/>
    <cellStyle name="20% - Ênfase6 6 2 4" xfId="4212" xr:uid="{00000000-0005-0000-0000-0000DD0F0000}"/>
    <cellStyle name="20% - Ênfase6 6 2 4 2" xfId="4213" xr:uid="{00000000-0005-0000-0000-0000DE0F0000}"/>
    <cellStyle name="20% - Ênfase6 6 2 5" xfId="4214" xr:uid="{00000000-0005-0000-0000-0000DF0F0000}"/>
    <cellStyle name="20% - Ênfase6 6 2 5 2" xfId="4215" xr:uid="{00000000-0005-0000-0000-0000E00F0000}"/>
    <cellStyle name="20% - Ênfase6 6 2 6" xfId="4216" xr:uid="{00000000-0005-0000-0000-0000E10F0000}"/>
    <cellStyle name="20% - Ênfase6 6 20" xfId="4217" xr:uid="{00000000-0005-0000-0000-0000E20F0000}"/>
    <cellStyle name="20% - Ênfase6 6 20 2" xfId="4218" xr:uid="{00000000-0005-0000-0000-0000E30F0000}"/>
    <cellStyle name="20% - Ênfase6 6 21" xfId="4219" xr:uid="{00000000-0005-0000-0000-0000E40F0000}"/>
    <cellStyle name="20% - Ênfase6 6 21 2" xfId="4220" xr:uid="{00000000-0005-0000-0000-0000E50F0000}"/>
    <cellStyle name="20% - Ênfase6 6 22" xfId="4221" xr:uid="{00000000-0005-0000-0000-0000E60F0000}"/>
    <cellStyle name="20% - Ênfase6 6 22 2" xfId="4222" xr:uid="{00000000-0005-0000-0000-0000E70F0000}"/>
    <cellStyle name="20% - Ênfase6 6 23" xfId="4223" xr:uid="{00000000-0005-0000-0000-0000E80F0000}"/>
    <cellStyle name="20% - Ênfase6 6 23 2" xfId="4224" xr:uid="{00000000-0005-0000-0000-0000E90F0000}"/>
    <cellStyle name="20% - Ênfase6 6 24" xfId="4225" xr:uid="{00000000-0005-0000-0000-0000EA0F0000}"/>
    <cellStyle name="20% - Ênfase6 6 24 2" xfId="4226" xr:uid="{00000000-0005-0000-0000-0000EB0F0000}"/>
    <cellStyle name="20% - Ênfase6 6 25" xfId="4227" xr:uid="{00000000-0005-0000-0000-0000EC0F0000}"/>
    <cellStyle name="20% - Ênfase6 6 25 2" xfId="4228" xr:uid="{00000000-0005-0000-0000-0000ED0F0000}"/>
    <cellStyle name="20% - Ênfase6 6 26" xfId="4229" xr:uid="{00000000-0005-0000-0000-0000EE0F0000}"/>
    <cellStyle name="20% - Ênfase6 6 26 2" xfId="4230" xr:uid="{00000000-0005-0000-0000-0000EF0F0000}"/>
    <cellStyle name="20% - Ênfase6 6 27" xfId="4231" xr:uid="{00000000-0005-0000-0000-0000F00F0000}"/>
    <cellStyle name="20% - Ênfase6 6 27 2" xfId="4232" xr:uid="{00000000-0005-0000-0000-0000F10F0000}"/>
    <cellStyle name="20% - Ênfase6 6 28" xfId="4233" xr:uid="{00000000-0005-0000-0000-0000F20F0000}"/>
    <cellStyle name="20% - Ênfase6 6 28 2" xfId="4234" xr:uid="{00000000-0005-0000-0000-0000F30F0000}"/>
    <cellStyle name="20% - Ênfase6 6 29" xfId="4235" xr:uid="{00000000-0005-0000-0000-0000F40F0000}"/>
    <cellStyle name="20% - Ênfase6 6 29 2" xfId="4236" xr:uid="{00000000-0005-0000-0000-0000F50F0000}"/>
    <cellStyle name="20% - Ênfase6 6 3" xfId="4237" xr:uid="{00000000-0005-0000-0000-0000F60F0000}"/>
    <cellStyle name="20% - Ênfase6 6 3 2" xfId="4238" xr:uid="{00000000-0005-0000-0000-0000F70F0000}"/>
    <cellStyle name="20% - Ênfase6 6 3 2 2" xfId="4239" xr:uid="{00000000-0005-0000-0000-0000F80F0000}"/>
    <cellStyle name="20% - Ênfase6 6 3 3" xfId="4240" xr:uid="{00000000-0005-0000-0000-0000F90F0000}"/>
    <cellStyle name="20% - Ênfase6 6 3 3 2" xfId="4241" xr:uid="{00000000-0005-0000-0000-0000FA0F0000}"/>
    <cellStyle name="20% - Ênfase6 6 3 4" xfId="4242" xr:uid="{00000000-0005-0000-0000-0000FB0F0000}"/>
    <cellStyle name="20% - Ênfase6 6 3 4 2" xfId="4243" xr:uid="{00000000-0005-0000-0000-0000FC0F0000}"/>
    <cellStyle name="20% - Ênfase6 6 3 5" xfId="4244" xr:uid="{00000000-0005-0000-0000-0000FD0F0000}"/>
    <cellStyle name="20% - Ênfase6 6 3 5 2" xfId="4245" xr:uid="{00000000-0005-0000-0000-0000FE0F0000}"/>
    <cellStyle name="20% - Ênfase6 6 3 6" xfId="4246" xr:uid="{00000000-0005-0000-0000-0000FF0F0000}"/>
    <cellStyle name="20% - Ênfase6 6 30" xfId="4247" xr:uid="{00000000-0005-0000-0000-000000100000}"/>
    <cellStyle name="20% - Ênfase6 6 30 2" xfId="4248" xr:uid="{00000000-0005-0000-0000-000001100000}"/>
    <cellStyle name="20% - Ênfase6 6 31" xfId="4249" xr:uid="{00000000-0005-0000-0000-000002100000}"/>
    <cellStyle name="20% - Ênfase6 6 31 2" xfId="4250" xr:uid="{00000000-0005-0000-0000-000003100000}"/>
    <cellStyle name="20% - Ênfase6 6 32" xfId="4251" xr:uid="{00000000-0005-0000-0000-000004100000}"/>
    <cellStyle name="20% - Ênfase6 6 32 2" xfId="4252" xr:uid="{00000000-0005-0000-0000-000005100000}"/>
    <cellStyle name="20% - Ênfase6 6 33" xfId="4253" xr:uid="{00000000-0005-0000-0000-000006100000}"/>
    <cellStyle name="20% - Ênfase6 6 33 2" xfId="4254" xr:uid="{00000000-0005-0000-0000-000007100000}"/>
    <cellStyle name="20% - Ênfase6 6 34" xfId="4255" xr:uid="{00000000-0005-0000-0000-000008100000}"/>
    <cellStyle name="20% - Ênfase6 6 34 2" xfId="4256" xr:uid="{00000000-0005-0000-0000-000009100000}"/>
    <cellStyle name="20% - Ênfase6 6 35" xfId="4257" xr:uid="{00000000-0005-0000-0000-00000A100000}"/>
    <cellStyle name="20% - Ênfase6 6 35 2" xfId="4258" xr:uid="{00000000-0005-0000-0000-00000B100000}"/>
    <cellStyle name="20% - Ênfase6 6 36" xfId="4259" xr:uid="{00000000-0005-0000-0000-00000C100000}"/>
    <cellStyle name="20% - Ênfase6 6 36 2" xfId="4260" xr:uid="{00000000-0005-0000-0000-00000D100000}"/>
    <cellStyle name="20% - Ênfase6 6 37" xfId="4261" xr:uid="{00000000-0005-0000-0000-00000E100000}"/>
    <cellStyle name="20% - Ênfase6 6 4" xfId="4262" xr:uid="{00000000-0005-0000-0000-00000F100000}"/>
    <cellStyle name="20% - Ênfase6 6 4 2" xfId="4263" xr:uid="{00000000-0005-0000-0000-000010100000}"/>
    <cellStyle name="20% - Ênfase6 6 4 2 2" xfId="4264" xr:uid="{00000000-0005-0000-0000-000011100000}"/>
    <cellStyle name="20% - Ênfase6 6 4 3" xfId="4265" xr:uid="{00000000-0005-0000-0000-000012100000}"/>
    <cellStyle name="20% - Ênfase6 6 4 3 2" xfId="4266" xr:uid="{00000000-0005-0000-0000-000013100000}"/>
    <cellStyle name="20% - Ênfase6 6 4 4" xfId="4267" xr:uid="{00000000-0005-0000-0000-000014100000}"/>
    <cellStyle name="20% - Ênfase6 6 4 4 2" xfId="4268" xr:uid="{00000000-0005-0000-0000-000015100000}"/>
    <cellStyle name="20% - Ênfase6 6 4 5" xfId="4269" xr:uid="{00000000-0005-0000-0000-000016100000}"/>
    <cellStyle name="20% - Ênfase6 6 4 5 2" xfId="4270" xr:uid="{00000000-0005-0000-0000-000017100000}"/>
    <cellStyle name="20% - Ênfase6 6 4 6" xfId="4271" xr:uid="{00000000-0005-0000-0000-000018100000}"/>
    <cellStyle name="20% - Ênfase6 6 5" xfId="4272" xr:uid="{00000000-0005-0000-0000-000019100000}"/>
    <cellStyle name="20% - Ênfase6 6 5 2" xfId="4273" xr:uid="{00000000-0005-0000-0000-00001A100000}"/>
    <cellStyle name="20% - Ênfase6 6 6" xfId="4274" xr:uid="{00000000-0005-0000-0000-00001B100000}"/>
    <cellStyle name="20% - Ênfase6 6 6 2" xfId="4275" xr:uid="{00000000-0005-0000-0000-00001C100000}"/>
    <cellStyle name="20% - Ênfase6 6 7" xfId="4276" xr:uid="{00000000-0005-0000-0000-00001D100000}"/>
    <cellStyle name="20% - Ênfase6 6 7 2" xfId="4277" xr:uid="{00000000-0005-0000-0000-00001E100000}"/>
    <cellStyle name="20% - Ênfase6 6 8" xfId="4278" xr:uid="{00000000-0005-0000-0000-00001F100000}"/>
    <cellStyle name="20% - Ênfase6 6 8 2" xfId="4279" xr:uid="{00000000-0005-0000-0000-000020100000}"/>
    <cellStyle name="20% - Ênfase6 6 9" xfId="4280" xr:uid="{00000000-0005-0000-0000-000021100000}"/>
    <cellStyle name="20% - Ênfase6 6 9 2" xfId="4281" xr:uid="{00000000-0005-0000-0000-000022100000}"/>
    <cellStyle name="20% - Ênfase6 7" xfId="4282" xr:uid="{00000000-0005-0000-0000-000023100000}"/>
    <cellStyle name="20% - Ênfase6 7 10" xfId="4283" xr:uid="{00000000-0005-0000-0000-000024100000}"/>
    <cellStyle name="20% - Ênfase6 7 10 2" xfId="4284" xr:uid="{00000000-0005-0000-0000-000025100000}"/>
    <cellStyle name="20% - Ênfase6 7 11" xfId="4285" xr:uid="{00000000-0005-0000-0000-000026100000}"/>
    <cellStyle name="20% - Ênfase6 7 11 2" xfId="4286" xr:uid="{00000000-0005-0000-0000-000027100000}"/>
    <cellStyle name="20% - Ênfase6 7 12" xfId="4287" xr:uid="{00000000-0005-0000-0000-000028100000}"/>
    <cellStyle name="20% - Ênfase6 7 12 2" xfId="4288" xr:uid="{00000000-0005-0000-0000-000029100000}"/>
    <cellStyle name="20% - Ênfase6 7 13" xfId="4289" xr:uid="{00000000-0005-0000-0000-00002A100000}"/>
    <cellStyle name="20% - Ênfase6 7 13 2" xfId="4290" xr:uid="{00000000-0005-0000-0000-00002B100000}"/>
    <cellStyle name="20% - Ênfase6 7 14" xfId="4291" xr:uid="{00000000-0005-0000-0000-00002C100000}"/>
    <cellStyle name="20% - Ênfase6 7 14 2" xfId="4292" xr:uid="{00000000-0005-0000-0000-00002D100000}"/>
    <cellStyle name="20% - Ênfase6 7 15" xfId="4293" xr:uid="{00000000-0005-0000-0000-00002E100000}"/>
    <cellStyle name="20% - Ênfase6 7 15 2" xfId="4294" xr:uid="{00000000-0005-0000-0000-00002F100000}"/>
    <cellStyle name="20% - Ênfase6 7 16" xfId="4295" xr:uid="{00000000-0005-0000-0000-000030100000}"/>
    <cellStyle name="20% - Ênfase6 7 16 2" xfId="4296" xr:uid="{00000000-0005-0000-0000-000031100000}"/>
    <cellStyle name="20% - Ênfase6 7 17" xfId="4297" xr:uid="{00000000-0005-0000-0000-000032100000}"/>
    <cellStyle name="20% - Ênfase6 7 17 2" xfId="4298" xr:uid="{00000000-0005-0000-0000-000033100000}"/>
    <cellStyle name="20% - Ênfase6 7 18" xfId="4299" xr:uid="{00000000-0005-0000-0000-000034100000}"/>
    <cellStyle name="20% - Ênfase6 7 18 2" xfId="4300" xr:uid="{00000000-0005-0000-0000-000035100000}"/>
    <cellStyle name="20% - Ênfase6 7 19" xfId="4301" xr:uid="{00000000-0005-0000-0000-000036100000}"/>
    <cellStyle name="20% - Ênfase6 7 19 2" xfId="4302" xr:uid="{00000000-0005-0000-0000-000037100000}"/>
    <cellStyle name="20% - Ênfase6 7 2" xfId="4303" xr:uid="{00000000-0005-0000-0000-000038100000}"/>
    <cellStyle name="20% - Ênfase6 7 2 2" xfId="4304" xr:uid="{00000000-0005-0000-0000-000039100000}"/>
    <cellStyle name="20% - Ênfase6 7 2 2 2" xfId="4305" xr:uid="{00000000-0005-0000-0000-00003A100000}"/>
    <cellStyle name="20% - Ênfase6 7 2 2 2 2" xfId="26588" xr:uid="{00000000-0005-0000-0000-00003B100000}"/>
    <cellStyle name="20% - Ênfase6 7 2 2 3" xfId="26587" xr:uid="{00000000-0005-0000-0000-00003C100000}"/>
    <cellStyle name="20% - Ênfase6 7 2 3" xfId="4306" xr:uid="{00000000-0005-0000-0000-00003D100000}"/>
    <cellStyle name="20% - Ênfase6 7 2 3 2" xfId="4307" xr:uid="{00000000-0005-0000-0000-00003E100000}"/>
    <cellStyle name="20% - Ênfase6 7 2 4" xfId="4308" xr:uid="{00000000-0005-0000-0000-00003F100000}"/>
    <cellStyle name="20% - Ênfase6 7 2 4 2" xfId="4309" xr:uid="{00000000-0005-0000-0000-000040100000}"/>
    <cellStyle name="20% - Ênfase6 7 2 5" xfId="4310" xr:uid="{00000000-0005-0000-0000-000041100000}"/>
    <cellStyle name="20% - Ênfase6 7 2 5 2" xfId="4311" xr:uid="{00000000-0005-0000-0000-000042100000}"/>
    <cellStyle name="20% - Ênfase6 7 2 6" xfId="4312" xr:uid="{00000000-0005-0000-0000-000043100000}"/>
    <cellStyle name="20% - Ênfase6 7 20" xfId="4313" xr:uid="{00000000-0005-0000-0000-000044100000}"/>
    <cellStyle name="20% - Ênfase6 7 20 2" xfId="4314" xr:uid="{00000000-0005-0000-0000-000045100000}"/>
    <cellStyle name="20% - Ênfase6 7 21" xfId="4315" xr:uid="{00000000-0005-0000-0000-000046100000}"/>
    <cellStyle name="20% - Ênfase6 7 21 2" xfId="4316" xr:uid="{00000000-0005-0000-0000-000047100000}"/>
    <cellStyle name="20% - Ênfase6 7 22" xfId="4317" xr:uid="{00000000-0005-0000-0000-000048100000}"/>
    <cellStyle name="20% - Ênfase6 7 22 2" xfId="4318" xr:uid="{00000000-0005-0000-0000-000049100000}"/>
    <cellStyle name="20% - Ênfase6 7 23" xfId="4319" xr:uid="{00000000-0005-0000-0000-00004A100000}"/>
    <cellStyle name="20% - Ênfase6 7 23 2" xfId="4320" xr:uid="{00000000-0005-0000-0000-00004B100000}"/>
    <cellStyle name="20% - Ênfase6 7 24" xfId="4321" xr:uid="{00000000-0005-0000-0000-00004C100000}"/>
    <cellStyle name="20% - Ênfase6 7 24 2" xfId="4322" xr:uid="{00000000-0005-0000-0000-00004D100000}"/>
    <cellStyle name="20% - Ênfase6 7 25" xfId="4323" xr:uid="{00000000-0005-0000-0000-00004E100000}"/>
    <cellStyle name="20% - Ênfase6 7 25 2" xfId="4324" xr:uid="{00000000-0005-0000-0000-00004F100000}"/>
    <cellStyle name="20% - Ênfase6 7 26" xfId="4325" xr:uid="{00000000-0005-0000-0000-000050100000}"/>
    <cellStyle name="20% - Ênfase6 7 26 2" xfId="4326" xr:uid="{00000000-0005-0000-0000-000051100000}"/>
    <cellStyle name="20% - Ênfase6 7 27" xfId="4327" xr:uid="{00000000-0005-0000-0000-000052100000}"/>
    <cellStyle name="20% - Ênfase6 7 27 2" xfId="4328" xr:uid="{00000000-0005-0000-0000-000053100000}"/>
    <cellStyle name="20% - Ênfase6 7 28" xfId="4329" xr:uid="{00000000-0005-0000-0000-000054100000}"/>
    <cellStyle name="20% - Ênfase6 7 28 2" xfId="4330" xr:uid="{00000000-0005-0000-0000-000055100000}"/>
    <cellStyle name="20% - Ênfase6 7 29" xfId="4331" xr:uid="{00000000-0005-0000-0000-000056100000}"/>
    <cellStyle name="20% - Ênfase6 7 29 2" xfId="4332" xr:uid="{00000000-0005-0000-0000-000057100000}"/>
    <cellStyle name="20% - Ênfase6 7 3" xfId="4333" xr:uid="{00000000-0005-0000-0000-000058100000}"/>
    <cellStyle name="20% - Ênfase6 7 3 2" xfId="4334" xr:uid="{00000000-0005-0000-0000-000059100000}"/>
    <cellStyle name="20% - Ênfase6 7 3 2 2" xfId="4335" xr:uid="{00000000-0005-0000-0000-00005A100000}"/>
    <cellStyle name="20% - Ênfase6 7 3 3" xfId="4336" xr:uid="{00000000-0005-0000-0000-00005B100000}"/>
    <cellStyle name="20% - Ênfase6 7 3 3 2" xfId="4337" xr:uid="{00000000-0005-0000-0000-00005C100000}"/>
    <cellStyle name="20% - Ênfase6 7 3 4" xfId="4338" xr:uid="{00000000-0005-0000-0000-00005D100000}"/>
    <cellStyle name="20% - Ênfase6 7 3 4 2" xfId="4339" xr:uid="{00000000-0005-0000-0000-00005E100000}"/>
    <cellStyle name="20% - Ênfase6 7 3 5" xfId="4340" xr:uid="{00000000-0005-0000-0000-00005F100000}"/>
    <cellStyle name="20% - Ênfase6 7 3 5 2" xfId="4341" xr:uid="{00000000-0005-0000-0000-000060100000}"/>
    <cellStyle name="20% - Ênfase6 7 3 6" xfId="4342" xr:uid="{00000000-0005-0000-0000-000061100000}"/>
    <cellStyle name="20% - Ênfase6 7 30" xfId="4343" xr:uid="{00000000-0005-0000-0000-000062100000}"/>
    <cellStyle name="20% - Ênfase6 7 30 2" xfId="4344" xr:uid="{00000000-0005-0000-0000-000063100000}"/>
    <cellStyle name="20% - Ênfase6 7 31" xfId="4345" xr:uid="{00000000-0005-0000-0000-000064100000}"/>
    <cellStyle name="20% - Ênfase6 7 31 2" xfId="4346" xr:uid="{00000000-0005-0000-0000-000065100000}"/>
    <cellStyle name="20% - Ênfase6 7 32" xfId="4347" xr:uid="{00000000-0005-0000-0000-000066100000}"/>
    <cellStyle name="20% - Ênfase6 7 32 2" xfId="4348" xr:uid="{00000000-0005-0000-0000-000067100000}"/>
    <cellStyle name="20% - Ênfase6 7 33" xfId="4349" xr:uid="{00000000-0005-0000-0000-000068100000}"/>
    <cellStyle name="20% - Ênfase6 7 33 2" xfId="4350" xr:uid="{00000000-0005-0000-0000-000069100000}"/>
    <cellStyle name="20% - Ênfase6 7 34" xfId="4351" xr:uid="{00000000-0005-0000-0000-00006A100000}"/>
    <cellStyle name="20% - Ênfase6 7 34 2" xfId="4352" xr:uid="{00000000-0005-0000-0000-00006B100000}"/>
    <cellStyle name="20% - Ênfase6 7 35" xfId="4353" xr:uid="{00000000-0005-0000-0000-00006C100000}"/>
    <cellStyle name="20% - Ênfase6 7 35 2" xfId="4354" xr:uid="{00000000-0005-0000-0000-00006D100000}"/>
    <cellStyle name="20% - Ênfase6 7 36" xfId="4355" xr:uid="{00000000-0005-0000-0000-00006E100000}"/>
    <cellStyle name="20% - Ênfase6 7 36 2" xfId="4356" xr:uid="{00000000-0005-0000-0000-00006F100000}"/>
    <cellStyle name="20% - Ênfase6 7 37" xfId="4357" xr:uid="{00000000-0005-0000-0000-000070100000}"/>
    <cellStyle name="20% - Ênfase6 7 4" xfId="4358" xr:uid="{00000000-0005-0000-0000-000071100000}"/>
    <cellStyle name="20% - Ênfase6 7 4 2" xfId="4359" xr:uid="{00000000-0005-0000-0000-000072100000}"/>
    <cellStyle name="20% - Ênfase6 7 4 2 2" xfId="4360" xr:uid="{00000000-0005-0000-0000-000073100000}"/>
    <cellStyle name="20% - Ênfase6 7 4 3" xfId="4361" xr:uid="{00000000-0005-0000-0000-000074100000}"/>
    <cellStyle name="20% - Ênfase6 7 4 3 2" xfId="4362" xr:uid="{00000000-0005-0000-0000-000075100000}"/>
    <cellStyle name="20% - Ênfase6 7 4 4" xfId="4363" xr:uid="{00000000-0005-0000-0000-000076100000}"/>
    <cellStyle name="20% - Ênfase6 7 4 4 2" xfId="4364" xr:uid="{00000000-0005-0000-0000-000077100000}"/>
    <cellStyle name="20% - Ênfase6 7 4 5" xfId="4365" xr:uid="{00000000-0005-0000-0000-000078100000}"/>
    <cellStyle name="20% - Ênfase6 7 4 5 2" xfId="4366" xr:uid="{00000000-0005-0000-0000-000079100000}"/>
    <cellStyle name="20% - Ênfase6 7 4 6" xfId="4367" xr:uid="{00000000-0005-0000-0000-00007A100000}"/>
    <cellStyle name="20% - Ênfase6 7 5" xfId="4368" xr:uid="{00000000-0005-0000-0000-00007B100000}"/>
    <cellStyle name="20% - Ênfase6 7 5 2" xfId="4369" xr:uid="{00000000-0005-0000-0000-00007C100000}"/>
    <cellStyle name="20% - Ênfase6 7 6" xfId="4370" xr:uid="{00000000-0005-0000-0000-00007D100000}"/>
    <cellStyle name="20% - Ênfase6 7 6 2" xfId="4371" xr:uid="{00000000-0005-0000-0000-00007E100000}"/>
    <cellStyle name="20% - Ênfase6 7 7" xfId="4372" xr:uid="{00000000-0005-0000-0000-00007F100000}"/>
    <cellStyle name="20% - Ênfase6 7 7 2" xfId="4373" xr:uid="{00000000-0005-0000-0000-000080100000}"/>
    <cellStyle name="20% - Ênfase6 7 8" xfId="4374" xr:uid="{00000000-0005-0000-0000-000081100000}"/>
    <cellStyle name="20% - Ênfase6 7 8 2" xfId="4375" xr:uid="{00000000-0005-0000-0000-000082100000}"/>
    <cellStyle name="20% - Ênfase6 7 9" xfId="4376" xr:uid="{00000000-0005-0000-0000-000083100000}"/>
    <cellStyle name="20% - Ênfase6 7 9 2" xfId="4377" xr:uid="{00000000-0005-0000-0000-000084100000}"/>
    <cellStyle name="20% - Ênfase6 8" xfId="4378" xr:uid="{00000000-0005-0000-0000-000085100000}"/>
    <cellStyle name="20% - Ênfase6 8 10" xfId="4379" xr:uid="{00000000-0005-0000-0000-000086100000}"/>
    <cellStyle name="20% - Ênfase6 8 10 2" xfId="4380" xr:uid="{00000000-0005-0000-0000-000087100000}"/>
    <cellStyle name="20% - Ênfase6 8 2" xfId="4381" xr:uid="{00000000-0005-0000-0000-000088100000}"/>
    <cellStyle name="20% - Ênfase6 8 2 2" xfId="4382" xr:uid="{00000000-0005-0000-0000-000089100000}"/>
    <cellStyle name="20% - Ênfase6 8 2 2 2" xfId="25381" xr:uid="{00000000-0005-0000-0000-00008A100000}"/>
    <cellStyle name="20% - Ênfase6 8 2 2 2 2" xfId="26591" xr:uid="{00000000-0005-0000-0000-00008B100000}"/>
    <cellStyle name="20% - Ênfase6 8 2 2 3" xfId="26590" xr:uid="{00000000-0005-0000-0000-00008C100000}"/>
    <cellStyle name="20% - Ênfase6 8 2 3" xfId="25382" xr:uid="{00000000-0005-0000-0000-00008D100000}"/>
    <cellStyle name="20% - Ênfase6 8 2 3 2" xfId="26592" xr:uid="{00000000-0005-0000-0000-00008E100000}"/>
    <cellStyle name="20% - Ênfase6 8 2 4" xfId="26589" xr:uid="{00000000-0005-0000-0000-00008F100000}"/>
    <cellStyle name="20% - Ênfase6 8 3" xfId="4383" xr:uid="{00000000-0005-0000-0000-000090100000}"/>
    <cellStyle name="20% - Ênfase6 8 3 2" xfId="4384" xr:uid="{00000000-0005-0000-0000-000091100000}"/>
    <cellStyle name="20% - Ênfase6 8 3 2 2" xfId="26594" xr:uid="{00000000-0005-0000-0000-000092100000}"/>
    <cellStyle name="20% - Ênfase6 8 3 3" xfId="26593" xr:uid="{00000000-0005-0000-0000-000093100000}"/>
    <cellStyle name="20% - Ênfase6 8 4" xfId="4385" xr:uid="{00000000-0005-0000-0000-000094100000}"/>
    <cellStyle name="20% - Ênfase6 8 4 2" xfId="4386" xr:uid="{00000000-0005-0000-0000-000095100000}"/>
    <cellStyle name="20% - Ênfase6 8 5" xfId="4387" xr:uid="{00000000-0005-0000-0000-000096100000}"/>
    <cellStyle name="20% - Ênfase6 8 5 2" xfId="4388" xr:uid="{00000000-0005-0000-0000-000097100000}"/>
    <cellStyle name="20% - Ênfase6 8 6" xfId="4389" xr:uid="{00000000-0005-0000-0000-000098100000}"/>
    <cellStyle name="20% - Ênfase6 8 6 2" xfId="4390" xr:uid="{00000000-0005-0000-0000-000099100000}"/>
    <cellStyle name="20% - Ênfase6 8 7" xfId="4391" xr:uid="{00000000-0005-0000-0000-00009A100000}"/>
    <cellStyle name="20% - Ênfase6 8 7 2" xfId="4392" xr:uid="{00000000-0005-0000-0000-00009B100000}"/>
    <cellStyle name="20% - Ênfase6 8 8" xfId="4393" xr:uid="{00000000-0005-0000-0000-00009C100000}"/>
    <cellStyle name="20% - Ênfase6 8 8 2" xfId="4394" xr:uid="{00000000-0005-0000-0000-00009D100000}"/>
    <cellStyle name="20% - Ênfase6 8 9" xfId="4395" xr:uid="{00000000-0005-0000-0000-00009E100000}"/>
    <cellStyle name="20% - Ênfase6 8 9 2" xfId="4396" xr:uid="{00000000-0005-0000-0000-00009F100000}"/>
    <cellStyle name="20% - Ênfase6 9" xfId="4397" xr:uid="{00000000-0005-0000-0000-0000A0100000}"/>
    <cellStyle name="20% - Ênfase6 9 10" xfId="4398" xr:uid="{00000000-0005-0000-0000-0000A1100000}"/>
    <cellStyle name="20% - Ênfase6 9 10 2" xfId="4399" xr:uid="{00000000-0005-0000-0000-0000A2100000}"/>
    <cellStyle name="20% - Ênfase6 9 11" xfId="4400" xr:uid="{00000000-0005-0000-0000-0000A3100000}"/>
    <cellStyle name="20% - Ênfase6 9 12" xfId="4401" xr:uid="{00000000-0005-0000-0000-0000A4100000}"/>
    <cellStyle name="20% - Ênfase6 9 2" xfId="4402" xr:uid="{00000000-0005-0000-0000-0000A5100000}"/>
    <cellStyle name="20% - Ênfase6 9 2 2" xfId="4403" xr:uid="{00000000-0005-0000-0000-0000A6100000}"/>
    <cellStyle name="20% - Ênfase6 9 2 2 2" xfId="26596" xr:uid="{00000000-0005-0000-0000-0000A7100000}"/>
    <cellStyle name="20% - Ênfase6 9 2 3" xfId="26595" xr:uid="{00000000-0005-0000-0000-0000A8100000}"/>
    <cellStyle name="20% - Ênfase6 9 3" xfId="4404" xr:uid="{00000000-0005-0000-0000-0000A9100000}"/>
    <cellStyle name="20% - Ênfase6 9 3 2" xfId="4405" xr:uid="{00000000-0005-0000-0000-0000AA100000}"/>
    <cellStyle name="20% - Ênfase6 9 4" xfId="4406" xr:uid="{00000000-0005-0000-0000-0000AB100000}"/>
    <cellStyle name="20% - Ênfase6 9 4 2" xfId="4407" xr:uid="{00000000-0005-0000-0000-0000AC100000}"/>
    <cellStyle name="20% - Ênfase6 9 5" xfId="4408" xr:uid="{00000000-0005-0000-0000-0000AD100000}"/>
    <cellStyle name="20% - Ênfase6 9 5 2" xfId="4409" xr:uid="{00000000-0005-0000-0000-0000AE100000}"/>
    <cellStyle name="20% - Ênfase6 9 6" xfId="4410" xr:uid="{00000000-0005-0000-0000-0000AF100000}"/>
    <cellStyle name="20% - Ênfase6 9 6 2" xfId="4411" xr:uid="{00000000-0005-0000-0000-0000B0100000}"/>
    <cellStyle name="20% - Ênfase6 9 7" xfId="4412" xr:uid="{00000000-0005-0000-0000-0000B1100000}"/>
    <cellStyle name="20% - Ênfase6 9 7 2" xfId="4413" xr:uid="{00000000-0005-0000-0000-0000B2100000}"/>
    <cellStyle name="20% - Ênfase6 9 8" xfId="4414" xr:uid="{00000000-0005-0000-0000-0000B3100000}"/>
    <cellStyle name="20% - Ênfase6 9 8 2" xfId="4415" xr:uid="{00000000-0005-0000-0000-0000B4100000}"/>
    <cellStyle name="20% - Ênfase6 9 9" xfId="4416" xr:uid="{00000000-0005-0000-0000-0000B5100000}"/>
    <cellStyle name="20% - Ênfase6 9 9 2" xfId="4417" xr:uid="{00000000-0005-0000-0000-0000B6100000}"/>
    <cellStyle name="20% - Énfasis1" xfId="4418" xr:uid="{00000000-0005-0000-0000-0000B7100000}"/>
    <cellStyle name="20% - Énfasis2" xfId="4419" xr:uid="{00000000-0005-0000-0000-0000B8100000}"/>
    <cellStyle name="20% - Énfasis3" xfId="4420" xr:uid="{00000000-0005-0000-0000-0000B9100000}"/>
    <cellStyle name="20% - Énfasis4" xfId="4421" xr:uid="{00000000-0005-0000-0000-0000BA100000}"/>
    <cellStyle name="20% - Énfasis5" xfId="4422" xr:uid="{00000000-0005-0000-0000-0000BB100000}"/>
    <cellStyle name="20% - Énfasis6" xfId="4423" xr:uid="{00000000-0005-0000-0000-0000BC100000}"/>
    <cellStyle name="3988,43" xfId="4424" xr:uid="{00000000-0005-0000-0000-0000BD100000}"/>
    <cellStyle name="40% - Accent1" xfId="21" xr:uid="{00000000-0005-0000-0000-0000BE100000}"/>
    <cellStyle name="40% - Accent1 2" xfId="4426" xr:uid="{00000000-0005-0000-0000-0000BF100000}"/>
    <cellStyle name="40% - Accent1 2 2" xfId="25384" xr:uid="{00000000-0005-0000-0000-0000C0100000}"/>
    <cellStyle name="40% - Accent1 2 2 2" xfId="26599" xr:uid="{00000000-0005-0000-0000-0000C1100000}"/>
    <cellStyle name="40% - Accent1 2 3" xfId="26598" xr:uid="{00000000-0005-0000-0000-0000C2100000}"/>
    <cellStyle name="40% - Accent1 2 4" xfId="25383" xr:uid="{00000000-0005-0000-0000-0000C3100000}"/>
    <cellStyle name="40% - Accent1 3" xfId="4427" xr:uid="{00000000-0005-0000-0000-0000C4100000}"/>
    <cellStyle name="40% - Accent1 3 2" xfId="26600" xr:uid="{00000000-0005-0000-0000-0000C5100000}"/>
    <cellStyle name="40% - Accent1 4" xfId="4425" xr:uid="{00000000-0005-0000-0000-0000C6100000}"/>
    <cellStyle name="40% - Accent1 4 2" xfId="26597" xr:uid="{00000000-0005-0000-0000-0000C7100000}"/>
    <cellStyle name="40% - Accent2" xfId="22" xr:uid="{00000000-0005-0000-0000-0000C8100000}"/>
    <cellStyle name="40% - Accent2 2" xfId="4429" xr:uid="{00000000-0005-0000-0000-0000C9100000}"/>
    <cellStyle name="40% - Accent2 2 2" xfId="25386" xr:uid="{00000000-0005-0000-0000-0000CA100000}"/>
    <cellStyle name="40% - Accent2 2 2 2" xfId="26603" xr:uid="{00000000-0005-0000-0000-0000CB100000}"/>
    <cellStyle name="40% - Accent2 2 3" xfId="26602" xr:uid="{00000000-0005-0000-0000-0000CC100000}"/>
    <cellStyle name="40% - Accent2 2 4" xfId="25385" xr:uid="{00000000-0005-0000-0000-0000CD100000}"/>
    <cellStyle name="40% - Accent2 3" xfId="4430" xr:uid="{00000000-0005-0000-0000-0000CE100000}"/>
    <cellStyle name="40% - Accent2 3 2" xfId="26604" xr:uid="{00000000-0005-0000-0000-0000CF100000}"/>
    <cellStyle name="40% - Accent2 4" xfId="4428" xr:uid="{00000000-0005-0000-0000-0000D0100000}"/>
    <cellStyle name="40% - Accent2 4 2" xfId="26601" xr:uid="{00000000-0005-0000-0000-0000D1100000}"/>
    <cellStyle name="40% - Accent3" xfId="23" xr:uid="{00000000-0005-0000-0000-0000D2100000}"/>
    <cellStyle name="40% - Accent3 2" xfId="4432" xr:uid="{00000000-0005-0000-0000-0000D3100000}"/>
    <cellStyle name="40% - Accent3 2 2" xfId="25388" xr:uid="{00000000-0005-0000-0000-0000D4100000}"/>
    <cellStyle name="40% - Accent3 2 2 2" xfId="26607" xr:uid="{00000000-0005-0000-0000-0000D5100000}"/>
    <cellStyle name="40% - Accent3 2 3" xfId="26606" xr:uid="{00000000-0005-0000-0000-0000D6100000}"/>
    <cellStyle name="40% - Accent3 2 4" xfId="25387" xr:uid="{00000000-0005-0000-0000-0000D7100000}"/>
    <cellStyle name="40% - Accent3 3" xfId="4433" xr:uid="{00000000-0005-0000-0000-0000D8100000}"/>
    <cellStyle name="40% - Accent3 3 2" xfId="26608" xr:uid="{00000000-0005-0000-0000-0000D9100000}"/>
    <cellStyle name="40% - Accent3 4" xfId="4431" xr:uid="{00000000-0005-0000-0000-0000DA100000}"/>
    <cellStyle name="40% - Accent3 4 2" xfId="26605" xr:uid="{00000000-0005-0000-0000-0000DB100000}"/>
    <cellStyle name="40% - Accent4" xfId="24" xr:uid="{00000000-0005-0000-0000-0000DC100000}"/>
    <cellStyle name="40% - Accent4 2" xfId="4435" xr:uid="{00000000-0005-0000-0000-0000DD100000}"/>
    <cellStyle name="40% - Accent4 2 2" xfId="25390" xr:uid="{00000000-0005-0000-0000-0000DE100000}"/>
    <cellStyle name="40% - Accent4 2 2 2" xfId="26611" xr:uid="{00000000-0005-0000-0000-0000DF100000}"/>
    <cellStyle name="40% - Accent4 2 3" xfId="26610" xr:uid="{00000000-0005-0000-0000-0000E0100000}"/>
    <cellStyle name="40% - Accent4 2 4" xfId="25389" xr:uid="{00000000-0005-0000-0000-0000E1100000}"/>
    <cellStyle name="40% - Accent4 3" xfId="4436" xr:uid="{00000000-0005-0000-0000-0000E2100000}"/>
    <cellStyle name="40% - Accent4 3 2" xfId="26612" xr:uid="{00000000-0005-0000-0000-0000E3100000}"/>
    <cellStyle name="40% - Accent4 4" xfId="4434" xr:uid="{00000000-0005-0000-0000-0000E4100000}"/>
    <cellStyle name="40% - Accent4 4 2" xfId="26609" xr:uid="{00000000-0005-0000-0000-0000E5100000}"/>
    <cellStyle name="40% - Accent5" xfId="25" xr:uid="{00000000-0005-0000-0000-0000E6100000}"/>
    <cellStyle name="40% - Accent5 2" xfId="4438" xr:uid="{00000000-0005-0000-0000-0000E7100000}"/>
    <cellStyle name="40% - Accent5 2 2" xfId="25392" xr:uid="{00000000-0005-0000-0000-0000E8100000}"/>
    <cellStyle name="40% - Accent5 2 2 2" xfId="26615" xr:uid="{00000000-0005-0000-0000-0000E9100000}"/>
    <cellStyle name="40% - Accent5 2 3" xfId="26614" xr:uid="{00000000-0005-0000-0000-0000EA100000}"/>
    <cellStyle name="40% - Accent5 2 4" xfId="25391" xr:uid="{00000000-0005-0000-0000-0000EB100000}"/>
    <cellStyle name="40% - Accent5 3" xfId="4439" xr:uid="{00000000-0005-0000-0000-0000EC100000}"/>
    <cellStyle name="40% - Accent5 3 2" xfId="26616" xr:uid="{00000000-0005-0000-0000-0000ED100000}"/>
    <cellStyle name="40% - Accent5 4" xfId="4437" xr:uid="{00000000-0005-0000-0000-0000EE100000}"/>
    <cellStyle name="40% - Accent5 4 2" xfId="26613" xr:uid="{00000000-0005-0000-0000-0000EF100000}"/>
    <cellStyle name="40% - Accent6" xfId="26" xr:uid="{00000000-0005-0000-0000-0000F0100000}"/>
    <cellStyle name="40% - Accent6 2" xfId="4441" xr:uid="{00000000-0005-0000-0000-0000F1100000}"/>
    <cellStyle name="40% - Accent6 2 2" xfId="25394" xr:uid="{00000000-0005-0000-0000-0000F2100000}"/>
    <cellStyle name="40% - Accent6 2 2 2" xfId="26619" xr:uid="{00000000-0005-0000-0000-0000F3100000}"/>
    <cellStyle name="40% - Accent6 2 3" xfId="26618" xr:uid="{00000000-0005-0000-0000-0000F4100000}"/>
    <cellStyle name="40% - Accent6 2 4" xfId="25393" xr:uid="{00000000-0005-0000-0000-0000F5100000}"/>
    <cellStyle name="40% - Accent6 3" xfId="4442" xr:uid="{00000000-0005-0000-0000-0000F6100000}"/>
    <cellStyle name="40% - Accent6 3 2" xfId="26620" xr:uid="{00000000-0005-0000-0000-0000F7100000}"/>
    <cellStyle name="40% - Accent6 4" xfId="4440" xr:uid="{00000000-0005-0000-0000-0000F8100000}"/>
    <cellStyle name="40% - Accent6 4 2" xfId="26617" xr:uid="{00000000-0005-0000-0000-0000F9100000}"/>
    <cellStyle name="40% - Cor1" xfId="27" xr:uid="{00000000-0005-0000-0000-0000FA100000}"/>
    <cellStyle name="40% - Cor1 2" xfId="26621" xr:uid="{00000000-0005-0000-0000-0000FB100000}"/>
    <cellStyle name="40% - Cor2" xfId="28" xr:uid="{00000000-0005-0000-0000-0000FC100000}"/>
    <cellStyle name="40% - Cor2 2" xfId="26622" xr:uid="{00000000-0005-0000-0000-0000FD100000}"/>
    <cellStyle name="40% - Cor3" xfId="29" xr:uid="{00000000-0005-0000-0000-0000FE100000}"/>
    <cellStyle name="40% - Cor3 2" xfId="26623" xr:uid="{00000000-0005-0000-0000-0000FF100000}"/>
    <cellStyle name="40% - Cor4" xfId="30" xr:uid="{00000000-0005-0000-0000-000000110000}"/>
    <cellStyle name="40% - Cor4 2" xfId="26624" xr:uid="{00000000-0005-0000-0000-000001110000}"/>
    <cellStyle name="40% - Cor5" xfId="31" xr:uid="{00000000-0005-0000-0000-000002110000}"/>
    <cellStyle name="40% - Cor5 2" xfId="26625" xr:uid="{00000000-0005-0000-0000-000003110000}"/>
    <cellStyle name="40% - Cor6" xfId="32" xr:uid="{00000000-0005-0000-0000-000004110000}"/>
    <cellStyle name="40% - Cor6 2" xfId="26626" xr:uid="{00000000-0005-0000-0000-000005110000}"/>
    <cellStyle name="40% - Ênfase1" xfId="33" builtinId="31" customBuiltin="1"/>
    <cellStyle name="40% - Ênfase1 10" xfId="4443" xr:uid="{00000000-0005-0000-0000-000007110000}"/>
    <cellStyle name="40% - Ênfase1 10 2" xfId="4444" xr:uid="{00000000-0005-0000-0000-000008110000}"/>
    <cellStyle name="40% - Ênfase1 10 2 2" xfId="4445" xr:uid="{00000000-0005-0000-0000-000009110000}"/>
    <cellStyle name="40% - Ênfase1 10 2 2 2" xfId="26628" xr:uid="{00000000-0005-0000-0000-00000A110000}"/>
    <cellStyle name="40% - Ênfase1 10 2 3" xfId="26627" xr:uid="{00000000-0005-0000-0000-00000B110000}"/>
    <cellStyle name="40% - Ênfase1 10 3" xfId="4446" xr:uid="{00000000-0005-0000-0000-00000C110000}"/>
    <cellStyle name="40% - Ênfase1 10 3 2" xfId="4447" xr:uid="{00000000-0005-0000-0000-00000D110000}"/>
    <cellStyle name="40% - Ênfase1 10 4" xfId="4448" xr:uid="{00000000-0005-0000-0000-00000E110000}"/>
    <cellStyle name="40% - Ênfase1 10 4 2" xfId="4449" xr:uid="{00000000-0005-0000-0000-00000F110000}"/>
    <cellStyle name="40% - Ênfase1 10 5" xfId="4450" xr:uid="{00000000-0005-0000-0000-000010110000}"/>
    <cellStyle name="40% - Ênfase1 10 5 2" xfId="4451" xr:uid="{00000000-0005-0000-0000-000011110000}"/>
    <cellStyle name="40% - Ênfase1 10 6" xfId="4452" xr:uid="{00000000-0005-0000-0000-000012110000}"/>
    <cellStyle name="40% - Ênfase1 11" xfId="4453" xr:uid="{00000000-0005-0000-0000-000013110000}"/>
    <cellStyle name="40% - Ênfase1 11 2" xfId="4454" xr:uid="{00000000-0005-0000-0000-000014110000}"/>
    <cellStyle name="40% - Ênfase1 11 2 2" xfId="4455" xr:uid="{00000000-0005-0000-0000-000015110000}"/>
    <cellStyle name="40% - Ênfase1 11 2 3" xfId="26629" xr:uid="{00000000-0005-0000-0000-000016110000}"/>
    <cellStyle name="40% - Ênfase1 11 3" xfId="4456" xr:uid="{00000000-0005-0000-0000-000017110000}"/>
    <cellStyle name="40% - Ênfase1 11 3 2" xfId="4457" xr:uid="{00000000-0005-0000-0000-000018110000}"/>
    <cellStyle name="40% - Ênfase1 11 4" xfId="4458" xr:uid="{00000000-0005-0000-0000-000019110000}"/>
    <cellStyle name="40% - Ênfase1 11 4 2" xfId="4459" xr:uid="{00000000-0005-0000-0000-00001A110000}"/>
    <cellStyle name="40% - Ênfase1 11 5" xfId="4460" xr:uid="{00000000-0005-0000-0000-00001B110000}"/>
    <cellStyle name="40% - Ênfase1 11 5 2" xfId="4461" xr:uid="{00000000-0005-0000-0000-00001C110000}"/>
    <cellStyle name="40% - Ênfase1 11 6" xfId="4462" xr:uid="{00000000-0005-0000-0000-00001D110000}"/>
    <cellStyle name="40% - Ênfase1 11 7" xfId="25395" xr:uid="{00000000-0005-0000-0000-00001E110000}"/>
    <cellStyle name="40% - Ênfase1 12" xfId="4463" xr:uid="{00000000-0005-0000-0000-00001F110000}"/>
    <cellStyle name="40% - Ênfase1 12 2" xfId="4464" xr:uid="{00000000-0005-0000-0000-000020110000}"/>
    <cellStyle name="40% - Ênfase1 12 2 2" xfId="4465" xr:uid="{00000000-0005-0000-0000-000021110000}"/>
    <cellStyle name="40% - Ênfase1 12 2 2 2" xfId="26631" xr:uid="{00000000-0005-0000-0000-000022110000}"/>
    <cellStyle name="40% - Ênfase1 12 2 3" xfId="26630" xr:uid="{00000000-0005-0000-0000-000023110000}"/>
    <cellStyle name="40% - Ênfase1 12 3" xfId="4466" xr:uid="{00000000-0005-0000-0000-000024110000}"/>
    <cellStyle name="40% - Ênfase1 12 3 2" xfId="4467" xr:uid="{00000000-0005-0000-0000-000025110000}"/>
    <cellStyle name="40% - Ênfase1 12 4" xfId="4468" xr:uid="{00000000-0005-0000-0000-000026110000}"/>
    <cellStyle name="40% - Ênfase1 12 4 2" xfId="4469" xr:uid="{00000000-0005-0000-0000-000027110000}"/>
    <cellStyle name="40% - Ênfase1 12 5" xfId="4470" xr:uid="{00000000-0005-0000-0000-000028110000}"/>
    <cellStyle name="40% - Ênfase1 12 5 2" xfId="4471" xr:uid="{00000000-0005-0000-0000-000029110000}"/>
    <cellStyle name="40% - Ênfase1 12 6" xfId="4472" xr:uid="{00000000-0005-0000-0000-00002A110000}"/>
    <cellStyle name="40% - Ênfase1 13" xfId="4473" xr:uid="{00000000-0005-0000-0000-00002B110000}"/>
    <cellStyle name="40% - Ênfase1 13 2" xfId="4474" xr:uid="{00000000-0005-0000-0000-00002C110000}"/>
    <cellStyle name="40% - Ênfase1 14" xfId="4475" xr:uid="{00000000-0005-0000-0000-00002D110000}"/>
    <cellStyle name="40% - Ênfase1 14 2" xfId="4476" xr:uid="{00000000-0005-0000-0000-00002E110000}"/>
    <cellStyle name="40% - Ênfase1 15" xfId="4477" xr:uid="{00000000-0005-0000-0000-00002F110000}"/>
    <cellStyle name="40% - Ênfase1 15 2" xfId="4478" xr:uid="{00000000-0005-0000-0000-000030110000}"/>
    <cellStyle name="40% - Ênfase1 16" xfId="4479" xr:uid="{00000000-0005-0000-0000-000031110000}"/>
    <cellStyle name="40% - Ênfase1 16 2" xfId="4480" xr:uid="{00000000-0005-0000-0000-000032110000}"/>
    <cellStyle name="40% - Ênfase1 17" xfId="4481" xr:uid="{00000000-0005-0000-0000-000033110000}"/>
    <cellStyle name="40% - Ênfase1 17 2" xfId="4482" xr:uid="{00000000-0005-0000-0000-000034110000}"/>
    <cellStyle name="40% - Ênfase1 18" xfId="4483" xr:uid="{00000000-0005-0000-0000-000035110000}"/>
    <cellStyle name="40% - Ênfase1 18 2" xfId="4484" xr:uid="{00000000-0005-0000-0000-000036110000}"/>
    <cellStyle name="40% - Ênfase1 19" xfId="4485" xr:uid="{00000000-0005-0000-0000-000037110000}"/>
    <cellStyle name="40% - Ênfase1 19 2" xfId="4486" xr:uid="{00000000-0005-0000-0000-000038110000}"/>
    <cellStyle name="40% - Ênfase1 2" xfId="4487" xr:uid="{00000000-0005-0000-0000-000039110000}"/>
    <cellStyle name="40% - Ênfase1 2 2" xfId="4488" xr:uid="{00000000-0005-0000-0000-00003A110000}"/>
    <cellStyle name="40% - Ênfase1 2 2 10" xfId="4489" xr:uid="{00000000-0005-0000-0000-00003B110000}"/>
    <cellStyle name="40% - Ênfase1 2 2 10 2" xfId="4490" xr:uid="{00000000-0005-0000-0000-00003C110000}"/>
    <cellStyle name="40% - Ênfase1 2 2 11" xfId="4491" xr:uid="{00000000-0005-0000-0000-00003D110000}"/>
    <cellStyle name="40% - Ênfase1 2 2 11 2" xfId="4492" xr:uid="{00000000-0005-0000-0000-00003E110000}"/>
    <cellStyle name="40% - Ênfase1 2 2 12" xfId="4493" xr:uid="{00000000-0005-0000-0000-00003F110000}"/>
    <cellStyle name="40% - Ênfase1 2 2 12 2" xfId="4494" xr:uid="{00000000-0005-0000-0000-000040110000}"/>
    <cellStyle name="40% - Ênfase1 2 2 13" xfId="25396" xr:uid="{00000000-0005-0000-0000-000041110000}"/>
    <cellStyle name="40% - Ênfase1 2 2 2" xfId="4495" xr:uid="{00000000-0005-0000-0000-000042110000}"/>
    <cellStyle name="40% - Ênfase1 2 2 2 10" xfId="4496" xr:uid="{00000000-0005-0000-0000-000043110000}"/>
    <cellStyle name="40% - Ênfase1 2 2 2 11" xfId="4497" xr:uid="{00000000-0005-0000-0000-000044110000}"/>
    <cellStyle name="40% - Ênfase1 2 2 2 2" xfId="4498" xr:uid="{00000000-0005-0000-0000-000045110000}"/>
    <cellStyle name="40% - Ênfase1 2 2 2 2 2" xfId="25398" xr:uid="{00000000-0005-0000-0000-000046110000}"/>
    <cellStyle name="40% - Ênfase1 2 2 2 2 2 2" xfId="26636" xr:uid="{00000000-0005-0000-0000-000047110000}"/>
    <cellStyle name="40% - Ênfase1 2 2 2 2 3" xfId="26635" xr:uid="{00000000-0005-0000-0000-000048110000}"/>
    <cellStyle name="40% - Ênfase1 2 2 2 2 4" xfId="25397" xr:uid="{00000000-0005-0000-0000-000049110000}"/>
    <cellStyle name="40% - Ênfase1 2 2 2 3" xfId="4499" xr:uid="{00000000-0005-0000-0000-00004A110000}"/>
    <cellStyle name="40% - Ênfase1 2 2 2 3 2" xfId="26637" xr:uid="{00000000-0005-0000-0000-00004B110000}"/>
    <cellStyle name="40% - Ênfase1 2 2 2 3 3" xfId="25399" xr:uid="{00000000-0005-0000-0000-00004C110000}"/>
    <cellStyle name="40% - Ênfase1 2 2 2 4" xfId="4500" xr:uid="{00000000-0005-0000-0000-00004D110000}"/>
    <cellStyle name="40% - Ênfase1 2 2 2 4 2" xfId="26634" xr:uid="{00000000-0005-0000-0000-00004E110000}"/>
    <cellStyle name="40% - Ênfase1 2 2 2 5" xfId="4501" xr:uid="{00000000-0005-0000-0000-00004F110000}"/>
    <cellStyle name="40% - Ênfase1 2 2 2 6" xfId="4502" xr:uid="{00000000-0005-0000-0000-000050110000}"/>
    <cellStyle name="40% - Ênfase1 2 2 2 7" xfId="4503" xr:uid="{00000000-0005-0000-0000-000051110000}"/>
    <cellStyle name="40% - Ênfase1 2 2 2 8" xfId="4504" xr:uid="{00000000-0005-0000-0000-000052110000}"/>
    <cellStyle name="40% - Ênfase1 2 2 2 9" xfId="4505" xr:uid="{00000000-0005-0000-0000-000053110000}"/>
    <cellStyle name="40% - Ênfase1 2 2 3" xfId="4506" xr:uid="{00000000-0005-0000-0000-000054110000}"/>
    <cellStyle name="40% - Ênfase1 2 2 3 2" xfId="25401" xr:uid="{00000000-0005-0000-0000-000055110000}"/>
    <cellStyle name="40% - Ênfase1 2 2 3 2 2" xfId="25402" xr:uid="{00000000-0005-0000-0000-000056110000}"/>
    <cellStyle name="40% - Ênfase1 2 2 3 2 2 2" xfId="26640" xr:uid="{00000000-0005-0000-0000-000057110000}"/>
    <cellStyle name="40% - Ênfase1 2 2 3 2 3" xfId="26639" xr:uid="{00000000-0005-0000-0000-000058110000}"/>
    <cellStyle name="40% - Ênfase1 2 2 3 3" xfId="25403" xr:uid="{00000000-0005-0000-0000-000059110000}"/>
    <cellStyle name="40% - Ênfase1 2 2 3 3 2" xfId="26641" xr:uid="{00000000-0005-0000-0000-00005A110000}"/>
    <cellStyle name="40% - Ênfase1 2 2 3 4" xfId="26638" xr:uid="{00000000-0005-0000-0000-00005B110000}"/>
    <cellStyle name="40% - Ênfase1 2 2 3 5" xfId="25400" xr:uid="{00000000-0005-0000-0000-00005C110000}"/>
    <cellStyle name="40% - Ênfase1 2 2 4" xfId="4507" xr:uid="{00000000-0005-0000-0000-00005D110000}"/>
    <cellStyle name="40% - Ênfase1 2 2 4 2" xfId="26642" xr:uid="{00000000-0005-0000-0000-00005E110000}"/>
    <cellStyle name="40% - Ênfase1 2 2 4 3" xfId="25404" xr:uid="{00000000-0005-0000-0000-00005F110000}"/>
    <cellStyle name="40% - Ênfase1 2 2 5" xfId="4508" xr:uid="{00000000-0005-0000-0000-000060110000}"/>
    <cellStyle name="40% - Ênfase1 2 2 5 2" xfId="4509" xr:uid="{00000000-0005-0000-0000-000061110000}"/>
    <cellStyle name="40% - Ênfase1 2 2 5 3" xfId="26633" xr:uid="{00000000-0005-0000-0000-000062110000}"/>
    <cellStyle name="40% - Ênfase1 2 2 6" xfId="4510" xr:uid="{00000000-0005-0000-0000-000063110000}"/>
    <cellStyle name="40% - Ênfase1 2 2 6 2" xfId="4511" xr:uid="{00000000-0005-0000-0000-000064110000}"/>
    <cellStyle name="40% - Ênfase1 2 2 7" xfId="4512" xr:uid="{00000000-0005-0000-0000-000065110000}"/>
    <cellStyle name="40% - Ênfase1 2 2 7 2" xfId="4513" xr:uid="{00000000-0005-0000-0000-000066110000}"/>
    <cellStyle name="40% - Ênfase1 2 2 8" xfId="4514" xr:uid="{00000000-0005-0000-0000-000067110000}"/>
    <cellStyle name="40% - Ênfase1 2 2 8 2" xfId="4515" xr:uid="{00000000-0005-0000-0000-000068110000}"/>
    <cellStyle name="40% - Ênfase1 2 2 9" xfId="4516" xr:uid="{00000000-0005-0000-0000-000069110000}"/>
    <cellStyle name="40% - Ênfase1 2 2 9 2" xfId="4517" xr:uid="{00000000-0005-0000-0000-00006A110000}"/>
    <cellStyle name="40% - Ênfase1 2 3" xfId="4518" xr:uid="{00000000-0005-0000-0000-00006B110000}"/>
    <cellStyle name="40% - Ênfase1 2 3 2" xfId="25406" xr:uid="{00000000-0005-0000-0000-00006C110000}"/>
    <cellStyle name="40% - Ênfase1 2 3 2 2" xfId="25407" xr:uid="{00000000-0005-0000-0000-00006D110000}"/>
    <cellStyle name="40% - Ênfase1 2 3 2 2 2" xfId="26645" xr:uid="{00000000-0005-0000-0000-00006E110000}"/>
    <cellStyle name="40% - Ênfase1 2 3 2 3" xfId="26644" xr:uid="{00000000-0005-0000-0000-00006F110000}"/>
    <cellStyle name="40% - Ênfase1 2 3 3" xfId="25408" xr:uid="{00000000-0005-0000-0000-000070110000}"/>
    <cellStyle name="40% - Ênfase1 2 3 3 2" xfId="26646" xr:uid="{00000000-0005-0000-0000-000071110000}"/>
    <cellStyle name="40% - Ênfase1 2 3 4" xfId="26643" xr:uid="{00000000-0005-0000-0000-000072110000}"/>
    <cellStyle name="40% - Ênfase1 2 3 5" xfId="25405" xr:uid="{00000000-0005-0000-0000-000073110000}"/>
    <cellStyle name="40% - Ênfase1 2 4" xfId="4519" xr:uid="{00000000-0005-0000-0000-000074110000}"/>
    <cellStyle name="40% - Ênfase1 2 4 2" xfId="25410" xr:uid="{00000000-0005-0000-0000-000075110000}"/>
    <cellStyle name="40% - Ênfase1 2 4 2 2" xfId="25411" xr:uid="{00000000-0005-0000-0000-000076110000}"/>
    <cellStyle name="40% - Ênfase1 2 4 2 2 2" xfId="26649" xr:uid="{00000000-0005-0000-0000-000077110000}"/>
    <cellStyle name="40% - Ênfase1 2 4 2 3" xfId="26648" xr:uid="{00000000-0005-0000-0000-000078110000}"/>
    <cellStyle name="40% - Ênfase1 2 4 3" xfId="25412" xr:uid="{00000000-0005-0000-0000-000079110000}"/>
    <cellStyle name="40% - Ênfase1 2 4 3 2" xfId="26650" xr:uid="{00000000-0005-0000-0000-00007A110000}"/>
    <cellStyle name="40% - Ênfase1 2 4 4" xfId="26647" xr:uid="{00000000-0005-0000-0000-00007B110000}"/>
    <cellStyle name="40% - Ênfase1 2 4 5" xfId="25409" xr:uid="{00000000-0005-0000-0000-00007C110000}"/>
    <cellStyle name="40% - Ênfase1 2 5" xfId="4520" xr:uid="{00000000-0005-0000-0000-00007D110000}"/>
    <cellStyle name="40% - Ênfase1 2 5 10" xfId="4521" xr:uid="{00000000-0005-0000-0000-00007E110000}"/>
    <cellStyle name="40% - Ênfase1 2 5 10 2" xfId="4522" xr:uid="{00000000-0005-0000-0000-00007F110000}"/>
    <cellStyle name="40% - Ênfase1 2 5 2" xfId="4523" xr:uid="{00000000-0005-0000-0000-000080110000}"/>
    <cellStyle name="40% - Ênfase1 2 5 2 2" xfId="4524" xr:uid="{00000000-0005-0000-0000-000081110000}"/>
    <cellStyle name="40% - Ênfase1 2 5 3" xfId="4525" xr:uid="{00000000-0005-0000-0000-000082110000}"/>
    <cellStyle name="40% - Ênfase1 2 5 3 2" xfId="4526" xr:uid="{00000000-0005-0000-0000-000083110000}"/>
    <cellStyle name="40% - Ênfase1 2 5 4" xfId="4527" xr:uid="{00000000-0005-0000-0000-000084110000}"/>
    <cellStyle name="40% - Ênfase1 2 5 4 2" xfId="4528" xr:uid="{00000000-0005-0000-0000-000085110000}"/>
    <cellStyle name="40% - Ênfase1 2 5 5" xfId="4529" xr:uid="{00000000-0005-0000-0000-000086110000}"/>
    <cellStyle name="40% - Ênfase1 2 5 5 2" xfId="4530" xr:uid="{00000000-0005-0000-0000-000087110000}"/>
    <cellStyle name="40% - Ênfase1 2 5 6" xfId="4531" xr:uid="{00000000-0005-0000-0000-000088110000}"/>
    <cellStyle name="40% - Ênfase1 2 5 6 2" xfId="4532" xr:uid="{00000000-0005-0000-0000-000089110000}"/>
    <cellStyle name="40% - Ênfase1 2 5 7" xfId="4533" xr:uid="{00000000-0005-0000-0000-00008A110000}"/>
    <cellStyle name="40% - Ênfase1 2 5 7 2" xfId="4534" xr:uid="{00000000-0005-0000-0000-00008B110000}"/>
    <cellStyle name="40% - Ênfase1 2 5 8" xfId="4535" xr:uid="{00000000-0005-0000-0000-00008C110000}"/>
    <cellStyle name="40% - Ênfase1 2 5 8 2" xfId="4536" xr:uid="{00000000-0005-0000-0000-00008D110000}"/>
    <cellStyle name="40% - Ênfase1 2 5 9" xfId="4537" xr:uid="{00000000-0005-0000-0000-00008E110000}"/>
    <cellStyle name="40% - Ênfase1 2 5 9 2" xfId="4538" xr:uid="{00000000-0005-0000-0000-00008F110000}"/>
    <cellStyle name="40% - Ênfase1 2 6" xfId="4539" xr:uid="{00000000-0005-0000-0000-000090110000}"/>
    <cellStyle name="40% - Ênfase1 2 6 2" xfId="4540" xr:uid="{00000000-0005-0000-0000-000091110000}"/>
    <cellStyle name="40% - Ênfase1 2 6 2 2" xfId="4541" xr:uid="{00000000-0005-0000-0000-000092110000}"/>
    <cellStyle name="40% - Ênfase1 2 6 3" xfId="4542" xr:uid="{00000000-0005-0000-0000-000093110000}"/>
    <cellStyle name="40% - Ênfase1 2 6 3 2" xfId="4543" xr:uid="{00000000-0005-0000-0000-000094110000}"/>
    <cellStyle name="40% - Ênfase1 2 6 4" xfId="4544" xr:uid="{00000000-0005-0000-0000-000095110000}"/>
    <cellStyle name="40% - Ênfase1 2 6 4 2" xfId="4545" xr:uid="{00000000-0005-0000-0000-000096110000}"/>
    <cellStyle name="40% - Ênfase1 2 6 5" xfId="4546" xr:uid="{00000000-0005-0000-0000-000097110000}"/>
    <cellStyle name="40% - Ênfase1 2 6 5 2" xfId="4547" xr:uid="{00000000-0005-0000-0000-000098110000}"/>
    <cellStyle name="40% - Ênfase1 2 6 6" xfId="4548" xr:uid="{00000000-0005-0000-0000-000099110000}"/>
    <cellStyle name="40% - Ênfase1 2 7" xfId="26632" xr:uid="{00000000-0005-0000-0000-00009A110000}"/>
    <cellStyle name="40% - Ênfase1 20" xfId="4549" xr:uid="{00000000-0005-0000-0000-00009B110000}"/>
    <cellStyle name="40% - Ênfase1 20 2" xfId="4550" xr:uid="{00000000-0005-0000-0000-00009C110000}"/>
    <cellStyle name="40% - Ênfase1 21" xfId="4551" xr:uid="{00000000-0005-0000-0000-00009D110000}"/>
    <cellStyle name="40% - Ênfase1 21 2" xfId="4552" xr:uid="{00000000-0005-0000-0000-00009E110000}"/>
    <cellStyle name="40% - Ênfase1 22" xfId="4553" xr:uid="{00000000-0005-0000-0000-00009F110000}"/>
    <cellStyle name="40% - Ênfase1 22 2" xfId="4554" xr:uid="{00000000-0005-0000-0000-0000A0110000}"/>
    <cellStyle name="40% - Ênfase1 23" xfId="4555" xr:uid="{00000000-0005-0000-0000-0000A1110000}"/>
    <cellStyle name="40% - Ênfase1 23 2" xfId="4556" xr:uid="{00000000-0005-0000-0000-0000A2110000}"/>
    <cellStyle name="40% - Ênfase1 24" xfId="4557" xr:uid="{00000000-0005-0000-0000-0000A3110000}"/>
    <cellStyle name="40% - Ênfase1 24 2" xfId="4558" xr:uid="{00000000-0005-0000-0000-0000A4110000}"/>
    <cellStyle name="40% - Ênfase1 25" xfId="4559" xr:uid="{00000000-0005-0000-0000-0000A5110000}"/>
    <cellStyle name="40% - Ênfase1 25 2" xfId="4560" xr:uid="{00000000-0005-0000-0000-0000A6110000}"/>
    <cellStyle name="40% - Ênfase1 26" xfId="4561" xr:uid="{00000000-0005-0000-0000-0000A7110000}"/>
    <cellStyle name="40% - Ênfase1 26 2" xfId="4562" xr:uid="{00000000-0005-0000-0000-0000A8110000}"/>
    <cellStyle name="40% - Ênfase1 27" xfId="4563" xr:uid="{00000000-0005-0000-0000-0000A9110000}"/>
    <cellStyle name="40% - Ênfase1 27 2" xfId="4564" xr:uid="{00000000-0005-0000-0000-0000AA110000}"/>
    <cellStyle name="40% - Ênfase1 28" xfId="4565" xr:uid="{00000000-0005-0000-0000-0000AB110000}"/>
    <cellStyle name="40% - Ênfase1 28 2" xfId="4566" xr:uid="{00000000-0005-0000-0000-0000AC110000}"/>
    <cellStyle name="40% - Ênfase1 29" xfId="4567" xr:uid="{00000000-0005-0000-0000-0000AD110000}"/>
    <cellStyle name="40% - Ênfase1 29 2" xfId="4568" xr:uid="{00000000-0005-0000-0000-0000AE110000}"/>
    <cellStyle name="40% - Ênfase1 3" xfId="4569" xr:uid="{00000000-0005-0000-0000-0000AF110000}"/>
    <cellStyle name="40% - Ênfase1 3 2" xfId="4570" xr:uid="{00000000-0005-0000-0000-0000B0110000}"/>
    <cellStyle name="40% - Ênfase1 3 2 10" xfId="4571" xr:uid="{00000000-0005-0000-0000-0000B1110000}"/>
    <cellStyle name="40% - Ênfase1 3 2 10 2" xfId="4572" xr:uid="{00000000-0005-0000-0000-0000B2110000}"/>
    <cellStyle name="40% - Ênfase1 3 2 11" xfId="4573" xr:uid="{00000000-0005-0000-0000-0000B3110000}"/>
    <cellStyle name="40% - Ênfase1 3 2 11 2" xfId="4574" xr:uid="{00000000-0005-0000-0000-0000B4110000}"/>
    <cellStyle name="40% - Ênfase1 3 2 12" xfId="4575" xr:uid="{00000000-0005-0000-0000-0000B5110000}"/>
    <cellStyle name="40% - Ênfase1 3 2 12 2" xfId="4576" xr:uid="{00000000-0005-0000-0000-0000B6110000}"/>
    <cellStyle name="40% - Ênfase1 3 2 2" xfId="4577" xr:uid="{00000000-0005-0000-0000-0000B7110000}"/>
    <cellStyle name="40% - Ênfase1 3 2 2 10" xfId="4578" xr:uid="{00000000-0005-0000-0000-0000B8110000}"/>
    <cellStyle name="40% - Ênfase1 3 2 2 11" xfId="4579" xr:uid="{00000000-0005-0000-0000-0000B9110000}"/>
    <cellStyle name="40% - Ênfase1 3 2 2 2" xfId="4580" xr:uid="{00000000-0005-0000-0000-0000BA110000}"/>
    <cellStyle name="40% - Ênfase1 3 2 2 2 2" xfId="25414" xr:uid="{00000000-0005-0000-0000-0000BB110000}"/>
    <cellStyle name="40% - Ênfase1 3 2 2 2 2 2" xfId="26654" xr:uid="{00000000-0005-0000-0000-0000BC110000}"/>
    <cellStyle name="40% - Ênfase1 3 2 2 2 3" xfId="26653" xr:uid="{00000000-0005-0000-0000-0000BD110000}"/>
    <cellStyle name="40% - Ênfase1 3 2 2 2 4" xfId="25413" xr:uid="{00000000-0005-0000-0000-0000BE110000}"/>
    <cellStyle name="40% - Ênfase1 3 2 2 3" xfId="4581" xr:uid="{00000000-0005-0000-0000-0000BF110000}"/>
    <cellStyle name="40% - Ênfase1 3 2 2 3 2" xfId="26655" xr:uid="{00000000-0005-0000-0000-0000C0110000}"/>
    <cellStyle name="40% - Ênfase1 3 2 2 3 3" xfId="25415" xr:uid="{00000000-0005-0000-0000-0000C1110000}"/>
    <cellStyle name="40% - Ênfase1 3 2 2 4" xfId="4582" xr:uid="{00000000-0005-0000-0000-0000C2110000}"/>
    <cellStyle name="40% - Ênfase1 3 2 2 4 2" xfId="26652" xr:uid="{00000000-0005-0000-0000-0000C3110000}"/>
    <cellStyle name="40% - Ênfase1 3 2 2 5" xfId="4583" xr:uid="{00000000-0005-0000-0000-0000C4110000}"/>
    <cellStyle name="40% - Ênfase1 3 2 2 6" xfId="4584" xr:uid="{00000000-0005-0000-0000-0000C5110000}"/>
    <cellStyle name="40% - Ênfase1 3 2 2 7" xfId="4585" xr:uid="{00000000-0005-0000-0000-0000C6110000}"/>
    <cellStyle name="40% - Ênfase1 3 2 2 8" xfId="4586" xr:uid="{00000000-0005-0000-0000-0000C7110000}"/>
    <cellStyle name="40% - Ênfase1 3 2 2 9" xfId="4587" xr:uid="{00000000-0005-0000-0000-0000C8110000}"/>
    <cellStyle name="40% - Ênfase1 3 2 3" xfId="4588" xr:uid="{00000000-0005-0000-0000-0000C9110000}"/>
    <cellStyle name="40% - Ênfase1 3 2 3 2" xfId="25417" xr:uid="{00000000-0005-0000-0000-0000CA110000}"/>
    <cellStyle name="40% - Ênfase1 3 2 3 2 2" xfId="26657" xr:uid="{00000000-0005-0000-0000-0000CB110000}"/>
    <cellStyle name="40% - Ênfase1 3 2 3 3" xfId="26656" xr:uid="{00000000-0005-0000-0000-0000CC110000}"/>
    <cellStyle name="40% - Ênfase1 3 2 3 4" xfId="25416" xr:uid="{00000000-0005-0000-0000-0000CD110000}"/>
    <cellStyle name="40% - Ênfase1 3 2 4" xfId="4589" xr:uid="{00000000-0005-0000-0000-0000CE110000}"/>
    <cellStyle name="40% - Ênfase1 3 2 4 2" xfId="26658" xr:uid="{00000000-0005-0000-0000-0000CF110000}"/>
    <cellStyle name="40% - Ênfase1 3 2 4 3" xfId="25418" xr:uid="{00000000-0005-0000-0000-0000D0110000}"/>
    <cellStyle name="40% - Ênfase1 3 2 5" xfId="4590" xr:uid="{00000000-0005-0000-0000-0000D1110000}"/>
    <cellStyle name="40% - Ênfase1 3 2 5 2" xfId="4591" xr:uid="{00000000-0005-0000-0000-0000D2110000}"/>
    <cellStyle name="40% - Ênfase1 3 2 6" xfId="4592" xr:uid="{00000000-0005-0000-0000-0000D3110000}"/>
    <cellStyle name="40% - Ênfase1 3 2 6 2" xfId="4593" xr:uid="{00000000-0005-0000-0000-0000D4110000}"/>
    <cellStyle name="40% - Ênfase1 3 2 7" xfId="4594" xr:uid="{00000000-0005-0000-0000-0000D5110000}"/>
    <cellStyle name="40% - Ênfase1 3 2 7 2" xfId="4595" xr:uid="{00000000-0005-0000-0000-0000D6110000}"/>
    <cellStyle name="40% - Ênfase1 3 2 8" xfId="4596" xr:uid="{00000000-0005-0000-0000-0000D7110000}"/>
    <cellStyle name="40% - Ênfase1 3 2 8 2" xfId="4597" xr:uid="{00000000-0005-0000-0000-0000D8110000}"/>
    <cellStyle name="40% - Ênfase1 3 2 9" xfId="4598" xr:uid="{00000000-0005-0000-0000-0000D9110000}"/>
    <cellStyle name="40% - Ênfase1 3 2 9 2" xfId="4599" xr:uid="{00000000-0005-0000-0000-0000DA110000}"/>
    <cellStyle name="40% - Ênfase1 3 3" xfId="4600" xr:uid="{00000000-0005-0000-0000-0000DB110000}"/>
    <cellStyle name="40% - Ênfase1 3 3 2" xfId="25420" xr:uid="{00000000-0005-0000-0000-0000DC110000}"/>
    <cellStyle name="40% - Ênfase1 3 3 2 2" xfId="25421" xr:uid="{00000000-0005-0000-0000-0000DD110000}"/>
    <cellStyle name="40% - Ênfase1 3 3 2 2 2" xfId="26661" xr:uid="{00000000-0005-0000-0000-0000DE110000}"/>
    <cellStyle name="40% - Ênfase1 3 3 2 3" xfId="26660" xr:uid="{00000000-0005-0000-0000-0000DF110000}"/>
    <cellStyle name="40% - Ênfase1 3 3 3" xfId="25422" xr:uid="{00000000-0005-0000-0000-0000E0110000}"/>
    <cellStyle name="40% - Ênfase1 3 3 3 2" xfId="26662" xr:uid="{00000000-0005-0000-0000-0000E1110000}"/>
    <cellStyle name="40% - Ênfase1 3 3 4" xfId="26659" xr:uid="{00000000-0005-0000-0000-0000E2110000}"/>
    <cellStyle name="40% - Ênfase1 3 3 5" xfId="25419" xr:uid="{00000000-0005-0000-0000-0000E3110000}"/>
    <cellStyle name="40% - Ênfase1 3 4" xfId="4601" xr:uid="{00000000-0005-0000-0000-0000E4110000}"/>
    <cellStyle name="40% - Ênfase1 3 4 2" xfId="26663" xr:uid="{00000000-0005-0000-0000-0000E5110000}"/>
    <cellStyle name="40% - Ênfase1 3 5" xfId="4602" xr:uid="{00000000-0005-0000-0000-0000E6110000}"/>
    <cellStyle name="40% - Ênfase1 3 5 10" xfId="4603" xr:uid="{00000000-0005-0000-0000-0000E7110000}"/>
    <cellStyle name="40% - Ênfase1 3 5 10 2" xfId="4604" xr:uid="{00000000-0005-0000-0000-0000E8110000}"/>
    <cellStyle name="40% - Ênfase1 3 5 2" xfId="4605" xr:uid="{00000000-0005-0000-0000-0000E9110000}"/>
    <cellStyle name="40% - Ênfase1 3 5 2 2" xfId="4606" xr:uid="{00000000-0005-0000-0000-0000EA110000}"/>
    <cellStyle name="40% - Ênfase1 3 5 3" xfId="4607" xr:uid="{00000000-0005-0000-0000-0000EB110000}"/>
    <cellStyle name="40% - Ênfase1 3 5 3 2" xfId="4608" xr:uid="{00000000-0005-0000-0000-0000EC110000}"/>
    <cellStyle name="40% - Ênfase1 3 5 4" xfId="4609" xr:uid="{00000000-0005-0000-0000-0000ED110000}"/>
    <cellStyle name="40% - Ênfase1 3 5 4 2" xfId="4610" xr:uid="{00000000-0005-0000-0000-0000EE110000}"/>
    <cellStyle name="40% - Ênfase1 3 5 5" xfId="4611" xr:uid="{00000000-0005-0000-0000-0000EF110000}"/>
    <cellStyle name="40% - Ênfase1 3 5 5 2" xfId="4612" xr:uid="{00000000-0005-0000-0000-0000F0110000}"/>
    <cellStyle name="40% - Ênfase1 3 5 6" xfId="4613" xr:uid="{00000000-0005-0000-0000-0000F1110000}"/>
    <cellStyle name="40% - Ênfase1 3 5 6 2" xfId="4614" xr:uid="{00000000-0005-0000-0000-0000F2110000}"/>
    <cellStyle name="40% - Ênfase1 3 5 7" xfId="4615" xr:uid="{00000000-0005-0000-0000-0000F3110000}"/>
    <cellStyle name="40% - Ênfase1 3 5 7 2" xfId="4616" xr:uid="{00000000-0005-0000-0000-0000F4110000}"/>
    <cellStyle name="40% - Ênfase1 3 5 8" xfId="4617" xr:uid="{00000000-0005-0000-0000-0000F5110000}"/>
    <cellStyle name="40% - Ênfase1 3 5 8 2" xfId="4618" xr:uid="{00000000-0005-0000-0000-0000F6110000}"/>
    <cellStyle name="40% - Ênfase1 3 5 9" xfId="4619" xr:uid="{00000000-0005-0000-0000-0000F7110000}"/>
    <cellStyle name="40% - Ênfase1 3 5 9 2" xfId="4620" xr:uid="{00000000-0005-0000-0000-0000F8110000}"/>
    <cellStyle name="40% - Ênfase1 3 6" xfId="4621" xr:uid="{00000000-0005-0000-0000-0000F9110000}"/>
    <cellStyle name="40% - Ênfase1 3 6 2" xfId="4622" xr:uid="{00000000-0005-0000-0000-0000FA110000}"/>
    <cellStyle name="40% - Ênfase1 3 6 2 2" xfId="4623" xr:uid="{00000000-0005-0000-0000-0000FB110000}"/>
    <cellStyle name="40% - Ênfase1 3 6 3" xfId="4624" xr:uid="{00000000-0005-0000-0000-0000FC110000}"/>
    <cellStyle name="40% - Ênfase1 3 6 3 2" xfId="4625" xr:uid="{00000000-0005-0000-0000-0000FD110000}"/>
    <cellStyle name="40% - Ênfase1 3 6 4" xfId="4626" xr:uid="{00000000-0005-0000-0000-0000FE110000}"/>
    <cellStyle name="40% - Ênfase1 3 6 4 2" xfId="4627" xr:uid="{00000000-0005-0000-0000-0000FF110000}"/>
    <cellStyle name="40% - Ênfase1 3 6 5" xfId="4628" xr:uid="{00000000-0005-0000-0000-000000120000}"/>
    <cellStyle name="40% - Ênfase1 3 6 5 2" xfId="4629" xr:uid="{00000000-0005-0000-0000-000001120000}"/>
    <cellStyle name="40% - Ênfase1 3 6 6" xfId="4630" xr:uid="{00000000-0005-0000-0000-000002120000}"/>
    <cellStyle name="40% - Ênfase1 3 7" xfId="25423" xr:uid="{00000000-0005-0000-0000-000003120000}"/>
    <cellStyle name="40% - Ênfase1 3 7 2" xfId="26664" xr:uid="{00000000-0005-0000-0000-000004120000}"/>
    <cellStyle name="40% - Ênfase1 3 8" xfId="26651" xr:uid="{00000000-0005-0000-0000-000005120000}"/>
    <cellStyle name="40% - Ênfase1 30" xfId="4631" xr:uid="{00000000-0005-0000-0000-000006120000}"/>
    <cellStyle name="40% - Ênfase1 30 2" xfId="4632" xr:uid="{00000000-0005-0000-0000-000007120000}"/>
    <cellStyle name="40% - Ênfase1 31" xfId="4633" xr:uid="{00000000-0005-0000-0000-000008120000}"/>
    <cellStyle name="40% - Ênfase1 31 2" xfId="4634" xr:uid="{00000000-0005-0000-0000-000009120000}"/>
    <cellStyle name="40% - Ênfase1 32" xfId="4635" xr:uid="{00000000-0005-0000-0000-00000A120000}"/>
    <cellStyle name="40% - Ênfase1 32 2" xfId="4636" xr:uid="{00000000-0005-0000-0000-00000B120000}"/>
    <cellStyle name="40% - Ênfase1 33" xfId="4637" xr:uid="{00000000-0005-0000-0000-00000C120000}"/>
    <cellStyle name="40% - Ênfase1 33 2" xfId="4638" xr:uid="{00000000-0005-0000-0000-00000D120000}"/>
    <cellStyle name="40% - Ênfase1 34" xfId="4639" xr:uid="{00000000-0005-0000-0000-00000E120000}"/>
    <cellStyle name="40% - Ênfase1 34 2" xfId="4640" xr:uid="{00000000-0005-0000-0000-00000F120000}"/>
    <cellStyle name="40% - Ênfase1 35" xfId="4641" xr:uid="{00000000-0005-0000-0000-000010120000}"/>
    <cellStyle name="40% - Ênfase1 35 2" xfId="4642" xr:uid="{00000000-0005-0000-0000-000011120000}"/>
    <cellStyle name="40% - Ênfase1 36" xfId="4643" xr:uid="{00000000-0005-0000-0000-000012120000}"/>
    <cellStyle name="40% - Ênfase1 36 2" xfId="4644" xr:uid="{00000000-0005-0000-0000-000013120000}"/>
    <cellStyle name="40% - Ênfase1 37" xfId="4645" xr:uid="{00000000-0005-0000-0000-000014120000}"/>
    <cellStyle name="40% - Ênfase1 37 2" xfId="4646" xr:uid="{00000000-0005-0000-0000-000015120000}"/>
    <cellStyle name="40% - Ênfase1 38" xfId="4647" xr:uid="{00000000-0005-0000-0000-000016120000}"/>
    <cellStyle name="40% - Ênfase1 38 2" xfId="4648" xr:uid="{00000000-0005-0000-0000-000017120000}"/>
    <cellStyle name="40% - Ênfase1 39" xfId="4649" xr:uid="{00000000-0005-0000-0000-000018120000}"/>
    <cellStyle name="40% - Ênfase1 39 2" xfId="4650" xr:uid="{00000000-0005-0000-0000-000019120000}"/>
    <cellStyle name="40% - Ênfase1 4" xfId="4651" xr:uid="{00000000-0005-0000-0000-00001A120000}"/>
    <cellStyle name="40% - Ênfase1 4 2" xfId="4652" xr:uid="{00000000-0005-0000-0000-00001B120000}"/>
    <cellStyle name="40% - Ênfase1 4 2 10" xfId="4653" xr:uid="{00000000-0005-0000-0000-00001C120000}"/>
    <cellStyle name="40% - Ênfase1 4 2 10 2" xfId="4654" xr:uid="{00000000-0005-0000-0000-00001D120000}"/>
    <cellStyle name="40% - Ênfase1 4 2 11" xfId="4655" xr:uid="{00000000-0005-0000-0000-00001E120000}"/>
    <cellStyle name="40% - Ênfase1 4 2 11 2" xfId="4656" xr:uid="{00000000-0005-0000-0000-00001F120000}"/>
    <cellStyle name="40% - Ênfase1 4 2 12" xfId="4657" xr:uid="{00000000-0005-0000-0000-000020120000}"/>
    <cellStyle name="40% - Ênfase1 4 2 12 2" xfId="4658" xr:uid="{00000000-0005-0000-0000-000021120000}"/>
    <cellStyle name="40% - Ênfase1 4 2 2" xfId="4659" xr:uid="{00000000-0005-0000-0000-000022120000}"/>
    <cellStyle name="40% - Ênfase1 4 2 2 10" xfId="4660" xr:uid="{00000000-0005-0000-0000-000023120000}"/>
    <cellStyle name="40% - Ênfase1 4 2 2 11" xfId="4661" xr:uid="{00000000-0005-0000-0000-000024120000}"/>
    <cellStyle name="40% - Ênfase1 4 2 2 2" xfId="4662" xr:uid="{00000000-0005-0000-0000-000025120000}"/>
    <cellStyle name="40% - Ênfase1 4 2 2 2 2" xfId="25425" xr:uid="{00000000-0005-0000-0000-000026120000}"/>
    <cellStyle name="40% - Ênfase1 4 2 2 2 2 2" xfId="26668" xr:uid="{00000000-0005-0000-0000-000027120000}"/>
    <cellStyle name="40% - Ênfase1 4 2 2 2 3" xfId="26667" xr:uid="{00000000-0005-0000-0000-000028120000}"/>
    <cellStyle name="40% - Ênfase1 4 2 2 2 4" xfId="25424" xr:uid="{00000000-0005-0000-0000-000029120000}"/>
    <cellStyle name="40% - Ênfase1 4 2 2 3" xfId="4663" xr:uid="{00000000-0005-0000-0000-00002A120000}"/>
    <cellStyle name="40% - Ênfase1 4 2 2 3 2" xfId="26669" xr:uid="{00000000-0005-0000-0000-00002B120000}"/>
    <cellStyle name="40% - Ênfase1 4 2 2 3 3" xfId="25426" xr:uid="{00000000-0005-0000-0000-00002C120000}"/>
    <cellStyle name="40% - Ênfase1 4 2 2 4" xfId="4664" xr:uid="{00000000-0005-0000-0000-00002D120000}"/>
    <cellStyle name="40% - Ênfase1 4 2 2 4 2" xfId="26666" xr:uid="{00000000-0005-0000-0000-00002E120000}"/>
    <cellStyle name="40% - Ênfase1 4 2 2 5" xfId="4665" xr:uid="{00000000-0005-0000-0000-00002F120000}"/>
    <cellStyle name="40% - Ênfase1 4 2 2 6" xfId="4666" xr:uid="{00000000-0005-0000-0000-000030120000}"/>
    <cellStyle name="40% - Ênfase1 4 2 2 7" xfId="4667" xr:uid="{00000000-0005-0000-0000-000031120000}"/>
    <cellStyle name="40% - Ênfase1 4 2 2 8" xfId="4668" xr:uid="{00000000-0005-0000-0000-000032120000}"/>
    <cellStyle name="40% - Ênfase1 4 2 2 9" xfId="4669" xr:uid="{00000000-0005-0000-0000-000033120000}"/>
    <cellStyle name="40% - Ênfase1 4 2 3" xfId="4670" xr:uid="{00000000-0005-0000-0000-000034120000}"/>
    <cellStyle name="40% - Ênfase1 4 2 3 2" xfId="25428" xr:uid="{00000000-0005-0000-0000-000035120000}"/>
    <cellStyle name="40% - Ênfase1 4 2 3 2 2" xfId="26671" xr:uid="{00000000-0005-0000-0000-000036120000}"/>
    <cellStyle name="40% - Ênfase1 4 2 3 3" xfId="26670" xr:uid="{00000000-0005-0000-0000-000037120000}"/>
    <cellStyle name="40% - Ênfase1 4 2 3 4" xfId="25427" xr:uid="{00000000-0005-0000-0000-000038120000}"/>
    <cellStyle name="40% - Ênfase1 4 2 4" xfId="4671" xr:uid="{00000000-0005-0000-0000-000039120000}"/>
    <cellStyle name="40% - Ênfase1 4 2 4 2" xfId="26672" xr:uid="{00000000-0005-0000-0000-00003A120000}"/>
    <cellStyle name="40% - Ênfase1 4 2 4 3" xfId="25429" xr:uid="{00000000-0005-0000-0000-00003B120000}"/>
    <cellStyle name="40% - Ênfase1 4 2 5" xfId="4672" xr:uid="{00000000-0005-0000-0000-00003C120000}"/>
    <cellStyle name="40% - Ênfase1 4 2 5 2" xfId="4673" xr:uid="{00000000-0005-0000-0000-00003D120000}"/>
    <cellStyle name="40% - Ênfase1 4 2 6" xfId="4674" xr:uid="{00000000-0005-0000-0000-00003E120000}"/>
    <cellStyle name="40% - Ênfase1 4 2 6 2" xfId="4675" xr:uid="{00000000-0005-0000-0000-00003F120000}"/>
    <cellStyle name="40% - Ênfase1 4 2 7" xfId="4676" xr:uid="{00000000-0005-0000-0000-000040120000}"/>
    <cellStyle name="40% - Ênfase1 4 2 7 2" xfId="4677" xr:uid="{00000000-0005-0000-0000-000041120000}"/>
    <cellStyle name="40% - Ênfase1 4 2 8" xfId="4678" xr:uid="{00000000-0005-0000-0000-000042120000}"/>
    <cellStyle name="40% - Ênfase1 4 2 8 2" xfId="4679" xr:uid="{00000000-0005-0000-0000-000043120000}"/>
    <cellStyle name="40% - Ênfase1 4 2 9" xfId="4680" xr:uid="{00000000-0005-0000-0000-000044120000}"/>
    <cellStyle name="40% - Ênfase1 4 2 9 2" xfId="4681" xr:uid="{00000000-0005-0000-0000-000045120000}"/>
    <cellStyle name="40% - Ênfase1 4 3" xfId="4682" xr:uid="{00000000-0005-0000-0000-000046120000}"/>
    <cellStyle name="40% - Ênfase1 4 3 2" xfId="25431" xr:uid="{00000000-0005-0000-0000-000047120000}"/>
    <cellStyle name="40% - Ênfase1 4 3 2 2" xfId="25432" xr:uid="{00000000-0005-0000-0000-000048120000}"/>
    <cellStyle name="40% - Ênfase1 4 3 2 2 2" xfId="26675" xr:uid="{00000000-0005-0000-0000-000049120000}"/>
    <cellStyle name="40% - Ênfase1 4 3 2 3" xfId="26674" xr:uid="{00000000-0005-0000-0000-00004A120000}"/>
    <cellStyle name="40% - Ênfase1 4 3 3" xfId="25433" xr:uid="{00000000-0005-0000-0000-00004B120000}"/>
    <cellStyle name="40% - Ênfase1 4 3 3 2" xfId="26676" xr:uid="{00000000-0005-0000-0000-00004C120000}"/>
    <cellStyle name="40% - Ênfase1 4 3 4" xfId="26673" xr:uid="{00000000-0005-0000-0000-00004D120000}"/>
    <cellStyle name="40% - Ênfase1 4 3 5" xfId="25430" xr:uid="{00000000-0005-0000-0000-00004E120000}"/>
    <cellStyle name="40% - Ênfase1 4 4" xfId="4683" xr:uid="{00000000-0005-0000-0000-00004F120000}"/>
    <cellStyle name="40% - Ênfase1 4 4 2" xfId="26677" xr:uid="{00000000-0005-0000-0000-000050120000}"/>
    <cellStyle name="40% - Ênfase1 4 5" xfId="4684" xr:uid="{00000000-0005-0000-0000-000051120000}"/>
    <cellStyle name="40% - Ênfase1 4 5 10" xfId="4685" xr:uid="{00000000-0005-0000-0000-000052120000}"/>
    <cellStyle name="40% - Ênfase1 4 5 10 2" xfId="4686" xr:uid="{00000000-0005-0000-0000-000053120000}"/>
    <cellStyle name="40% - Ênfase1 4 5 2" xfId="4687" xr:uid="{00000000-0005-0000-0000-000054120000}"/>
    <cellStyle name="40% - Ênfase1 4 5 2 2" xfId="4688" xr:uid="{00000000-0005-0000-0000-000055120000}"/>
    <cellStyle name="40% - Ênfase1 4 5 3" xfId="4689" xr:uid="{00000000-0005-0000-0000-000056120000}"/>
    <cellStyle name="40% - Ênfase1 4 5 3 2" xfId="4690" xr:uid="{00000000-0005-0000-0000-000057120000}"/>
    <cellStyle name="40% - Ênfase1 4 5 4" xfId="4691" xr:uid="{00000000-0005-0000-0000-000058120000}"/>
    <cellStyle name="40% - Ênfase1 4 5 4 2" xfId="4692" xr:uid="{00000000-0005-0000-0000-000059120000}"/>
    <cellStyle name="40% - Ênfase1 4 5 5" xfId="4693" xr:uid="{00000000-0005-0000-0000-00005A120000}"/>
    <cellStyle name="40% - Ênfase1 4 5 5 2" xfId="4694" xr:uid="{00000000-0005-0000-0000-00005B120000}"/>
    <cellStyle name="40% - Ênfase1 4 5 6" xfId="4695" xr:uid="{00000000-0005-0000-0000-00005C120000}"/>
    <cellStyle name="40% - Ênfase1 4 5 6 2" xfId="4696" xr:uid="{00000000-0005-0000-0000-00005D120000}"/>
    <cellStyle name="40% - Ênfase1 4 5 7" xfId="4697" xr:uid="{00000000-0005-0000-0000-00005E120000}"/>
    <cellStyle name="40% - Ênfase1 4 5 7 2" xfId="4698" xr:uid="{00000000-0005-0000-0000-00005F120000}"/>
    <cellStyle name="40% - Ênfase1 4 5 8" xfId="4699" xr:uid="{00000000-0005-0000-0000-000060120000}"/>
    <cellStyle name="40% - Ênfase1 4 5 8 2" xfId="4700" xr:uid="{00000000-0005-0000-0000-000061120000}"/>
    <cellStyle name="40% - Ênfase1 4 5 9" xfId="4701" xr:uid="{00000000-0005-0000-0000-000062120000}"/>
    <cellStyle name="40% - Ênfase1 4 5 9 2" xfId="4702" xr:uid="{00000000-0005-0000-0000-000063120000}"/>
    <cellStyle name="40% - Ênfase1 4 6" xfId="4703" xr:uid="{00000000-0005-0000-0000-000064120000}"/>
    <cellStyle name="40% - Ênfase1 4 6 2" xfId="4704" xr:uid="{00000000-0005-0000-0000-000065120000}"/>
    <cellStyle name="40% - Ênfase1 4 6 2 2" xfId="4705" xr:uid="{00000000-0005-0000-0000-000066120000}"/>
    <cellStyle name="40% - Ênfase1 4 6 3" xfId="4706" xr:uid="{00000000-0005-0000-0000-000067120000}"/>
    <cellStyle name="40% - Ênfase1 4 6 3 2" xfId="4707" xr:uid="{00000000-0005-0000-0000-000068120000}"/>
    <cellStyle name="40% - Ênfase1 4 6 4" xfId="4708" xr:uid="{00000000-0005-0000-0000-000069120000}"/>
    <cellStyle name="40% - Ênfase1 4 6 4 2" xfId="4709" xr:uid="{00000000-0005-0000-0000-00006A120000}"/>
    <cellStyle name="40% - Ênfase1 4 6 5" xfId="4710" xr:uid="{00000000-0005-0000-0000-00006B120000}"/>
    <cellStyle name="40% - Ênfase1 4 6 5 2" xfId="4711" xr:uid="{00000000-0005-0000-0000-00006C120000}"/>
    <cellStyle name="40% - Ênfase1 4 6 6" xfId="4712" xr:uid="{00000000-0005-0000-0000-00006D120000}"/>
    <cellStyle name="40% - Ênfase1 4 7" xfId="26665" xr:uid="{00000000-0005-0000-0000-00006E120000}"/>
    <cellStyle name="40% - Ênfase1 40" xfId="4713" xr:uid="{00000000-0005-0000-0000-00006F120000}"/>
    <cellStyle name="40% - Ênfase1 40 2" xfId="4714" xr:uid="{00000000-0005-0000-0000-000070120000}"/>
    <cellStyle name="40% - Ênfase1 41" xfId="4715" xr:uid="{00000000-0005-0000-0000-000071120000}"/>
    <cellStyle name="40% - Ênfase1 41 2" xfId="4716" xr:uid="{00000000-0005-0000-0000-000072120000}"/>
    <cellStyle name="40% - Ênfase1 42" xfId="4717" xr:uid="{00000000-0005-0000-0000-000073120000}"/>
    <cellStyle name="40% - Ênfase1 42 2" xfId="4718" xr:uid="{00000000-0005-0000-0000-000074120000}"/>
    <cellStyle name="40% - Ênfase1 43" xfId="4719" xr:uid="{00000000-0005-0000-0000-000075120000}"/>
    <cellStyle name="40% - Ênfase1 43 2" xfId="4720" xr:uid="{00000000-0005-0000-0000-000076120000}"/>
    <cellStyle name="40% - Ênfase1 44" xfId="4721" xr:uid="{00000000-0005-0000-0000-000077120000}"/>
    <cellStyle name="40% - Ênfase1 44 2" xfId="4722" xr:uid="{00000000-0005-0000-0000-000078120000}"/>
    <cellStyle name="40% - Ênfase1 45" xfId="4723" xr:uid="{00000000-0005-0000-0000-000079120000}"/>
    <cellStyle name="40% - Ênfase1 45 2" xfId="4724" xr:uid="{00000000-0005-0000-0000-00007A120000}"/>
    <cellStyle name="40% - Ênfase1 46" xfId="4725" xr:uid="{00000000-0005-0000-0000-00007B120000}"/>
    <cellStyle name="40% - Ênfase1 46 2" xfId="4726" xr:uid="{00000000-0005-0000-0000-00007C120000}"/>
    <cellStyle name="40% - Ênfase1 47" xfId="4727" xr:uid="{00000000-0005-0000-0000-00007D120000}"/>
    <cellStyle name="40% - Ênfase1 47 2" xfId="4728" xr:uid="{00000000-0005-0000-0000-00007E120000}"/>
    <cellStyle name="40% - Ênfase1 48" xfId="4729" xr:uid="{00000000-0005-0000-0000-00007F120000}"/>
    <cellStyle name="40% - Ênfase1 48 2" xfId="4730" xr:uid="{00000000-0005-0000-0000-000080120000}"/>
    <cellStyle name="40% - Ênfase1 49" xfId="4731" xr:uid="{00000000-0005-0000-0000-000081120000}"/>
    <cellStyle name="40% - Ênfase1 49 2" xfId="4732" xr:uid="{00000000-0005-0000-0000-000082120000}"/>
    <cellStyle name="40% - Ênfase1 5" xfId="4733" xr:uid="{00000000-0005-0000-0000-000083120000}"/>
    <cellStyle name="40% - Ênfase1 5 2" xfId="4734" xr:uid="{00000000-0005-0000-0000-000084120000}"/>
    <cellStyle name="40% - Ênfase1 5 2 2" xfId="4735" xr:uid="{00000000-0005-0000-0000-000085120000}"/>
    <cellStyle name="40% - Ênfase1 5 2 2 2" xfId="25435" xr:uid="{00000000-0005-0000-0000-000086120000}"/>
    <cellStyle name="40% - Ênfase1 5 2 2 2 2" xfId="25436" xr:uid="{00000000-0005-0000-0000-000087120000}"/>
    <cellStyle name="40% - Ênfase1 5 2 2 2 2 2" xfId="26680" xr:uid="{00000000-0005-0000-0000-000088120000}"/>
    <cellStyle name="40% - Ênfase1 5 2 2 2 3" xfId="26679" xr:uid="{00000000-0005-0000-0000-000089120000}"/>
    <cellStyle name="40% - Ênfase1 5 2 2 3" xfId="25437" xr:uid="{00000000-0005-0000-0000-00008A120000}"/>
    <cellStyle name="40% - Ênfase1 5 2 2 3 2" xfId="26681" xr:uid="{00000000-0005-0000-0000-00008B120000}"/>
    <cellStyle name="40% - Ênfase1 5 2 2 4" xfId="26678" xr:uid="{00000000-0005-0000-0000-00008C120000}"/>
    <cellStyle name="40% - Ênfase1 5 2 2 5" xfId="25434" xr:uid="{00000000-0005-0000-0000-00008D120000}"/>
    <cellStyle name="40% - Ênfase1 5 2 3" xfId="4736" xr:uid="{00000000-0005-0000-0000-00008E120000}"/>
    <cellStyle name="40% - Ênfase1 5 2 3 2" xfId="25439" xr:uid="{00000000-0005-0000-0000-00008F120000}"/>
    <cellStyle name="40% - Ênfase1 5 2 3 2 2" xfId="26683" xr:uid="{00000000-0005-0000-0000-000090120000}"/>
    <cellStyle name="40% - Ênfase1 5 2 3 3" xfId="26682" xr:uid="{00000000-0005-0000-0000-000091120000}"/>
    <cellStyle name="40% - Ênfase1 5 2 3 4" xfId="25438" xr:uid="{00000000-0005-0000-0000-000092120000}"/>
    <cellStyle name="40% - Ênfase1 5 2 4" xfId="4737" xr:uid="{00000000-0005-0000-0000-000093120000}"/>
    <cellStyle name="40% - Ênfase1 5 2 4 2" xfId="26684" xr:uid="{00000000-0005-0000-0000-000094120000}"/>
    <cellStyle name="40% - Ênfase1 5 2 4 3" xfId="25440" xr:uid="{00000000-0005-0000-0000-000095120000}"/>
    <cellStyle name="40% - Ênfase1 5 2 5" xfId="4738" xr:uid="{00000000-0005-0000-0000-000096120000}"/>
    <cellStyle name="40% - Ênfase1 5 2 5 2" xfId="4739" xr:uid="{00000000-0005-0000-0000-000097120000}"/>
    <cellStyle name="40% - Ênfase1 5 2 6" xfId="4740" xr:uid="{00000000-0005-0000-0000-000098120000}"/>
    <cellStyle name="40% - Ênfase1 5 2 6 2" xfId="4741" xr:uid="{00000000-0005-0000-0000-000099120000}"/>
    <cellStyle name="40% - Ênfase1 5 2 7" xfId="4742" xr:uid="{00000000-0005-0000-0000-00009A120000}"/>
    <cellStyle name="40% - Ênfase1 5 2 7 2" xfId="4743" xr:uid="{00000000-0005-0000-0000-00009B120000}"/>
    <cellStyle name="40% - Ênfase1 5 2 8" xfId="4744" xr:uid="{00000000-0005-0000-0000-00009C120000}"/>
    <cellStyle name="40% - Ênfase1 5 2 8 2" xfId="4745" xr:uid="{00000000-0005-0000-0000-00009D120000}"/>
    <cellStyle name="40% - Ênfase1 5 2 9" xfId="4746" xr:uid="{00000000-0005-0000-0000-00009E120000}"/>
    <cellStyle name="40% - Ênfase1 5 3" xfId="4747" xr:uid="{00000000-0005-0000-0000-00009F120000}"/>
    <cellStyle name="40% - Ênfase1 5 3 2" xfId="25442" xr:uid="{00000000-0005-0000-0000-0000A0120000}"/>
    <cellStyle name="40% - Ênfase1 5 3 2 2" xfId="25443" xr:uid="{00000000-0005-0000-0000-0000A1120000}"/>
    <cellStyle name="40% - Ênfase1 5 3 2 2 2" xfId="26687" xr:uid="{00000000-0005-0000-0000-0000A2120000}"/>
    <cellStyle name="40% - Ênfase1 5 3 2 3" xfId="26686" xr:uid="{00000000-0005-0000-0000-0000A3120000}"/>
    <cellStyle name="40% - Ênfase1 5 3 3" xfId="25444" xr:uid="{00000000-0005-0000-0000-0000A4120000}"/>
    <cellStyle name="40% - Ênfase1 5 3 3 2" xfId="26688" xr:uid="{00000000-0005-0000-0000-0000A5120000}"/>
    <cellStyle name="40% - Ênfase1 5 3 4" xfId="26685" xr:uid="{00000000-0005-0000-0000-0000A6120000}"/>
    <cellStyle name="40% - Ênfase1 5 3 5" xfId="25441" xr:uid="{00000000-0005-0000-0000-0000A7120000}"/>
    <cellStyle name="40% - Ênfase1 5 4" xfId="4748" xr:uid="{00000000-0005-0000-0000-0000A8120000}"/>
    <cellStyle name="40% - Ênfase1 5 4 2" xfId="25446" xr:uid="{00000000-0005-0000-0000-0000A9120000}"/>
    <cellStyle name="40% - Ênfase1 5 4 2 2" xfId="26690" xr:uid="{00000000-0005-0000-0000-0000AA120000}"/>
    <cellStyle name="40% - Ênfase1 5 4 3" xfId="26689" xr:uid="{00000000-0005-0000-0000-0000AB120000}"/>
    <cellStyle name="40% - Ênfase1 5 4 4" xfId="25445" xr:uid="{00000000-0005-0000-0000-0000AC120000}"/>
    <cellStyle name="40% - Ênfase1 5 5" xfId="4749" xr:uid="{00000000-0005-0000-0000-0000AD120000}"/>
    <cellStyle name="40% - Ênfase1 5 5 2" xfId="4750" xr:uid="{00000000-0005-0000-0000-0000AE120000}"/>
    <cellStyle name="40% - Ênfase1 5 5 2 2" xfId="4751" xr:uid="{00000000-0005-0000-0000-0000AF120000}"/>
    <cellStyle name="40% - Ênfase1 5 5 3" xfId="4752" xr:uid="{00000000-0005-0000-0000-0000B0120000}"/>
    <cellStyle name="40% - Ênfase1 5 5 3 2" xfId="4753" xr:uid="{00000000-0005-0000-0000-0000B1120000}"/>
    <cellStyle name="40% - Ênfase1 5 5 4" xfId="4754" xr:uid="{00000000-0005-0000-0000-0000B2120000}"/>
    <cellStyle name="40% - Ênfase1 5 5 4 2" xfId="4755" xr:uid="{00000000-0005-0000-0000-0000B3120000}"/>
    <cellStyle name="40% - Ênfase1 5 5 5" xfId="4756" xr:uid="{00000000-0005-0000-0000-0000B4120000}"/>
    <cellStyle name="40% - Ênfase1 5 5 5 2" xfId="4757" xr:uid="{00000000-0005-0000-0000-0000B5120000}"/>
    <cellStyle name="40% - Ênfase1 5 5 6" xfId="4758" xr:uid="{00000000-0005-0000-0000-0000B6120000}"/>
    <cellStyle name="40% - Ênfase1 5 6" xfId="4759" xr:uid="{00000000-0005-0000-0000-0000B7120000}"/>
    <cellStyle name="40% - Ênfase1 5 6 2" xfId="4760" xr:uid="{00000000-0005-0000-0000-0000B8120000}"/>
    <cellStyle name="40% - Ênfase1 5 6 2 2" xfId="4761" xr:uid="{00000000-0005-0000-0000-0000B9120000}"/>
    <cellStyle name="40% - Ênfase1 5 6 3" xfId="4762" xr:uid="{00000000-0005-0000-0000-0000BA120000}"/>
    <cellStyle name="40% - Ênfase1 5 6 3 2" xfId="4763" xr:uid="{00000000-0005-0000-0000-0000BB120000}"/>
    <cellStyle name="40% - Ênfase1 5 6 4" xfId="4764" xr:uid="{00000000-0005-0000-0000-0000BC120000}"/>
    <cellStyle name="40% - Ênfase1 5 6 4 2" xfId="4765" xr:uid="{00000000-0005-0000-0000-0000BD120000}"/>
    <cellStyle name="40% - Ênfase1 5 6 5" xfId="4766" xr:uid="{00000000-0005-0000-0000-0000BE120000}"/>
    <cellStyle name="40% - Ênfase1 5 6 5 2" xfId="4767" xr:uid="{00000000-0005-0000-0000-0000BF120000}"/>
    <cellStyle name="40% - Ênfase1 5 6 6" xfId="4768" xr:uid="{00000000-0005-0000-0000-0000C0120000}"/>
    <cellStyle name="40% - Ênfase1 50" xfId="4769" xr:uid="{00000000-0005-0000-0000-0000C1120000}"/>
    <cellStyle name="40% - Ênfase1 50 2" xfId="4770" xr:uid="{00000000-0005-0000-0000-0000C2120000}"/>
    <cellStyle name="40% - Ênfase1 51" xfId="4771" xr:uid="{00000000-0005-0000-0000-0000C3120000}"/>
    <cellStyle name="40% - Ênfase1 51 2" xfId="4772" xr:uid="{00000000-0005-0000-0000-0000C4120000}"/>
    <cellStyle name="40% - Ênfase1 52" xfId="4773" xr:uid="{00000000-0005-0000-0000-0000C5120000}"/>
    <cellStyle name="40% - Ênfase1 52 2" xfId="4774" xr:uid="{00000000-0005-0000-0000-0000C6120000}"/>
    <cellStyle name="40% - Ênfase1 53" xfId="4775" xr:uid="{00000000-0005-0000-0000-0000C7120000}"/>
    <cellStyle name="40% - Ênfase1 53 2" xfId="4776" xr:uid="{00000000-0005-0000-0000-0000C8120000}"/>
    <cellStyle name="40% - Ênfase1 54" xfId="4777" xr:uid="{00000000-0005-0000-0000-0000C9120000}"/>
    <cellStyle name="40% - Ênfase1 54 2" xfId="4778" xr:uid="{00000000-0005-0000-0000-0000CA120000}"/>
    <cellStyle name="40% - Ênfase1 55" xfId="4779" xr:uid="{00000000-0005-0000-0000-0000CB120000}"/>
    <cellStyle name="40% - Ênfase1 55 2" xfId="4780" xr:uid="{00000000-0005-0000-0000-0000CC120000}"/>
    <cellStyle name="40% - Ênfase1 6" xfId="4781" xr:uid="{00000000-0005-0000-0000-0000CD120000}"/>
    <cellStyle name="40% - Ênfase1 6 10" xfId="4782" xr:uid="{00000000-0005-0000-0000-0000CE120000}"/>
    <cellStyle name="40% - Ênfase1 6 10 2" xfId="4783" xr:uid="{00000000-0005-0000-0000-0000CF120000}"/>
    <cellStyle name="40% - Ênfase1 6 11" xfId="4784" xr:uid="{00000000-0005-0000-0000-0000D0120000}"/>
    <cellStyle name="40% - Ênfase1 6 11 2" xfId="4785" xr:uid="{00000000-0005-0000-0000-0000D1120000}"/>
    <cellStyle name="40% - Ênfase1 6 12" xfId="4786" xr:uid="{00000000-0005-0000-0000-0000D2120000}"/>
    <cellStyle name="40% - Ênfase1 6 12 2" xfId="4787" xr:uid="{00000000-0005-0000-0000-0000D3120000}"/>
    <cellStyle name="40% - Ênfase1 6 13" xfId="4788" xr:uid="{00000000-0005-0000-0000-0000D4120000}"/>
    <cellStyle name="40% - Ênfase1 6 13 2" xfId="4789" xr:uid="{00000000-0005-0000-0000-0000D5120000}"/>
    <cellStyle name="40% - Ênfase1 6 14" xfId="4790" xr:uid="{00000000-0005-0000-0000-0000D6120000}"/>
    <cellStyle name="40% - Ênfase1 6 14 2" xfId="4791" xr:uid="{00000000-0005-0000-0000-0000D7120000}"/>
    <cellStyle name="40% - Ênfase1 6 15" xfId="4792" xr:uid="{00000000-0005-0000-0000-0000D8120000}"/>
    <cellStyle name="40% - Ênfase1 6 15 2" xfId="4793" xr:uid="{00000000-0005-0000-0000-0000D9120000}"/>
    <cellStyle name="40% - Ênfase1 6 16" xfId="4794" xr:uid="{00000000-0005-0000-0000-0000DA120000}"/>
    <cellStyle name="40% - Ênfase1 6 16 2" xfId="4795" xr:uid="{00000000-0005-0000-0000-0000DB120000}"/>
    <cellStyle name="40% - Ênfase1 6 17" xfId="4796" xr:uid="{00000000-0005-0000-0000-0000DC120000}"/>
    <cellStyle name="40% - Ênfase1 6 17 2" xfId="4797" xr:uid="{00000000-0005-0000-0000-0000DD120000}"/>
    <cellStyle name="40% - Ênfase1 6 18" xfId="4798" xr:uid="{00000000-0005-0000-0000-0000DE120000}"/>
    <cellStyle name="40% - Ênfase1 6 18 2" xfId="4799" xr:uid="{00000000-0005-0000-0000-0000DF120000}"/>
    <cellStyle name="40% - Ênfase1 6 19" xfId="4800" xr:uid="{00000000-0005-0000-0000-0000E0120000}"/>
    <cellStyle name="40% - Ênfase1 6 19 2" xfId="4801" xr:uid="{00000000-0005-0000-0000-0000E1120000}"/>
    <cellStyle name="40% - Ênfase1 6 2" xfId="4802" xr:uid="{00000000-0005-0000-0000-0000E2120000}"/>
    <cellStyle name="40% - Ênfase1 6 2 2" xfId="4803" xr:uid="{00000000-0005-0000-0000-0000E3120000}"/>
    <cellStyle name="40% - Ênfase1 6 2 2 2" xfId="4804" xr:uid="{00000000-0005-0000-0000-0000E4120000}"/>
    <cellStyle name="40% - Ênfase1 6 2 2 2 2" xfId="26692" xr:uid="{00000000-0005-0000-0000-0000E5120000}"/>
    <cellStyle name="40% - Ênfase1 6 2 2 3" xfId="26691" xr:uid="{00000000-0005-0000-0000-0000E6120000}"/>
    <cellStyle name="40% - Ênfase1 6 2 3" xfId="4805" xr:uid="{00000000-0005-0000-0000-0000E7120000}"/>
    <cellStyle name="40% - Ênfase1 6 2 3 2" xfId="4806" xr:uid="{00000000-0005-0000-0000-0000E8120000}"/>
    <cellStyle name="40% - Ênfase1 6 2 4" xfId="4807" xr:uid="{00000000-0005-0000-0000-0000E9120000}"/>
    <cellStyle name="40% - Ênfase1 6 2 4 2" xfId="4808" xr:uid="{00000000-0005-0000-0000-0000EA120000}"/>
    <cellStyle name="40% - Ênfase1 6 2 5" xfId="4809" xr:uid="{00000000-0005-0000-0000-0000EB120000}"/>
    <cellStyle name="40% - Ênfase1 6 2 5 2" xfId="4810" xr:uid="{00000000-0005-0000-0000-0000EC120000}"/>
    <cellStyle name="40% - Ênfase1 6 2 6" xfId="4811" xr:uid="{00000000-0005-0000-0000-0000ED120000}"/>
    <cellStyle name="40% - Ênfase1 6 20" xfId="4812" xr:uid="{00000000-0005-0000-0000-0000EE120000}"/>
    <cellStyle name="40% - Ênfase1 6 20 2" xfId="4813" xr:uid="{00000000-0005-0000-0000-0000EF120000}"/>
    <cellStyle name="40% - Ênfase1 6 21" xfId="4814" xr:uid="{00000000-0005-0000-0000-0000F0120000}"/>
    <cellStyle name="40% - Ênfase1 6 21 2" xfId="4815" xr:uid="{00000000-0005-0000-0000-0000F1120000}"/>
    <cellStyle name="40% - Ênfase1 6 22" xfId="4816" xr:uid="{00000000-0005-0000-0000-0000F2120000}"/>
    <cellStyle name="40% - Ênfase1 6 22 2" xfId="4817" xr:uid="{00000000-0005-0000-0000-0000F3120000}"/>
    <cellStyle name="40% - Ênfase1 6 23" xfId="4818" xr:uid="{00000000-0005-0000-0000-0000F4120000}"/>
    <cellStyle name="40% - Ênfase1 6 23 2" xfId="4819" xr:uid="{00000000-0005-0000-0000-0000F5120000}"/>
    <cellStyle name="40% - Ênfase1 6 24" xfId="4820" xr:uid="{00000000-0005-0000-0000-0000F6120000}"/>
    <cellStyle name="40% - Ênfase1 6 24 2" xfId="4821" xr:uid="{00000000-0005-0000-0000-0000F7120000}"/>
    <cellStyle name="40% - Ênfase1 6 25" xfId="4822" xr:uid="{00000000-0005-0000-0000-0000F8120000}"/>
    <cellStyle name="40% - Ênfase1 6 25 2" xfId="4823" xr:uid="{00000000-0005-0000-0000-0000F9120000}"/>
    <cellStyle name="40% - Ênfase1 6 26" xfId="4824" xr:uid="{00000000-0005-0000-0000-0000FA120000}"/>
    <cellStyle name="40% - Ênfase1 6 26 2" xfId="4825" xr:uid="{00000000-0005-0000-0000-0000FB120000}"/>
    <cellStyle name="40% - Ênfase1 6 27" xfId="4826" xr:uid="{00000000-0005-0000-0000-0000FC120000}"/>
    <cellStyle name="40% - Ênfase1 6 27 2" xfId="4827" xr:uid="{00000000-0005-0000-0000-0000FD120000}"/>
    <cellStyle name="40% - Ênfase1 6 28" xfId="4828" xr:uid="{00000000-0005-0000-0000-0000FE120000}"/>
    <cellStyle name="40% - Ênfase1 6 28 2" xfId="4829" xr:uid="{00000000-0005-0000-0000-0000FF120000}"/>
    <cellStyle name="40% - Ênfase1 6 29" xfId="4830" xr:uid="{00000000-0005-0000-0000-000000130000}"/>
    <cellStyle name="40% - Ênfase1 6 29 2" xfId="4831" xr:uid="{00000000-0005-0000-0000-000001130000}"/>
    <cellStyle name="40% - Ênfase1 6 3" xfId="4832" xr:uid="{00000000-0005-0000-0000-000002130000}"/>
    <cellStyle name="40% - Ênfase1 6 3 2" xfId="4833" xr:uid="{00000000-0005-0000-0000-000003130000}"/>
    <cellStyle name="40% - Ênfase1 6 3 2 2" xfId="4834" xr:uid="{00000000-0005-0000-0000-000004130000}"/>
    <cellStyle name="40% - Ênfase1 6 3 3" xfId="4835" xr:uid="{00000000-0005-0000-0000-000005130000}"/>
    <cellStyle name="40% - Ênfase1 6 3 3 2" xfId="4836" xr:uid="{00000000-0005-0000-0000-000006130000}"/>
    <cellStyle name="40% - Ênfase1 6 3 4" xfId="4837" xr:uid="{00000000-0005-0000-0000-000007130000}"/>
    <cellStyle name="40% - Ênfase1 6 3 4 2" xfId="4838" xr:uid="{00000000-0005-0000-0000-000008130000}"/>
    <cellStyle name="40% - Ênfase1 6 3 5" xfId="4839" xr:uid="{00000000-0005-0000-0000-000009130000}"/>
    <cellStyle name="40% - Ênfase1 6 3 5 2" xfId="4840" xr:uid="{00000000-0005-0000-0000-00000A130000}"/>
    <cellStyle name="40% - Ênfase1 6 3 6" xfId="4841" xr:uid="{00000000-0005-0000-0000-00000B130000}"/>
    <cellStyle name="40% - Ênfase1 6 30" xfId="4842" xr:uid="{00000000-0005-0000-0000-00000C130000}"/>
    <cellStyle name="40% - Ênfase1 6 30 2" xfId="4843" xr:uid="{00000000-0005-0000-0000-00000D130000}"/>
    <cellStyle name="40% - Ênfase1 6 31" xfId="4844" xr:uid="{00000000-0005-0000-0000-00000E130000}"/>
    <cellStyle name="40% - Ênfase1 6 31 2" xfId="4845" xr:uid="{00000000-0005-0000-0000-00000F130000}"/>
    <cellStyle name="40% - Ênfase1 6 32" xfId="4846" xr:uid="{00000000-0005-0000-0000-000010130000}"/>
    <cellStyle name="40% - Ênfase1 6 32 2" xfId="4847" xr:uid="{00000000-0005-0000-0000-000011130000}"/>
    <cellStyle name="40% - Ênfase1 6 33" xfId="4848" xr:uid="{00000000-0005-0000-0000-000012130000}"/>
    <cellStyle name="40% - Ênfase1 6 33 2" xfId="4849" xr:uid="{00000000-0005-0000-0000-000013130000}"/>
    <cellStyle name="40% - Ênfase1 6 34" xfId="4850" xr:uid="{00000000-0005-0000-0000-000014130000}"/>
    <cellStyle name="40% - Ênfase1 6 34 2" xfId="4851" xr:uid="{00000000-0005-0000-0000-000015130000}"/>
    <cellStyle name="40% - Ênfase1 6 35" xfId="4852" xr:uid="{00000000-0005-0000-0000-000016130000}"/>
    <cellStyle name="40% - Ênfase1 6 35 2" xfId="4853" xr:uid="{00000000-0005-0000-0000-000017130000}"/>
    <cellStyle name="40% - Ênfase1 6 36" xfId="4854" xr:uid="{00000000-0005-0000-0000-000018130000}"/>
    <cellStyle name="40% - Ênfase1 6 36 2" xfId="4855" xr:uid="{00000000-0005-0000-0000-000019130000}"/>
    <cellStyle name="40% - Ênfase1 6 37" xfId="4856" xr:uid="{00000000-0005-0000-0000-00001A130000}"/>
    <cellStyle name="40% - Ênfase1 6 4" xfId="4857" xr:uid="{00000000-0005-0000-0000-00001B130000}"/>
    <cellStyle name="40% - Ênfase1 6 4 2" xfId="4858" xr:uid="{00000000-0005-0000-0000-00001C130000}"/>
    <cellStyle name="40% - Ênfase1 6 4 2 2" xfId="4859" xr:uid="{00000000-0005-0000-0000-00001D130000}"/>
    <cellStyle name="40% - Ênfase1 6 4 3" xfId="4860" xr:uid="{00000000-0005-0000-0000-00001E130000}"/>
    <cellStyle name="40% - Ênfase1 6 4 3 2" xfId="4861" xr:uid="{00000000-0005-0000-0000-00001F130000}"/>
    <cellStyle name="40% - Ênfase1 6 4 4" xfId="4862" xr:uid="{00000000-0005-0000-0000-000020130000}"/>
    <cellStyle name="40% - Ênfase1 6 4 4 2" xfId="4863" xr:uid="{00000000-0005-0000-0000-000021130000}"/>
    <cellStyle name="40% - Ênfase1 6 4 5" xfId="4864" xr:uid="{00000000-0005-0000-0000-000022130000}"/>
    <cellStyle name="40% - Ênfase1 6 4 5 2" xfId="4865" xr:uid="{00000000-0005-0000-0000-000023130000}"/>
    <cellStyle name="40% - Ênfase1 6 4 6" xfId="4866" xr:uid="{00000000-0005-0000-0000-000024130000}"/>
    <cellStyle name="40% - Ênfase1 6 5" xfId="4867" xr:uid="{00000000-0005-0000-0000-000025130000}"/>
    <cellStyle name="40% - Ênfase1 6 5 2" xfId="4868" xr:uid="{00000000-0005-0000-0000-000026130000}"/>
    <cellStyle name="40% - Ênfase1 6 6" xfId="4869" xr:uid="{00000000-0005-0000-0000-000027130000}"/>
    <cellStyle name="40% - Ênfase1 6 6 2" xfId="4870" xr:uid="{00000000-0005-0000-0000-000028130000}"/>
    <cellStyle name="40% - Ênfase1 6 7" xfId="4871" xr:uid="{00000000-0005-0000-0000-000029130000}"/>
    <cellStyle name="40% - Ênfase1 6 7 2" xfId="4872" xr:uid="{00000000-0005-0000-0000-00002A130000}"/>
    <cellStyle name="40% - Ênfase1 6 8" xfId="4873" xr:uid="{00000000-0005-0000-0000-00002B130000}"/>
    <cellStyle name="40% - Ênfase1 6 8 2" xfId="4874" xr:uid="{00000000-0005-0000-0000-00002C130000}"/>
    <cellStyle name="40% - Ênfase1 6 9" xfId="4875" xr:uid="{00000000-0005-0000-0000-00002D130000}"/>
    <cellStyle name="40% - Ênfase1 6 9 2" xfId="4876" xr:uid="{00000000-0005-0000-0000-00002E130000}"/>
    <cellStyle name="40% - Ênfase1 7" xfId="4877" xr:uid="{00000000-0005-0000-0000-00002F130000}"/>
    <cellStyle name="40% - Ênfase1 7 10" xfId="4878" xr:uid="{00000000-0005-0000-0000-000030130000}"/>
    <cellStyle name="40% - Ênfase1 7 10 2" xfId="4879" xr:uid="{00000000-0005-0000-0000-000031130000}"/>
    <cellStyle name="40% - Ênfase1 7 11" xfId="4880" xr:uid="{00000000-0005-0000-0000-000032130000}"/>
    <cellStyle name="40% - Ênfase1 7 11 2" xfId="4881" xr:uid="{00000000-0005-0000-0000-000033130000}"/>
    <cellStyle name="40% - Ênfase1 7 12" xfId="4882" xr:uid="{00000000-0005-0000-0000-000034130000}"/>
    <cellStyle name="40% - Ênfase1 7 12 2" xfId="4883" xr:uid="{00000000-0005-0000-0000-000035130000}"/>
    <cellStyle name="40% - Ênfase1 7 13" xfId="4884" xr:uid="{00000000-0005-0000-0000-000036130000}"/>
    <cellStyle name="40% - Ênfase1 7 13 2" xfId="4885" xr:uid="{00000000-0005-0000-0000-000037130000}"/>
    <cellStyle name="40% - Ênfase1 7 14" xfId="4886" xr:uid="{00000000-0005-0000-0000-000038130000}"/>
    <cellStyle name="40% - Ênfase1 7 14 2" xfId="4887" xr:uid="{00000000-0005-0000-0000-000039130000}"/>
    <cellStyle name="40% - Ênfase1 7 15" xfId="4888" xr:uid="{00000000-0005-0000-0000-00003A130000}"/>
    <cellStyle name="40% - Ênfase1 7 15 2" xfId="4889" xr:uid="{00000000-0005-0000-0000-00003B130000}"/>
    <cellStyle name="40% - Ênfase1 7 16" xfId="4890" xr:uid="{00000000-0005-0000-0000-00003C130000}"/>
    <cellStyle name="40% - Ênfase1 7 16 2" xfId="4891" xr:uid="{00000000-0005-0000-0000-00003D130000}"/>
    <cellStyle name="40% - Ênfase1 7 17" xfId="4892" xr:uid="{00000000-0005-0000-0000-00003E130000}"/>
    <cellStyle name="40% - Ênfase1 7 17 2" xfId="4893" xr:uid="{00000000-0005-0000-0000-00003F130000}"/>
    <cellStyle name="40% - Ênfase1 7 18" xfId="4894" xr:uid="{00000000-0005-0000-0000-000040130000}"/>
    <cellStyle name="40% - Ênfase1 7 18 2" xfId="4895" xr:uid="{00000000-0005-0000-0000-000041130000}"/>
    <cellStyle name="40% - Ênfase1 7 19" xfId="4896" xr:uid="{00000000-0005-0000-0000-000042130000}"/>
    <cellStyle name="40% - Ênfase1 7 19 2" xfId="4897" xr:uid="{00000000-0005-0000-0000-000043130000}"/>
    <cellStyle name="40% - Ênfase1 7 2" xfId="4898" xr:uid="{00000000-0005-0000-0000-000044130000}"/>
    <cellStyle name="40% - Ênfase1 7 2 2" xfId="4899" xr:uid="{00000000-0005-0000-0000-000045130000}"/>
    <cellStyle name="40% - Ênfase1 7 2 2 2" xfId="4900" xr:uid="{00000000-0005-0000-0000-000046130000}"/>
    <cellStyle name="40% - Ênfase1 7 2 2 2 2" xfId="26694" xr:uid="{00000000-0005-0000-0000-000047130000}"/>
    <cellStyle name="40% - Ênfase1 7 2 2 3" xfId="26693" xr:uid="{00000000-0005-0000-0000-000048130000}"/>
    <cellStyle name="40% - Ênfase1 7 2 3" xfId="4901" xr:uid="{00000000-0005-0000-0000-000049130000}"/>
    <cellStyle name="40% - Ênfase1 7 2 3 2" xfId="4902" xr:uid="{00000000-0005-0000-0000-00004A130000}"/>
    <cellStyle name="40% - Ênfase1 7 2 4" xfId="4903" xr:uid="{00000000-0005-0000-0000-00004B130000}"/>
    <cellStyle name="40% - Ênfase1 7 2 4 2" xfId="4904" xr:uid="{00000000-0005-0000-0000-00004C130000}"/>
    <cellStyle name="40% - Ênfase1 7 2 5" xfId="4905" xr:uid="{00000000-0005-0000-0000-00004D130000}"/>
    <cellStyle name="40% - Ênfase1 7 2 5 2" xfId="4906" xr:uid="{00000000-0005-0000-0000-00004E130000}"/>
    <cellStyle name="40% - Ênfase1 7 2 6" xfId="4907" xr:uid="{00000000-0005-0000-0000-00004F130000}"/>
    <cellStyle name="40% - Ênfase1 7 20" xfId="4908" xr:uid="{00000000-0005-0000-0000-000050130000}"/>
    <cellStyle name="40% - Ênfase1 7 20 2" xfId="4909" xr:uid="{00000000-0005-0000-0000-000051130000}"/>
    <cellStyle name="40% - Ênfase1 7 21" xfId="4910" xr:uid="{00000000-0005-0000-0000-000052130000}"/>
    <cellStyle name="40% - Ênfase1 7 21 2" xfId="4911" xr:uid="{00000000-0005-0000-0000-000053130000}"/>
    <cellStyle name="40% - Ênfase1 7 22" xfId="4912" xr:uid="{00000000-0005-0000-0000-000054130000}"/>
    <cellStyle name="40% - Ênfase1 7 22 2" xfId="4913" xr:uid="{00000000-0005-0000-0000-000055130000}"/>
    <cellStyle name="40% - Ênfase1 7 23" xfId="4914" xr:uid="{00000000-0005-0000-0000-000056130000}"/>
    <cellStyle name="40% - Ênfase1 7 23 2" xfId="4915" xr:uid="{00000000-0005-0000-0000-000057130000}"/>
    <cellStyle name="40% - Ênfase1 7 24" xfId="4916" xr:uid="{00000000-0005-0000-0000-000058130000}"/>
    <cellStyle name="40% - Ênfase1 7 24 2" xfId="4917" xr:uid="{00000000-0005-0000-0000-000059130000}"/>
    <cellStyle name="40% - Ênfase1 7 25" xfId="4918" xr:uid="{00000000-0005-0000-0000-00005A130000}"/>
    <cellStyle name="40% - Ênfase1 7 25 2" xfId="4919" xr:uid="{00000000-0005-0000-0000-00005B130000}"/>
    <cellStyle name="40% - Ênfase1 7 26" xfId="4920" xr:uid="{00000000-0005-0000-0000-00005C130000}"/>
    <cellStyle name="40% - Ênfase1 7 26 2" xfId="4921" xr:uid="{00000000-0005-0000-0000-00005D130000}"/>
    <cellStyle name="40% - Ênfase1 7 27" xfId="4922" xr:uid="{00000000-0005-0000-0000-00005E130000}"/>
    <cellStyle name="40% - Ênfase1 7 27 2" xfId="4923" xr:uid="{00000000-0005-0000-0000-00005F130000}"/>
    <cellStyle name="40% - Ênfase1 7 28" xfId="4924" xr:uid="{00000000-0005-0000-0000-000060130000}"/>
    <cellStyle name="40% - Ênfase1 7 28 2" xfId="4925" xr:uid="{00000000-0005-0000-0000-000061130000}"/>
    <cellStyle name="40% - Ênfase1 7 29" xfId="4926" xr:uid="{00000000-0005-0000-0000-000062130000}"/>
    <cellStyle name="40% - Ênfase1 7 29 2" xfId="4927" xr:uid="{00000000-0005-0000-0000-000063130000}"/>
    <cellStyle name="40% - Ênfase1 7 3" xfId="4928" xr:uid="{00000000-0005-0000-0000-000064130000}"/>
    <cellStyle name="40% - Ênfase1 7 3 2" xfId="4929" xr:uid="{00000000-0005-0000-0000-000065130000}"/>
    <cellStyle name="40% - Ênfase1 7 3 2 2" xfId="4930" xr:uid="{00000000-0005-0000-0000-000066130000}"/>
    <cellStyle name="40% - Ênfase1 7 3 3" xfId="4931" xr:uid="{00000000-0005-0000-0000-000067130000}"/>
    <cellStyle name="40% - Ênfase1 7 3 3 2" xfId="4932" xr:uid="{00000000-0005-0000-0000-000068130000}"/>
    <cellStyle name="40% - Ênfase1 7 3 4" xfId="4933" xr:uid="{00000000-0005-0000-0000-000069130000}"/>
    <cellStyle name="40% - Ênfase1 7 3 4 2" xfId="4934" xr:uid="{00000000-0005-0000-0000-00006A130000}"/>
    <cellStyle name="40% - Ênfase1 7 3 5" xfId="4935" xr:uid="{00000000-0005-0000-0000-00006B130000}"/>
    <cellStyle name="40% - Ênfase1 7 3 5 2" xfId="4936" xr:uid="{00000000-0005-0000-0000-00006C130000}"/>
    <cellStyle name="40% - Ênfase1 7 3 6" xfId="4937" xr:uid="{00000000-0005-0000-0000-00006D130000}"/>
    <cellStyle name="40% - Ênfase1 7 30" xfId="4938" xr:uid="{00000000-0005-0000-0000-00006E130000}"/>
    <cellStyle name="40% - Ênfase1 7 30 2" xfId="4939" xr:uid="{00000000-0005-0000-0000-00006F130000}"/>
    <cellStyle name="40% - Ênfase1 7 31" xfId="4940" xr:uid="{00000000-0005-0000-0000-000070130000}"/>
    <cellStyle name="40% - Ênfase1 7 31 2" xfId="4941" xr:uid="{00000000-0005-0000-0000-000071130000}"/>
    <cellStyle name="40% - Ênfase1 7 32" xfId="4942" xr:uid="{00000000-0005-0000-0000-000072130000}"/>
    <cellStyle name="40% - Ênfase1 7 32 2" xfId="4943" xr:uid="{00000000-0005-0000-0000-000073130000}"/>
    <cellStyle name="40% - Ênfase1 7 33" xfId="4944" xr:uid="{00000000-0005-0000-0000-000074130000}"/>
    <cellStyle name="40% - Ênfase1 7 33 2" xfId="4945" xr:uid="{00000000-0005-0000-0000-000075130000}"/>
    <cellStyle name="40% - Ênfase1 7 34" xfId="4946" xr:uid="{00000000-0005-0000-0000-000076130000}"/>
    <cellStyle name="40% - Ênfase1 7 34 2" xfId="4947" xr:uid="{00000000-0005-0000-0000-000077130000}"/>
    <cellStyle name="40% - Ênfase1 7 35" xfId="4948" xr:uid="{00000000-0005-0000-0000-000078130000}"/>
    <cellStyle name="40% - Ênfase1 7 35 2" xfId="4949" xr:uid="{00000000-0005-0000-0000-000079130000}"/>
    <cellStyle name="40% - Ênfase1 7 36" xfId="4950" xr:uid="{00000000-0005-0000-0000-00007A130000}"/>
    <cellStyle name="40% - Ênfase1 7 36 2" xfId="4951" xr:uid="{00000000-0005-0000-0000-00007B130000}"/>
    <cellStyle name="40% - Ênfase1 7 37" xfId="4952" xr:uid="{00000000-0005-0000-0000-00007C130000}"/>
    <cellStyle name="40% - Ênfase1 7 4" xfId="4953" xr:uid="{00000000-0005-0000-0000-00007D130000}"/>
    <cellStyle name="40% - Ênfase1 7 4 2" xfId="4954" xr:uid="{00000000-0005-0000-0000-00007E130000}"/>
    <cellStyle name="40% - Ênfase1 7 4 2 2" xfId="4955" xr:uid="{00000000-0005-0000-0000-00007F130000}"/>
    <cellStyle name="40% - Ênfase1 7 4 3" xfId="4956" xr:uid="{00000000-0005-0000-0000-000080130000}"/>
    <cellStyle name="40% - Ênfase1 7 4 3 2" xfId="4957" xr:uid="{00000000-0005-0000-0000-000081130000}"/>
    <cellStyle name="40% - Ênfase1 7 4 4" xfId="4958" xr:uid="{00000000-0005-0000-0000-000082130000}"/>
    <cellStyle name="40% - Ênfase1 7 4 4 2" xfId="4959" xr:uid="{00000000-0005-0000-0000-000083130000}"/>
    <cellStyle name="40% - Ênfase1 7 4 5" xfId="4960" xr:uid="{00000000-0005-0000-0000-000084130000}"/>
    <cellStyle name="40% - Ênfase1 7 4 5 2" xfId="4961" xr:uid="{00000000-0005-0000-0000-000085130000}"/>
    <cellStyle name="40% - Ênfase1 7 4 6" xfId="4962" xr:uid="{00000000-0005-0000-0000-000086130000}"/>
    <cellStyle name="40% - Ênfase1 7 5" xfId="4963" xr:uid="{00000000-0005-0000-0000-000087130000}"/>
    <cellStyle name="40% - Ênfase1 7 5 2" xfId="4964" xr:uid="{00000000-0005-0000-0000-000088130000}"/>
    <cellStyle name="40% - Ênfase1 7 6" xfId="4965" xr:uid="{00000000-0005-0000-0000-000089130000}"/>
    <cellStyle name="40% - Ênfase1 7 6 2" xfId="4966" xr:uid="{00000000-0005-0000-0000-00008A130000}"/>
    <cellStyle name="40% - Ênfase1 7 7" xfId="4967" xr:uid="{00000000-0005-0000-0000-00008B130000}"/>
    <cellStyle name="40% - Ênfase1 7 7 2" xfId="4968" xr:uid="{00000000-0005-0000-0000-00008C130000}"/>
    <cellStyle name="40% - Ênfase1 7 8" xfId="4969" xr:uid="{00000000-0005-0000-0000-00008D130000}"/>
    <cellStyle name="40% - Ênfase1 7 8 2" xfId="4970" xr:uid="{00000000-0005-0000-0000-00008E130000}"/>
    <cellStyle name="40% - Ênfase1 7 9" xfId="4971" xr:uid="{00000000-0005-0000-0000-00008F130000}"/>
    <cellStyle name="40% - Ênfase1 7 9 2" xfId="4972" xr:uid="{00000000-0005-0000-0000-000090130000}"/>
    <cellStyle name="40% - Ênfase1 8" xfId="4973" xr:uid="{00000000-0005-0000-0000-000091130000}"/>
    <cellStyle name="40% - Ênfase1 8 10" xfId="4974" xr:uid="{00000000-0005-0000-0000-000092130000}"/>
    <cellStyle name="40% - Ênfase1 8 10 2" xfId="4975" xr:uid="{00000000-0005-0000-0000-000093130000}"/>
    <cellStyle name="40% - Ênfase1 8 2" xfId="4976" xr:uid="{00000000-0005-0000-0000-000094130000}"/>
    <cellStyle name="40% - Ênfase1 8 2 2" xfId="4977" xr:uid="{00000000-0005-0000-0000-000095130000}"/>
    <cellStyle name="40% - Ênfase1 8 2 2 2" xfId="25447" xr:uid="{00000000-0005-0000-0000-000096130000}"/>
    <cellStyle name="40% - Ênfase1 8 2 2 2 2" xfId="26697" xr:uid="{00000000-0005-0000-0000-000097130000}"/>
    <cellStyle name="40% - Ênfase1 8 2 2 3" xfId="26696" xr:uid="{00000000-0005-0000-0000-000098130000}"/>
    <cellStyle name="40% - Ênfase1 8 2 3" xfId="25448" xr:uid="{00000000-0005-0000-0000-000099130000}"/>
    <cellStyle name="40% - Ênfase1 8 2 3 2" xfId="26698" xr:uid="{00000000-0005-0000-0000-00009A130000}"/>
    <cellStyle name="40% - Ênfase1 8 2 4" xfId="26695" xr:uid="{00000000-0005-0000-0000-00009B130000}"/>
    <cellStyle name="40% - Ênfase1 8 3" xfId="4978" xr:uid="{00000000-0005-0000-0000-00009C130000}"/>
    <cellStyle name="40% - Ênfase1 8 3 2" xfId="4979" xr:uid="{00000000-0005-0000-0000-00009D130000}"/>
    <cellStyle name="40% - Ênfase1 8 3 2 2" xfId="26700" xr:uid="{00000000-0005-0000-0000-00009E130000}"/>
    <cellStyle name="40% - Ênfase1 8 3 3" xfId="26699" xr:uid="{00000000-0005-0000-0000-00009F130000}"/>
    <cellStyle name="40% - Ênfase1 8 4" xfId="4980" xr:uid="{00000000-0005-0000-0000-0000A0130000}"/>
    <cellStyle name="40% - Ênfase1 8 4 2" xfId="4981" xr:uid="{00000000-0005-0000-0000-0000A1130000}"/>
    <cellStyle name="40% - Ênfase1 8 5" xfId="4982" xr:uid="{00000000-0005-0000-0000-0000A2130000}"/>
    <cellStyle name="40% - Ênfase1 8 5 2" xfId="4983" xr:uid="{00000000-0005-0000-0000-0000A3130000}"/>
    <cellStyle name="40% - Ênfase1 8 6" xfId="4984" xr:uid="{00000000-0005-0000-0000-0000A4130000}"/>
    <cellStyle name="40% - Ênfase1 8 6 2" xfId="4985" xr:uid="{00000000-0005-0000-0000-0000A5130000}"/>
    <cellStyle name="40% - Ênfase1 8 7" xfId="4986" xr:uid="{00000000-0005-0000-0000-0000A6130000}"/>
    <cellStyle name="40% - Ênfase1 8 7 2" xfId="4987" xr:uid="{00000000-0005-0000-0000-0000A7130000}"/>
    <cellStyle name="40% - Ênfase1 8 8" xfId="4988" xr:uid="{00000000-0005-0000-0000-0000A8130000}"/>
    <cellStyle name="40% - Ênfase1 8 8 2" xfId="4989" xr:uid="{00000000-0005-0000-0000-0000A9130000}"/>
    <cellStyle name="40% - Ênfase1 8 9" xfId="4990" xr:uid="{00000000-0005-0000-0000-0000AA130000}"/>
    <cellStyle name="40% - Ênfase1 8 9 2" xfId="4991" xr:uid="{00000000-0005-0000-0000-0000AB130000}"/>
    <cellStyle name="40% - Ênfase1 9" xfId="4992" xr:uid="{00000000-0005-0000-0000-0000AC130000}"/>
    <cellStyle name="40% - Ênfase1 9 10" xfId="4993" xr:uid="{00000000-0005-0000-0000-0000AD130000}"/>
    <cellStyle name="40% - Ênfase1 9 10 2" xfId="4994" xr:uid="{00000000-0005-0000-0000-0000AE130000}"/>
    <cellStyle name="40% - Ênfase1 9 11" xfId="4995" xr:uid="{00000000-0005-0000-0000-0000AF130000}"/>
    <cellStyle name="40% - Ênfase1 9 12" xfId="4996" xr:uid="{00000000-0005-0000-0000-0000B0130000}"/>
    <cellStyle name="40% - Ênfase1 9 2" xfId="4997" xr:uid="{00000000-0005-0000-0000-0000B1130000}"/>
    <cellStyle name="40% - Ênfase1 9 2 2" xfId="4998" xr:uid="{00000000-0005-0000-0000-0000B2130000}"/>
    <cellStyle name="40% - Ênfase1 9 2 2 2" xfId="26702" xr:uid="{00000000-0005-0000-0000-0000B3130000}"/>
    <cellStyle name="40% - Ênfase1 9 2 3" xfId="26701" xr:uid="{00000000-0005-0000-0000-0000B4130000}"/>
    <cellStyle name="40% - Ênfase1 9 3" xfId="4999" xr:uid="{00000000-0005-0000-0000-0000B5130000}"/>
    <cellStyle name="40% - Ênfase1 9 3 2" xfId="5000" xr:uid="{00000000-0005-0000-0000-0000B6130000}"/>
    <cellStyle name="40% - Ênfase1 9 4" xfId="5001" xr:uid="{00000000-0005-0000-0000-0000B7130000}"/>
    <cellStyle name="40% - Ênfase1 9 4 2" xfId="5002" xr:uid="{00000000-0005-0000-0000-0000B8130000}"/>
    <cellStyle name="40% - Ênfase1 9 5" xfId="5003" xr:uid="{00000000-0005-0000-0000-0000B9130000}"/>
    <cellStyle name="40% - Ênfase1 9 5 2" xfId="5004" xr:uid="{00000000-0005-0000-0000-0000BA130000}"/>
    <cellStyle name="40% - Ênfase1 9 6" xfId="5005" xr:uid="{00000000-0005-0000-0000-0000BB130000}"/>
    <cellStyle name="40% - Ênfase1 9 6 2" xfId="5006" xr:uid="{00000000-0005-0000-0000-0000BC130000}"/>
    <cellStyle name="40% - Ênfase1 9 7" xfId="5007" xr:uid="{00000000-0005-0000-0000-0000BD130000}"/>
    <cellStyle name="40% - Ênfase1 9 7 2" xfId="5008" xr:uid="{00000000-0005-0000-0000-0000BE130000}"/>
    <cellStyle name="40% - Ênfase1 9 8" xfId="5009" xr:uid="{00000000-0005-0000-0000-0000BF130000}"/>
    <cellStyle name="40% - Ênfase1 9 8 2" xfId="5010" xr:uid="{00000000-0005-0000-0000-0000C0130000}"/>
    <cellStyle name="40% - Ênfase1 9 9" xfId="5011" xr:uid="{00000000-0005-0000-0000-0000C1130000}"/>
    <cellStyle name="40% - Ênfase1 9 9 2" xfId="5012" xr:uid="{00000000-0005-0000-0000-0000C2130000}"/>
    <cellStyle name="40% - Ênfase2" xfId="34" builtinId="35" customBuiltin="1"/>
    <cellStyle name="40% - Ênfase2 10" xfId="5013" xr:uid="{00000000-0005-0000-0000-0000C4130000}"/>
    <cellStyle name="40% - Ênfase2 10 2" xfId="5014" xr:uid="{00000000-0005-0000-0000-0000C5130000}"/>
    <cellStyle name="40% - Ênfase2 10 2 2" xfId="5015" xr:uid="{00000000-0005-0000-0000-0000C6130000}"/>
    <cellStyle name="40% - Ênfase2 10 2 2 2" xfId="26704" xr:uid="{00000000-0005-0000-0000-0000C7130000}"/>
    <cellStyle name="40% - Ênfase2 10 2 3" xfId="26703" xr:uid="{00000000-0005-0000-0000-0000C8130000}"/>
    <cellStyle name="40% - Ênfase2 10 3" xfId="5016" xr:uid="{00000000-0005-0000-0000-0000C9130000}"/>
    <cellStyle name="40% - Ênfase2 10 3 2" xfId="5017" xr:uid="{00000000-0005-0000-0000-0000CA130000}"/>
    <cellStyle name="40% - Ênfase2 10 4" xfId="5018" xr:uid="{00000000-0005-0000-0000-0000CB130000}"/>
    <cellStyle name="40% - Ênfase2 10 4 2" xfId="5019" xr:uid="{00000000-0005-0000-0000-0000CC130000}"/>
    <cellStyle name="40% - Ênfase2 10 5" xfId="5020" xr:uid="{00000000-0005-0000-0000-0000CD130000}"/>
    <cellStyle name="40% - Ênfase2 10 5 2" xfId="5021" xr:uid="{00000000-0005-0000-0000-0000CE130000}"/>
    <cellStyle name="40% - Ênfase2 10 6" xfId="5022" xr:uid="{00000000-0005-0000-0000-0000CF130000}"/>
    <cellStyle name="40% - Ênfase2 11" xfId="5023" xr:uid="{00000000-0005-0000-0000-0000D0130000}"/>
    <cellStyle name="40% - Ênfase2 11 2" xfId="5024" xr:uid="{00000000-0005-0000-0000-0000D1130000}"/>
    <cellStyle name="40% - Ênfase2 11 2 2" xfId="5025" xr:uid="{00000000-0005-0000-0000-0000D2130000}"/>
    <cellStyle name="40% - Ênfase2 11 2 3" xfId="26705" xr:uid="{00000000-0005-0000-0000-0000D3130000}"/>
    <cellStyle name="40% - Ênfase2 11 3" xfId="5026" xr:uid="{00000000-0005-0000-0000-0000D4130000}"/>
    <cellStyle name="40% - Ênfase2 11 3 2" xfId="5027" xr:uid="{00000000-0005-0000-0000-0000D5130000}"/>
    <cellStyle name="40% - Ênfase2 11 4" xfId="5028" xr:uid="{00000000-0005-0000-0000-0000D6130000}"/>
    <cellStyle name="40% - Ênfase2 11 4 2" xfId="5029" xr:uid="{00000000-0005-0000-0000-0000D7130000}"/>
    <cellStyle name="40% - Ênfase2 11 5" xfId="5030" xr:uid="{00000000-0005-0000-0000-0000D8130000}"/>
    <cellStyle name="40% - Ênfase2 11 5 2" xfId="5031" xr:uid="{00000000-0005-0000-0000-0000D9130000}"/>
    <cellStyle name="40% - Ênfase2 11 6" xfId="5032" xr:uid="{00000000-0005-0000-0000-0000DA130000}"/>
    <cellStyle name="40% - Ênfase2 11 7" xfId="25449" xr:uid="{00000000-0005-0000-0000-0000DB130000}"/>
    <cellStyle name="40% - Ênfase2 12" xfId="5033" xr:uid="{00000000-0005-0000-0000-0000DC130000}"/>
    <cellStyle name="40% - Ênfase2 12 2" xfId="5034" xr:uid="{00000000-0005-0000-0000-0000DD130000}"/>
    <cellStyle name="40% - Ênfase2 12 2 2" xfId="5035" xr:uid="{00000000-0005-0000-0000-0000DE130000}"/>
    <cellStyle name="40% - Ênfase2 12 2 2 2" xfId="26707" xr:uid="{00000000-0005-0000-0000-0000DF130000}"/>
    <cellStyle name="40% - Ênfase2 12 2 3" xfId="26706" xr:uid="{00000000-0005-0000-0000-0000E0130000}"/>
    <cellStyle name="40% - Ênfase2 12 3" xfId="5036" xr:uid="{00000000-0005-0000-0000-0000E1130000}"/>
    <cellStyle name="40% - Ênfase2 12 3 2" xfId="5037" xr:uid="{00000000-0005-0000-0000-0000E2130000}"/>
    <cellStyle name="40% - Ênfase2 12 4" xfId="5038" xr:uid="{00000000-0005-0000-0000-0000E3130000}"/>
    <cellStyle name="40% - Ênfase2 12 4 2" xfId="5039" xr:uid="{00000000-0005-0000-0000-0000E4130000}"/>
    <cellStyle name="40% - Ênfase2 12 5" xfId="5040" xr:uid="{00000000-0005-0000-0000-0000E5130000}"/>
    <cellStyle name="40% - Ênfase2 12 5 2" xfId="5041" xr:uid="{00000000-0005-0000-0000-0000E6130000}"/>
    <cellStyle name="40% - Ênfase2 12 6" xfId="5042" xr:uid="{00000000-0005-0000-0000-0000E7130000}"/>
    <cellStyle name="40% - Ênfase2 13" xfId="5043" xr:uid="{00000000-0005-0000-0000-0000E8130000}"/>
    <cellStyle name="40% - Ênfase2 13 2" xfId="5044" xr:uid="{00000000-0005-0000-0000-0000E9130000}"/>
    <cellStyle name="40% - Ênfase2 14" xfId="5045" xr:uid="{00000000-0005-0000-0000-0000EA130000}"/>
    <cellStyle name="40% - Ênfase2 14 2" xfId="5046" xr:uid="{00000000-0005-0000-0000-0000EB130000}"/>
    <cellStyle name="40% - Ênfase2 15" xfId="5047" xr:uid="{00000000-0005-0000-0000-0000EC130000}"/>
    <cellStyle name="40% - Ênfase2 15 2" xfId="5048" xr:uid="{00000000-0005-0000-0000-0000ED130000}"/>
    <cellStyle name="40% - Ênfase2 16" xfId="5049" xr:uid="{00000000-0005-0000-0000-0000EE130000}"/>
    <cellStyle name="40% - Ênfase2 16 2" xfId="5050" xr:uid="{00000000-0005-0000-0000-0000EF130000}"/>
    <cellStyle name="40% - Ênfase2 17" xfId="5051" xr:uid="{00000000-0005-0000-0000-0000F0130000}"/>
    <cellStyle name="40% - Ênfase2 17 2" xfId="5052" xr:uid="{00000000-0005-0000-0000-0000F1130000}"/>
    <cellStyle name="40% - Ênfase2 18" xfId="5053" xr:uid="{00000000-0005-0000-0000-0000F2130000}"/>
    <cellStyle name="40% - Ênfase2 18 2" xfId="5054" xr:uid="{00000000-0005-0000-0000-0000F3130000}"/>
    <cellStyle name="40% - Ênfase2 19" xfId="5055" xr:uid="{00000000-0005-0000-0000-0000F4130000}"/>
    <cellStyle name="40% - Ênfase2 19 2" xfId="5056" xr:uid="{00000000-0005-0000-0000-0000F5130000}"/>
    <cellStyle name="40% - Ênfase2 2" xfId="5057" xr:uid="{00000000-0005-0000-0000-0000F6130000}"/>
    <cellStyle name="40% - Ênfase2 2 2" xfId="5058" xr:uid="{00000000-0005-0000-0000-0000F7130000}"/>
    <cellStyle name="40% - Ênfase2 2 2 10" xfId="5059" xr:uid="{00000000-0005-0000-0000-0000F8130000}"/>
    <cellStyle name="40% - Ênfase2 2 2 10 2" xfId="5060" xr:uid="{00000000-0005-0000-0000-0000F9130000}"/>
    <cellStyle name="40% - Ênfase2 2 2 11" xfId="5061" xr:uid="{00000000-0005-0000-0000-0000FA130000}"/>
    <cellStyle name="40% - Ênfase2 2 2 11 2" xfId="5062" xr:uid="{00000000-0005-0000-0000-0000FB130000}"/>
    <cellStyle name="40% - Ênfase2 2 2 12" xfId="5063" xr:uid="{00000000-0005-0000-0000-0000FC130000}"/>
    <cellStyle name="40% - Ênfase2 2 2 12 2" xfId="5064" xr:uid="{00000000-0005-0000-0000-0000FD130000}"/>
    <cellStyle name="40% - Ênfase2 2 2 2" xfId="5065" xr:uid="{00000000-0005-0000-0000-0000FE130000}"/>
    <cellStyle name="40% - Ênfase2 2 2 2 10" xfId="5066" xr:uid="{00000000-0005-0000-0000-0000FF130000}"/>
    <cellStyle name="40% - Ênfase2 2 2 2 11" xfId="5067" xr:uid="{00000000-0005-0000-0000-000000140000}"/>
    <cellStyle name="40% - Ênfase2 2 2 2 2" xfId="5068" xr:uid="{00000000-0005-0000-0000-000001140000}"/>
    <cellStyle name="40% - Ênfase2 2 2 2 2 2" xfId="25451" xr:uid="{00000000-0005-0000-0000-000002140000}"/>
    <cellStyle name="40% - Ênfase2 2 2 2 2 2 2" xfId="26712" xr:uid="{00000000-0005-0000-0000-000003140000}"/>
    <cellStyle name="40% - Ênfase2 2 2 2 2 3" xfId="26711" xr:uid="{00000000-0005-0000-0000-000004140000}"/>
    <cellStyle name="40% - Ênfase2 2 2 2 2 4" xfId="25450" xr:uid="{00000000-0005-0000-0000-000005140000}"/>
    <cellStyle name="40% - Ênfase2 2 2 2 3" xfId="5069" xr:uid="{00000000-0005-0000-0000-000006140000}"/>
    <cellStyle name="40% - Ênfase2 2 2 2 3 2" xfId="26713" xr:uid="{00000000-0005-0000-0000-000007140000}"/>
    <cellStyle name="40% - Ênfase2 2 2 2 3 3" xfId="25452" xr:uid="{00000000-0005-0000-0000-000008140000}"/>
    <cellStyle name="40% - Ênfase2 2 2 2 4" xfId="5070" xr:uid="{00000000-0005-0000-0000-000009140000}"/>
    <cellStyle name="40% - Ênfase2 2 2 2 4 2" xfId="26710" xr:uid="{00000000-0005-0000-0000-00000A140000}"/>
    <cellStyle name="40% - Ênfase2 2 2 2 5" xfId="5071" xr:uid="{00000000-0005-0000-0000-00000B140000}"/>
    <cellStyle name="40% - Ênfase2 2 2 2 6" xfId="5072" xr:uid="{00000000-0005-0000-0000-00000C140000}"/>
    <cellStyle name="40% - Ênfase2 2 2 2 7" xfId="5073" xr:uid="{00000000-0005-0000-0000-00000D140000}"/>
    <cellStyle name="40% - Ênfase2 2 2 2 8" xfId="5074" xr:uid="{00000000-0005-0000-0000-00000E140000}"/>
    <cellStyle name="40% - Ênfase2 2 2 2 9" xfId="5075" xr:uid="{00000000-0005-0000-0000-00000F140000}"/>
    <cellStyle name="40% - Ênfase2 2 2 3" xfId="5076" xr:uid="{00000000-0005-0000-0000-000010140000}"/>
    <cellStyle name="40% - Ênfase2 2 2 3 2" xfId="25454" xr:uid="{00000000-0005-0000-0000-000011140000}"/>
    <cellStyle name="40% - Ênfase2 2 2 3 2 2" xfId="25455" xr:uid="{00000000-0005-0000-0000-000012140000}"/>
    <cellStyle name="40% - Ênfase2 2 2 3 2 2 2" xfId="26716" xr:uid="{00000000-0005-0000-0000-000013140000}"/>
    <cellStyle name="40% - Ênfase2 2 2 3 2 3" xfId="26715" xr:uid="{00000000-0005-0000-0000-000014140000}"/>
    <cellStyle name="40% - Ênfase2 2 2 3 3" xfId="25456" xr:uid="{00000000-0005-0000-0000-000015140000}"/>
    <cellStyle name="40% - Ênfase2 2 2 3 3 2" xfId="26717" xr:uid="{00000000-0005-0000-0000-000016140000}"/>
    <cellStyle name="40% - Ênfase2 2 2 3 4" xfId="26714" xr:uid="{00000000-0005-0000-0000-000017140000}"/>
    <cellStyle name="40% - Ênfase2 2 2 3 5" xfId="25453" xr:uid="{00000000-0005-0000-0000-000018140000}"/>
    <cellStyle name="40% - Ênfase2 2 2 4" xfId="5077" xr:uid="{00000000-0005-0000-0000-000019140000}"/>
    <cellStyle name="40% - Ênfase2 2 2 4 2" xfId="26718" xr:uid="{00000000-0005-0000-0000-00001A140000}"/>
    <cellStyle name="40% - Ênfase2 2 2 5" xfId="5078" xr:uid="{00000000-0005-0000-0000-00001B140000}"/>
    <cellStyle name="40% - Ênfase2 2 2 5 2" xfId="5079" xr:uid="{00000000-0005-0000-0000-00001C140000}"/>
    <cellStyle name="40% - Ênfase2 2 2 5 3" xfId="26709" xr:uid="{00000000-0005-0000-0000-00001D140000}"/>
    <cellStyle name="40% - Ênfase2 2 2 6" xfId="5080" xr:uid="{00000000-0005-0000-0000-00001E140000}"/>
    <cellStyle name="40% - Ênfase2 2 2 6 2" xfId="5081" xr:uid="{00000000-0005-0000-0000-00001F140000}"/>
    <cellStyle name="40% - Ênfase2 2 2 7" xfId="5082" xr:uid="{00000000-0005-0000-0000-000020140000}"/>
    <cellStyle name="40% - Ênfase2 2 2 7 2" xfId="5083" xr:uid="{00000000-0005-0000-0000-000021140000}"/>
    <cellStyle name="40% - Ênfase2 2 2 8" xfId="5084" xr:uid="{00000000-0005-0000-0000-000022140000}"/>
    <cellStyle name="40% - Ênfase2 2 2 8 2" xfId="5085" xr:uid="{00000000-0005-0000-0000-000023140000}"/>
    <cellStyle name="40% - Ênfase2 2 2 9" xfId="5086" xr:uid="{00000000-0005-0000-0000-000024140000}"/>
    <cellStyle name="40% - Ênfase2 2 2 9 2" xfId="5087" xr:uid="{00000000-0005-0000-0000-000025140000}"/>
    <cellStyle name="40% - Ênfase2 2 3" xfId="5088" xr:uid="{00000000-0005-0000-0000-000026140000}"/>
    <cellStyle name="40% - Ênfase2 2 3 2" xfId="25458" xr:uid="{00000000-0005-0000-0000-000027140000}"/>
    <cellStyle name="40% - Ênfase2 2 3 2 2" xfId="25459" xr:uid="{00000000-0005-0000-0000-000028140000}"/>
    <cellStyle name="40% - Ênfase2 2 3 2 2 2" xfId="26721" xr:uid="{00000000-0005-0000-0000-000029140000}"/>
    <cellStyle name="40% - Ênfase2 2 3 2 3" xfId="26720" xr:uid="{00000000-0005-0000-0000-00002A140000}"/>
    <cellStyle name="40% - Ênfase2 2 3 3" xfId="25460" xr:uid="{00000000-0005-0000-0000-00002B140000}"/>
    <cellStyle name="40% - Ênfase2 2 3 3 2" xfId="26722" xr:uid="{00000000-0005-0000-0000-00002C140000}"/>
    <cellStyle name="40% - Ênfase2 2 3 4" xfId="26719" xr:uid="{00000000-0005-0000-0000-00002D140000}"/>
    <cellStyle name="40% - Ênfase2 2 3 5" xfId="25457" xr:uid="{00000000-0005-0000-0000-00002E140000}"/>
    <cellStyle name="40% - Ênfase2 2 4" xfId="5089" xr:uid="{00000000-0005-0000-0000-00002F140000}"/>
    <cellStyle name="40% - Ênfase2 2 4 2" xfId="25462" xr:uid="{00000000-0005-0000-0000-000030140000}"/>
    <cellStyle name="40% - Ênfase2 2 4 2 2" xfId="25463" xr:uid="{00000000-0005-0000-0000-000031140000}"/>
    <cellStyle name="40% - Ênfase2 2 4 2 2 2" xfId="26725" xr:uid="{00000000-0005-0000-0000-000032140000}"/>
    <cellStyle name="40% - Ênfase2 2 4 2 3" xfId="26724" xr:uid="{00000000-0005-0000-0000-000033140000}"/>
    <cellStyle name="40% - Ênfase2 2 4 3" xfId="25464" xr:uid="{00000000-0005-0000-0000-000034140000}"/>
    <cellStyle name="40% - Ênfase2 2 4 3 2" xfId="26726" xr:uid="{00000000-0005-0000-0000-000035140000}"/>
    <cellStyle name="40% - Ênfase2 2 4 4" xfId="26723" xr:uid="{00000000-0005-0000-0000-000036140000}"/>
    <cellStyle name="40% - Ênfase2 2 4 5" xfId="25461" xr:uid="{00000000-0005-0000-0000-000037140000}"/>
    <cellStyle name="40% - Ênfase2 2 5" xfId="5090" xr:uid="{00000000-0005-0000-0000-000038140000}"/>
    <cellStyle name="40% - Ênfase2 2 5 10" xfId="5091" xr:uid="{00000000-0005-0000-0000-000039140000}"/>
    <cellStyle name="40% - Ênfase2 2 5 10 2" xfId="5092" xr:uid="{00000000-0005-0000-0000-00003A140000}"/>
    <cellStyle name="40% - Ênfase2 2 5 2" xfId="5093" xr:uid="{00000000-0005-0000-0000-00003B140000}"/>
    <cellStyle name="40% - Ênfase2 2 5 2 2" xfId="5094" xr:uid="{00000000-0005-0000-0000-00003C140000}"/>
    <cellStyle name="40% - Ênfase2 2 5 3" xfId="5095" xr:uid="{00000000-0005-0000-0000-00003D140000}"/>
    <cellStyle name="40% - Ênfase2 2 5 3 2" xfId="5096" xr:uid="{00000000-0005-0000-0000-00003E140000}"/>
    <cellStyle name="40% - Ênfase2 2 5 4" xfId="5097" xr:uid="{00000000-0005-0000-0000-00003F140000}"/>
    <cellStyle name="40% - Ênfase2 2 5 4 2" xfId="5098" xr:uid="{00000000-0005-0000-0000-000040140000}"/>
    <cellStyle name="40% - Ênfase2 2 5 5" xfId="5099" xr:uid="{00000000-0005-0000-0000-000041140000}"/>
    <cellStyle name="40% - Ênfase2 2 5 5 2" xfId="5100" xr:uid="{00000000-0005-0000-0000-000042140000}"/>
    <cellStyle name="40% - Ênfase2 2 5 6" xfId="5101" xr:uid="{00000000-0005-0000-0000-000043140000}"/>
    <cellStyle name="40% - Ênfase2 2 5 6 2" xfId="5102" xr:uid="{00000000-0005-0000-0000-000044140000}"/>
    <cellStyle name="40% - Ênfase2 2 5 7" xfId="5103" xr:uid="{00000000-0005-0000-0000-000045140000}"/>
    <cellStyle name="40% - Ênfase2 2 5 7 2" xfId="5104" xr:uid="{00000000-0005-0000-0000-000046140000}"/>
    <cellStyle name="40% - Ênfase2 2 5 8" xfId="5105" xr:uid="{00000000-0005-0000-0000-000047140000}"/>
    <cellStyle name="40% - Ênfase2 2 5 8 2" xfId="5106" xr:uid="{00000000-0005-0000-0000-000048140000}"/>
    <cellStyle name="40% - Ênfase2 2 5 9" xfId="5107" xr:uid="{00000000-0005-0000-0000-000049140000}"/>
    <cellStyle name="40% - Ênfase2 2 5 9 2" xfId="5108" xr:uid="{00000000-0005-0000-0000-00004A140000}"/>
    <cellStyle name="40% - Ênfase2 2 6" xfId="5109" xr:uid="{00000000-0005-0000-0000-00004B140000}"/>
    <cellStyle name="40% - Ênfase2 2 6 2" xfId="5110" xr:uid="{00000000-0005-0000-0000-00004C140000}"/>
    <cellStyle name="40% - Ênfase2 2 6 2 2" xfId="5111" xr:uid="{00000000-0005-0000-0000-00004D140000}"/>
    <cellStyle name="40% - Ênfase2 2 6 3" xfId="5112" xr:uid="{00000000-0005-0000-0000-00004E140000}"/>
    <cellStyle name="40% - Ênfase2 2 6 3 2" xfId="5113" xr:uid="{00000000-0005-0000-0000-00004F140000}"/>
    <cellStyle name="40% - Ênfase2 2 6 4" xfId="5114" xr:uid="{00000000-0005-0000-0000-000050140000}"/>
    <cellStyle name="40% - Ênfase2 2 6 4 2" xfId="5115" xr:uid="{00000000-0005-0000-0000-000051140000}"/>
    <cellStyle name="40% - Ênfase2 2 6 5" xfId="5116" xr:uid="{00000000-0005-0000-0000-000052140000}"/>
    <cellStyle name="40% - Ênfase2 2 6 5 2" xfId="5117" xr:uid="{00000000-0005-0000-0000-000053140000}"/>
    <cellStyle name="40% - Ênfase2 2 6 6" xfId="5118" xr:uid="{00000000-0005-0000-0000-000054140000}"/>
    <cellStyle name="40% - Ênfase2 2 7" xfId="26708" xr:uid="{00000000-0005-0000-0000-000055140000}"/>
    <cellStyle name="40% - Ênfase2 20" xfId="5119" xr:uid="{00000000-0005-0000-0000-000056140000}"/>
    <cellStyle name="40% - Ênfase2 20 2" xfId="5120" xr:uid="{00000000-0005-0000-0000-000057140000}"/>
    <cellStyle name="40% - Ênfase2 21" xfId="5121" xr:uid="{00000000-0005-0000-0000-000058140000}"/>
    <cellStyle name="40% - Ênfase2 21 2" xfId="5122" xr:uid="{00000000-0005-0000-0000-000059140000}"/>
    <cellStyle name="40% - Ênfase2 22" xfId="5123" xr:uid="{00000000-0005-0000-0000-00005A140000}"/>
    <cellStyle name="40% - Ênfase2 22 2" xfId="5124" xr:uid="{00000000-0005-0000-0000-00005B140000}"/>
    <cellStyle name="40% - Ênfase2 23" xfId="5125" xr:uid="{00000000-0005-0000-0000-00005C140000}"/>
    <cellStyle name="40% - Ênfase2 23 2" xfId="5126" xr:uid="{00000000-0005-0000-0000-00005D140000}"/>
    <cellStyle name="40% - Ênfase2 24" xfId="5127" xr:uid="{00000000-0005-0000-0000-00005E140000}"/>
    <cellStyle name="40% - Ênfase2 24 2" xfId="5128" xr:uid="{00000000-0005-0000-0000-00005F140000}"/>
    <cellStyle name="40% - Ênfase2 25" xfId="5129" xr:uid="{00000000-0005-0000-0000-000060140000}"/>
    <cellStyle name="40% - Ênfase2 25 2" xfId="5130" xr:uid="{00000000-0005-0000-0000-000061140000}"/>
    <cellStyle name="40% - Ênfase2 26" xfId="5131" xr:uid="{00000000-0005-0000-0000-000062140000}"/>
    <cellStyle name="40% - Ênfase2 26 2" xfId="5132" xr:uid="{00000000-0005-0000-0000-000063140000}"/>
    <cellStyle name="40% - Ênfase2 27" xfId="5133" xr:uid="{00000000-0005-0000-0000-000064140000}"/>
    <cellStyle name="40% - Ênfase2 27 2" xfId="5134" xr:uid="{00000000-0005-0000-0000-000065140000}"/>
    <cellStyle name="40% - Ênfase2 28" xfId="5135" xr:uid="{00000000-0005-0000-0000-000066140000}"/>
    <cellStyle name="40% - Ênfase2 28 2" xfId="5136" xr:uid="{00000000-0005-0000-0000-000067140000}"/>
    <cellStyle name="40% - Ênfase2 29" xfId="5137" xr:uid="{00000000-0005-0000-0000-000068140000}"/>
    <cellStyle name="40% - Ênfase2 29 2" xfId="5138" xr:uid="{00000000-0005-0000-0000-000069140000}"/>
    <cellStyle name="40% - Ênfase2 3" xfId="5139" xr:uid="{00000000-0005-0000-0000-00006A140000}"/>
    <cellStyle name="40% - Ênfase2 3 2" xfId="5140" xr:uid="{00000000-0005-0000-0000-00006B140000}"/>
    <cellStyle name="40% - Ênfase2 3 2 10" xfId="5141" xr:uid="{00000000-0005-0000-0000-00006C140000}"/>
    <cellStyle name="40% - Ênfase2 3 2 10 2" xfId="5142" xr:uid="{00000000-0005-0000-0000-00006D140000}"/>
    <cellStyle name="40% - Ênfase2 3 2 11" xfId="5143" xr:uid="{00000000-0005-0000-0000-00006E140000}"/>
    <cellStyle name="40% - Ênfase2 3 2 11 2" xfId="5144" xr:uid="{00000000-0005-0000-0000-00006F140000}"/>
    <cellStyle name="40% - Ênfase2 3 2 12" xfId="5145" xr:uid="{00000000-0005-0000-0000-000070140000}"/>
    <cellStyle name="40% - Ênfase2 3 2 12 2" xfId="5146" xr:uid="{00000000-0005-0000-0000-000071140000}"/>
    <cellStyle name="40% - Ênfase2 3 2 2" xfId="5147" xr:uid="{00000000-0005-0000-0000-000072140000}"/>
    <cellStyle name="40% - Ênfase2 3 2 2 10" xfId="5148" xr:uid="{00000000-0005-0000-0000-000073140000}"/>
    <cellStyle name="40% - Ênfase2 3 2 2 11" xfId="5149" xr:uid="{00000000-0005-0000-0000-000074140000}"/>
    <cellStyle name="40% - Ênfase2 3 2 2 2" xfId="5150" xr:uid="{00000000-0005-0000-0000-000075140000}"/>
    <cellStyle name="40% - Ênfase2 3 2 2 2 2" xfId="25466" xr:uid="{00000000-0005-0000-0000-000076140000}"/>
    <cellStyle name="40% - Ênfase2 3 2 2 2 2 2" xfId="26730" xr:uid="{00000000-0005-0000-0000-000077140000}"/>
    <cellStyle name="40% - Ênfase2 3 2 2 2 3" xfId="26729" xr:uid="{00000000-0005-0000-0000-000078140000}"/>
    <cellStyle name="40% - Ênfase2 3 2 2 2 4" xfId="25465" xr:uid="{00000000-0005-0000-0000-000079140000}"/>
    <cellStyle name="40% - Ênfase2 3 2 2 3" xfId="5151" xr:uid="{00000000-0005-0000-0000-00007A140000}"/>
    <cellStyle name="40% - Ênfase2 3 2 2 3 2" xfId="26731" xr:uid="{00000000-0005-0000-0000-00007B140000}"/>
    <cellStyle name="40% - Ênfase2 3 2 2 3 3" xfId="25467" xr:uid="{00000000-0005-0000-0000-00007C140000}"/>
    <cellStyle name="40% - Ênfase2 3 2 2 4" xfId="5152" xr:uid="{00000000-0005-0000-0000-00007D140000}"/>
    <cellStyle name="40% - Ênfase2 3 2 2 4 2" xfId="26728" xr:uid="{00000000-0005-0000-0000-00007E140000}"/>
    <cellStyle name="40% - Ênfase2 3 2 2 5" xfId="5153" xr:uid="{00000000-0005-0000-0000-00007F140000}"/>
    <cellStyle name="40% - Ênfase2 3 2 2 6" xfId="5154" xr:uid="{00000000-0005-0000-0000-000080140000}"/>
    <cellStyle name="40% - Ênfase2 3 2 2 7" xfId="5155" xr:uid="{00000000-0005-0000-0000-000081140000}"/>
    <cellStyle name="40% - Ênfase2 3 2 2 8" xfId="5156" xr:uid="{00000000-0005-0000-0000-000082140000}"/>
    <cellStyle name="40% - Ênfase2 3 2 2 9" xfId="5157" xr:uid="{00000000-0005-0000-0000-000083140000}"/>
    <cellStyle name="40% - Ênfase2 3 2 3" xfId="5158" xr:uid="{00000000-0005-0000-0000-000084140000}"/>
    <cellStyle name="40% - Ênfase2 3 2 3 2" xfId="25469" xr:uid="{00000000-0005-0000-0000-000085140000}"/>
    <cellStyle name="40% - Ênfase2 3 2 3 2 2" xfId="26733" xr:uid="{00000000-0005-0000-0000-000086140000}"/>
    <cellStyle name="40% - Ênfase2 3 2 3 3" xfId="26732" xr:uid="{00000000-0005-0000-0000-000087140000}"/>
    <cellStyle name="40% - Ênfase2 3 2 3 4" xfId="25468" xr:uid="{00000000-0005-0000-0000-000088140000}"/>
    <cellStyle name="40% - Ênfase2 3 2 4" xfId="5159" xr:uid="{00000000-0005-0000-0000-000089140000}"/>
    <cellStyle name="40% - Ênfase2 3 2 4 2" xfId="26734" xr:uid="{00000000-0005-0000-0000-00008A140000}"/>
    <cellStyle name="40% - Ênfase2 3 2 4 3" xfId="25470" xr:uid="{00000000-0005-0000-0000-00008B140000}"/>
    <cellStyle name="40% - Ênfase2 3 2 5" xfId="5160" xr:uid="{00000000-0005-0000-0000-00008C140000}"/>
    <cellStyle name="40% - Ênfase2 3 2 5 2" xfId="5161" xr:uid="{00000000-0005-0000-0000-00008D140000}"/>
    <cellStyle name="40% - Ênfase2 3 2 6" xfId="5162" xr:uid="{00000000-0005-0000-0000-00008E140000}"/>
    <cellStyle name="40% - Ênfase2 3 2 6 2" xfId="5163" xr:uid="{00000000-0005-0000-0000-00008F140000}"/>
    <cellStyle name="40% - Ênfase2 3 2 7" xfId="5164" xr:uid="{00000000-0005-0000-0000-000090140000}"/>
    <cellStyle name="40% - Ênfase2 3 2 7 2" xfId="5165" xr:uid="{00000000-0005-0000-0000-000091140000}"/>
    <cellStyle name="40% - Ênfase2 3 2 8" xfId="5166" xr:uid="{00000000-0005-0000-0000-000092140000}"/>
    <cellStyle name="40% - Ênfase2 3 2 8 2" xfId="5167" xr:uid="{00000000-0005-0000-0000-000093140000}"/>
    <cellStyle name="40% - Ênfase2 3 2 9" xfId="5168" xr:uid="{00000000-0005-0000-0000-000094140000}"/>
    <cellStyle name="40% - Ênfase2 3 2 9 2" xfId="5169" xr:uid="{00000000-0005-0000-0000-000095140000}"/>
    <cellStyle name="40% - Ênfase2 3 3" xfId="5170" xr:uid="{00000000-0005-0000-0000-000096140000}"/>
    <cellStyle name="40% - Ênfase2 3 3 2" xfId="25472" xr:uid="{00000000-0005-0000-0000-000097140000}"/>
    <cellStyle name="40% - Ênfase2 3 3 2 2" xfId="25473" xr:uid="{00000000-0005-0000-0000-000098140000}"/>
    <cellStyle name="40% - Ênfase2 3 3 2 2 2" xfId="26737" xr:uid="{00000000-0005-0000-0000-000099140000}"/>
    <cellStyle name="40% - Ênfase2 3 3 2 3" xfId="26736" xr:uid="{00000000-0005-0000-0000-00009A140000}"/>
    <cellStyle name="40% - Ênfase2 3 3 3" xfId="25474" xr:uid="{00000000-0005-0000-0000-00009B140000}"/>
    <cellStyle name="40% - Ênfase2 3 3 3 2" xfId="26738" xr:uid="{00000000-0005-0000-0000-00009C140000}"/>
    <cellStyle name="40% - Ênfase2 3 3 4" xfId="26735" xr:uid="{00000000-0005-0000-0000-00009D140000}"/>
    <cellStyle name="40% - Ênfase2 3 3 5" xfId="25471" xr:uid="{00000000-0005-0000-0000-00009E140000}"/>
    <cellStyle name="40% - Ênfase2 3 4" xfId="5171" xr:uid="{00000000-0005-0000-0000-00009F140000}"/>
    <cellStyle name="40% - Ênfase2 3 4 2" xfId="26739" xr:uid="{00000000-0005-0000-0000-0000A0140000}"/>
    <cellStyle name="40% - Ênfase2 3 5" xfId="5172" xr:uid="{00000000-0005-0000-0000-0000A1140000}"/>
    <cellStyle name="40% - Ênfase2 3 5 10" xfId="5173" xr:uid="{00000000-0005-0000-0000-0000A2140000}"/>
    <cellStyle name="40% - Ênfase2 3 5 10 2" xfId="5174" xr:uid="{00000000-0005-0000-0000-0000A3140000}"/>
    <cellStyle name="40% - Ênfase2 3 5 2" xfId="5175" xr:uid="{00000000-0005-0000-0000-0000A4140000}"/>
    <cellStyle name="40% - Ênfase2 3 5 2 2" xfId="5176" xr:uid="{00000000-0005-0000-0000-0000A5140000}"/>
    <cellStyle name="40% - Ênfase2 3 5 3" xfId="5177" xr:uid="{00000000-0005-0000-0000-0000A6140000}"/>
    <cellStyle name="40% - Ênfase2 3 5 3 2" xfId="5178" xr:uid="{00000000-0005-0000-0000-0000A7140000}"/>
    <cellStyle name="40% - Ênfase2 3 5 4" xfId="5179" xr:uid="{00000000-0005-0000-0000-0000A8140000}"/>
    <cellStyle name="40% - Ênfase2 3 5 4 2" xfId="5180" xr:uid="{00000000-0005-0000-0000-0000A9140000}"/>
    <cellStyle name="40% - Ênfase2 3 5 5" xfId="5181" xr:uid="{00000000-0005-0000-0000-0000AA140000}"/>
    <cellStyle name="40% - Ênfase2 3 5 5 2" xfId="5182" xr:uid="{00000000-0005-0000-0000-0000AB140000}"/>
    <cellStyle name="40% - Ênfase2 3 5 6" xfId="5183" xr:uid="{00000000-0005-0000-0000-0000AC140000}"/>
    <cellStyle name="40% - Ênfase2 3 5 6 2" xfId="5184" xr:uid="{00000000-0005-0000-0000-0000AD140000}"/>
    <cellStyle name="40% - Ênfase2 3 5 7" xfId="5185" xr:uid="{00000000-0005-0000-0000-0000AE140000}"/>
    <cellStyle name="40% - Ênfase2 3 5 7 2" xfId="5186" xr:uid="{00000000-0005-0000-0000-0000AF140000}"/>
    <cellStyle name="40% - Ênfase2 3 5 8" xfId="5187" xr:uid="{00000000-0005-0000-0000-0000B0140000}"/>
    <cellStyle name="40% - Ênfase2 3 5 8 2" xfId="5188" xr:uid="{00000000-0005-0000-0000-0000B1140000}"/>
    <cellStyle name="40% - Ênfase2 3 5 9" xfId="5189" xr:uid="{00000000-0005-0000-0000-0000B2140000}"/>
    <cellStyle name="40% - Ênfase2 3 5 9 2" xfId="5190" xr:uid="{00000000-0005-0000-0000-0000B3140000}"/>
    <cellStyle name="40% - Ênfase2 3 6" xfId="5191" xr:uid="{00000000-0005-0000-0000-0000B4140000}"/>
    <cellStyle name="40% - Ênfase2 3 6 2" xfId="5192" xr:uid="{00000000-0005-0000-0000-0000B5140000}"/>
    <cellStyle name="40% - Ênfase2 3 6 2 2" xfId="5193" xr:uid="{00000000-0005-0000-0000-0000B6140000}"/>
    <cellStyle name="40% - Ênfase2 3 6 3" xfId="5194" xr:uid="{00000000-0005-0000-0000-0000B7140000}"/>
    <cellStyle name="40% - Ênfase2 3 6 3 2" xfId="5195" xr:uid="{00000000-0005-0000-0000-0000B8140000}"/>
    <cellStyle name="40% - Ênfase2 3 6 4" xfId="5196" xr:uid="{00000000-0005-0000-0000-0000B9140000}"/>
    <cellStyle name="40% - Ênfase2 3 6 4 2" xfId="5197" xr:uid="{00000000-0005-0000-0000-0000BA140000}"/>
    <cellStyle name="40% - Ênfase2 3 6 5" xfId="5198" xr:uid="{00000000-0005-0000-0000-0000BB140000}"/>
    <cellStyle name="40% - Ênfase2 3 6 5 2" xfId="5199" xr:uid="{00000000-0005-0000-0000-0000BC140000}"/>
    <cellStyle name="40% - Ênfase2 3 6 6" xfId="5200" xr:uid="{00000000-0005-0000-0000-0000BD140000}"/>
    <cellStyle name="40% - Ênfase2 3 7" xfId="25475" xr:uid="{00000000-0005-0000-0000-0000BE140000}"/>
    <cellStyle name="40% - Ênfase2 3 7 2" xfId="26740" xr:uid="{00000000-0005-0000-0000-0000BF140000}"/>
    <cellStyle name="40% - Ênfase2 3 8" xfId="26727" xr:uid="{00000000-0005-0000-0000-0000C0140000}"/>
    <cellStyle name="40% - Ênfase2 30" xfId="5201" xr:uid="{00000000-0005-0000-0000-0000C1140000}"/>
    <cellStyle name="40% - Ênfase2 30 2" xfId="5202" xr:uid="{00000000-0005-0000-0000-0000C2140000}"/>
    <cellStyle name="40% - Ênfase2 31" xfId="5203" xr:uid="{00000000-0005-0000-0000-0000C3140000}"/>
    <cellStyle name="40% - Ênfase2 31 2" xfId="5204" xr:uid="{00000000-0005-0000-0000-0000C4140000}"/>
    <cellStyle name="40% - Ênfase2 32" xfId="5205" xr:uid="{00000000-0005-0000-0000-0000C5140000}"/>
    <cellStyle name="40% - Ênfase2 32 2" xfId="5206" xr:uid="{00000000-0005-0000-0000-0000C6140000}"/>
    <cellStyle name="40% - Ênfase2 33" xfId="5207" xr:uid="{00000000-0005-0000-0000-0000C7140000}"/>
    <cellStyle name="40% - Ênfase2 33 2" xfId="5208" xr:uid="{00000000-0005-0000-0000-0000C8140000}"/>
    <cellStyle name="40% - Ênfase2 34" xfId="5209" xr:uid="{00000000-0005-0000-0000-0000C9140000}"/>
    <cellStyle name="40% - Ênfase2 34 2" xfId="5210" xr:uid="{00000000-0005-0000-0000-0000CA140000}"/>
    <cellStyle name="40% - Ênfase2 35" xfId="5211" xr:uid="{00000000-0005-0000-0000-0000CB140000}"/>
    <cellStyle name="40% - Ênfase2 35 2" xfId="5212" xr:uid="{00000000-0005-0000-0000-0000CC140000}"/>
    <cellStyle name="40% - Ênfase2 36" xfId="5213" xr:uid="{00000000-0005-0000-0000-0000CD140000}"/>
    <cellStyle name="40% - Ênfase2 36 2" xfId="5214" xr:uid="{00000000-0005-0000-0000-0000CE140000}"/>
    <cellStyle name="40% - Ênfase2 37" xfId="5215" xr:uid="{00000000-0005-0000-0000-0000CF140000}"/>
    <cellStyle name="40% - Ênfase2 37 2" xfId="5216" xr:uid="{00000000-0005-0000-0000-0000D0140000}"/>
    <cellStyle name="40% - Ênfase2 38" xfId="5217" xr:uid="{00000000-0005-0000-0000-0000D1140000}"/>
    <cellStyle name="40% - Ênfase2 38 2" xfId="5218" xr:uid="{00000000-0005-0000-0000-0000D2140000}"/>
    <cellStyle name="40% - Ênfase2 39" xfId="5219" xr:uid="{00000000-0005-0000-0000-0000D3140000}"/>
    <cellStyle name="40% - Ênfase2 39 2" xfId="5220" xr:uid="{00000000-0005-0000-0000-0000D4140000}"/>
    <cellStyle name="40% - Ênfase2 4" xfId="5221" xr:uid="{00000000-0005-0000-0000-0000D5140000}"/>
    <cellStyle name="40% - Ênfase2 4 2" xfId="5222" xr:uid="{00000000-0005-0000-0000-0000D6140000}"/>
    <cellStyle name="40% - Ênfase2 4 2 10" xfId="5223" xr:uid="{00000000-0005-0000-0000-0000D7140000}"/>
    <cellStyle name="40% - Ênfase2 4 2 10 2" xfId="5224" xr:uid="{00000000-0005-0000-0000-0000D8140000}"/>
    <cellStyle name="40% - Ênfase2 4 2 11" xfId="5225" xr:uid="{00000000-0005-0000-0000-0000D9140000}"/>
    <cellStyle name="40% - Ênfase2 4 2 11 2" xfId="5226" xr:uid="{00000000-0005-0000-0000-0000DA140000}"/>
    <cellStyle name="40% - Ênfase2 4 2 12" xfId="5227" xr:uid="{00000000-0005-0000-0000-0000DB140000}"/>
    <cellStyle name="40% - Ênfase2 4 2 12 2" xfId="5228" xr:uid="{00000000-0005-0000-0000-0000DC140000}"/>
    <cellStyle name="40% - Ênfase2 4 2 2" xfId="5229" xr:uid="{00000000-0005-0000-0000-0000DD140000}"/>
    <cellStyle name="40% - Ênfase2 4 2 2 10" xfId="5230" xr:uid="{00000000-0005-0000-0000-0000DE140000}"/>
    <cellStyle name="40% - Ênfase2 4 2 2 11" xfId="5231" xr:uid="{00000000-0005-0000-0000-0000DF140000}"/>
    <cellStyle name="40% - Ênfase2 4 2 2 2" xfId="5232" xr:uid="{00000000-0005-0000-0000-0000E0140000}"/>
    <cellStyle name="40% - Ênfase2 4 2 2 2 2" xfId="25477" xr:uid="{00000000-0005-0000-0000-0000E1140000}"/>
    <cellStyle name="40% - Ênfase2 4 2 2 2 2 2" xfId="26744" xr:uid="{00000000-0005-0000-0000-0000E2140000}"/>
    <cellStyle name="40% - Ênfase2 4 2 2 2 3" xfId="26743" xr:uid="{00000000-0005-0000-0000-0000E3140000}"/>
    <cellStyle name="40% - Ênfase2 4 2 2 2 4" xfId="25476" xr:uid="{00000000-0005-0000-0000-0000E4140000}"/>
    <cellStyle name="40% - Ênfase2 4 2 2 3" xfId="5233" xr:uid="{00000000-0005-0000-0000-0000E5140000}"/>
    <cellStyle name="40% - Ênfase2 4 2 2 3 2" xfId="26745" xr:uid="{00000000-0005-0000-0000-0000E6140000}"/>
    <cellStyle name="40% - Ênfase2 4 2 2 3 3" xfId="25478" xr:uid="{00000000-0005-0000-0000-0000E7140000}"/>
    <cellStyle name="40% - Ênfase2 4 2 2 4" xfId="5234" xr:uid="{00000000-0005-0000-0000-0000E8140000}"/>
    <cellStyle name="40% - Ênfase2 4 2 2 4 2" xfId="26742" xr:uid="{00000000-0005-0000-0000-0000E9140000}"/>
    <cellStyle name="40% - Ênfase2 4 2 2 5" xfId="5235" xr:uid="{00000000-0005-0000-0000-0000EA140000}"/>
    <cellStyle name="40% - Ênfase2 4 2 2 6" xfId="5236" xr:uid="{00000000-0005-0000-0000-0000EB140000}"/>
    <cellStyle name="40% - Ênfase2 4 2 2 7" xfId="5237" xr:uid="{00000000-0005-0000-0000-0000EC140000}"/>
    <cellStyle name="40% - Ênfase2 4 2 2 8" xfId="5238" xr:uid="{00000000-0005-0000-0000-0000ED140000}"/>
    <cellStyle name="40% - Ênfase2 4 2 2 9" xfId="5239" xr:uid="{00000000-0005-0000-0000-0000EE140000}"/>
    <cellStyle name="40% - Ênfase2 4 2 3" xfId="5240" xr:uid="{00000000-0005-0000-0000-0000EF140000}"/>
    <cellStyle name="40% - Ênfase2 4 2 3 2" xfId="25480" xr:uid="{00000000-0005-0000-0000-0000F0140000}"/>
    <cellStyle name="40% - Ênfase2 4 2 3 2 2" xfId="26747" xr:uid="{00000000-0005-0000-0000-0000F1140000}"/>
    <cellStyle name="40% - Ênfase2 4 2 3 3" xfId="26746" xr:uid="{00000000-0005-0000-0000-0000F2140000}"/>
    <cellStyle name="40% - Ênfase2 4 2 3 4" xfId="25479" xr:uid="{00000000-0005-0000-0000-0000F3140000}"/>
    <cellStyle name="40% - Ênfase2 4 2 4" xfId="5241" xr:uid="{00000000-0005-0000-0000-0000F4140000}"/>
    <cellStyle name="40% - Ênfase2 4 2 4 2" xfId="26748" xr:uid="{00000000-0005-0000-0000-0000F5140000}"/>
    <cellStyle name="40% - Ênfase2 4 2 4 3" xfId="25481" xr:uid="{00000000-0005-0000-0000-0000F6140000}"/>
    <cellStyle name="40% - Ênfase2 4 2 5" xfId="5242" xr:uid="{00000000-0005-0000-0000-0000F7140000}"/>
    <cellStyle name="40% - Ênfase2 4 2 5 2" xfId="5243" xr:uid="{00000000-0005-0000-0000-0000F8140000}"/>
    <cellStyle name="40% - Ênfase2 4 2 6" xfId="5244" xr:uid="{00000000-0005-0000-0000-0000F9140000}"/>
    <cellStyle name="40% - Ênfase2 4 2 6 2" xfId="5245" xr:uid="{00000000-0005-0000-0000-0000FA140000}"/>
    <cellStyle name="40% - Ênfase2 4 2 7" xfId="5246" xr:uid="{00000000-0005-0000-0000-0000FB140000}"/>
    <cellStyle name="40% - Ênfase2 4 2 7 2" xfId="5247" xr:uid="{00000000-0005-0000-0000-0000FC140000}"/>
    <cellStyle name="40% - Ênfase2 4 2 8" xfId="5248" xr:uid="{00000000-0005-0000-0000-0000FD140000}"/>
    <cellStyle name="40% - Ênfase2 4 2 8 2" xfId="5249" xr:uid="{00000000-0005-0000-0000-0000FE140000}"/>
    <cellStyle name="40% - Ênfase2 4 2 9" xfId="5250" xr:uid="{00000000-0005-0000-0000-0000FF140000}"/>
    <cellStyle name="40% - Ênfase2 4 2 9 2" xfId="5251" xr:uid="{00000000-0005-0000-0000-000000150000}"/>
    <cellStyle name="40% - Ênfase2 4 3" xfId="5252" xr:uid="{00000000-0005-0000-0000-000001150000}"/>
    <cellStyle name="40% - Ênfase2 4 3 2" xfId="25483" xr:uid="{00000000-0005-0000-0000-000002150000}"/>
    <cellStyle name="40% - Ênfase2 4 3 2 2" xfId="25484" xr:uid="{00000000-0005-0000-0000-000003150000}"/>
    <cellStyle name="40% - Ênfase2 4 3 2 2 2" xfId="26751" xr:uid="{00000000-0005-0000-0000-000004150000}"/>
    <cellStyle name="40% - Ênfase2 4 3 2 3" xfId="26750" xr:uid="{00000000-0005-0000-0000-000005150000}"/>
    <cellStyle name="40% - Ênfase2 4 3 3" xfId="25485" xr:uid="{00000000-0005-0000-0000-000006150000}"/>
    <cellStyle name="40% - Ênfase2 4 3 3 2" xfId="26752" xr:uid="{00000000-0005-0000-0000-000007150000}"/>
    <cellStyle name="40% - Ênfase2 4 3 4" xfId="26749" xr:uid="{00000000-0005-0000-0000-000008150000}"/>
    <cellStyle name="40% - Ênfase2 4 3 5" xfId="25482" xr:uid="{00000000-0005-0000-0000-000009150000}"/>
    <cellStyle name="40% - Ênfase2 4 4" xfId="5253" xr:uid="{00000000-0005-0000-0000-00000A150000}"/>
    <cellStyle name="40% - Ênfase2 4 4 2" xfId="26753" xr:uid="{00000000-0005-0000-0000-00000B150000}"/>
    <cellStyle name="40% - Ênfase2 4 5" xfId="5254" xr:uid="{00000000-0005-0000-0000-00000C150000}"/>
    <cellStyle name="40% - Ênfase2 4 5 10" xfId="5255" xr:uid="{00000000-0005-0000-0000-00000D150000}"/>
    <cellStyle name="40% - Ênfase2 4 5 10 2" xfId="5256" xr:uid="{00000000-0005-0000-0000-00000E150000}"/>
    <cellStyle name="40% - Ênfase2 4 5 2" xfId="5257" xr:uid="{00000000-0005-0000-0000-00000F150000}"/>
    <cellStyle name="40% - Ênfase2 4 5 2 2" xfId="5258" xr:uid="{00000000-0005-0000-0000-000010150000}"/>
    <cellStyle name="40% - Ênfase2 4 5 3" xfId="5259" xr:uid="{00000000-0005-0000-0000-000011150000}"/>
    <cellStyle name="40% - Ênfase2 4 5 3 2" xfId="5260" xr:uid="{00000000-0005-0000-0000-000012150000}"/>
    <cellStyle name="40% - Ênfase2 4 5 4" xfId="5261" xr:uid="{00000000-0005-0000-0000-000013150000}"/>
    <cellStyle name="40% - Ênfase2 4 5 4 2" xfId="5262" xr:uid="{00000000-0005-0000-0000-000014150000}"/>
    <cellStyle name="40% - Ênfase2 4 5 5" xfId="5263" xr:uid="{00000000-0005-0000-0000-000015150000}"/>
    <cellStyle name="40% - Ênfase2 4 5 5 2" xfId="5264" xr:uid="{00000000-0005-0000-0000-000016150000}"/>
    <cellStyle name="40% - Ênfase2 4 5 6" xfId="5265" xr:uid="{00000000-0005-0000-0000-000017150000}"/>
    <cellStyle name="40% - Ênfase2 4 5 6 2" xfId="5266" xr:uid="{00000000-0005-0000-0000-000018150000}"/>
    <cellStyle name="40% - Ênfase2 4 5 7" xfId="5267" xr:uid="{00000000-0005-0000-0000-000019150000}"/>
    <cellStyle name="40% - Ênfase2 4 5 7 2" xfId="5268" xr:uid="{00000000-0005-0000-0000-00001A150000}"/>
    <cellStyle name="40% - Ênfase2 4 5 8" xfId="5269" xr:uid="{00000000-0005-0000-0000-00001B150000}"/>
    <cellStyle name="40% - Ênfase2 4 5 8 2" xfId="5270" xr:uid="{00000000-0005-0000-0000-00001C150000}"/>
    <cellStyle name="40% - Ênfase2 4 5 9" xfId="5271" xr:uid="{00000000-0005-0000-0000-00001D150000}"/>
    <cellStyle name="40% - Ênfase2 4 5 9 2" xfId="5272" xr:uid="{00000000-0005-0000-0000-00001E150000}"/>
    <cellStyle name="40% - Ênfase2 4 6" xfId="5273" xr:uid="{00000000-0005-0000-0000-00001F150000}"/>
    <cellStyle name="40% - Ênfase2 4 6 2" xfId="5274" xr:uid="{00000000-0005-0000-0000-000020150000}"/>
    <cellStyle name="40% - Ênfase2 4 6 2 2" xfId="5275" xr:uid="{00000000-0005-0000-0000-000021150000}"/>
    <cellStyle name="40% - Ênfase2 4 6 3" xfId="5276" xr:uid="{00000000-0005-0000-0000-000022150000}"/>
    <cellStyle name="40% - Ênfase2 4 6 3 2" xfId="5277" xr:uid="{00000000-0005-0000-0000-000023150000}"/>
    <cellStyle name="40% - Ênfase2 4 6 4" xfId="5278" xr:uid="{00000000-0005-0000-0000-000024150000}"/>
    <cellStyle name="40% - Ênfase2 4 6 4 2" xfId="5279" xr:uid="{00000000-0005-0000-0000-000025150000}"/>
    <cellStyle name="40% - Ênfase2 4 6 5" xfId="5280" xr:uid="{00000000-0005-0000-0000-000026150000}"/>
    <cellStyle name="40% - Ênfase2 4 6 5 2" xfId="5281" xr:uid="{00000000-0005-0000-0000-000027150000}"/>
    <cellStyle name="40% - Ênfase2 4 6 6" xfId="5282" xr:uid="{00000000-0005-0000-0000-000028150000}"/>
    <cellStyle name="40% - Ênfase2 4 7" xfId="26741" xr:uid="{00000000-0005-0000-0000-000029150000}"/>
    <cellStyle name="40% - Ênfase2 40" xfId="5283" xr:uid="{00000000-0005-0000-0000-00002A150000}"/>
    <cellStyle name="40% - Ênfase2 40 2" xfId="5284" xr:uid="{00000000-0005-0000-0000-00002B150000}"/>
    <cellStyle name="40% - Ênfase2 41" xfId="5285" xr:uid="{00000000-0005-0000-0000-00002C150000}"/>
    <cellStyle name="40% - Ênfase2 41 2" xfId="5286" xr:uid="{00000000-0005-0000-0000-00002D150000}"/>
    <cellStyle name="40% - Ênfase2 42" xfId="5287" xr:uid="{00000000-0005-0000-0000-00002E150000}"/>
    <cellStyle name="40% - Ênfase2 42 2" xfId="5288" xr:uid="{00000000-0005-0000-0000-00002F150000}"/>
    <cellStyle name="40% - Ênfase2 43" xfId="5289" xr:uid="{00000000-0005-0000-0000-000030150000}"/>
    <cellStyle name="40% - Ênfase2 43 2" xfId="5290" xr:uid="{00000000-0005-0000-0000-000031150000}"/>
    <cellStyle name="40% - Ênfase2 44" xfId="5291" xr:uid="{00000000-0005-0000-0000-000032150000}"/>
    <cellStyle name="40% - Ênfase2 44 2" xfId="5292" xr:uid="{00000000-0005-0000-0000-000033150000}"/>
    <cellStyle name="40% - Ênfase2 45" xfId="5293" xr:uid="{00000000-0005-0000-0000-000034150000}"/>
    <cellStyle name="40% - Ênfase2 45 2" xfId="5294" xr:uid="{00000000-0005-0000-0000-000035150000}"/>
    <cellStyle name="40% - Ênfase2 46" xfId="5295" xr:uid="{00000000-0005-0000-0000-000036150000}"/>
    <cellStyle name="40% - Ênfase2 46 2" xfId="5296" xr:uid="{00000000-0005-0000-0000-000037150000}"/>
    <cellStyle name="40% - Ênfase2 47" xfId="5297" xr:uid="{00000000-0005-0000-0000-000038150000}"/>
    <cellStyle name="40% - Ênfase2 47 2" xfId="5298" xr:uid="{00000000-0005-0000-0000-000039150000}"/>
    <cellStyle name="40% - Ênfase2 48" xfId="5299" xr:uid="{00000000-0005-0000-0000-00003A150000}"/>
    <cellStyle name="40% - Ênfase2 48 2" xfId="5300" xr:uid="{00000000-0005-0000-0000-00003B150000}"/>
    <cellStyle name="40% - Ênfase2 49" xfId="5301" xr:uid="{00000000-0005-0000-0000-00003C150000}"/>
    <cellStyle name="40% - Ênfase2 49 2" xfId="5302" xr:uid="{00000000-0005-0000-0000-00003D150000}"/>
    <cellStyle name="40% - Ênfase2 5" xfId="5303" xr:uid="{00000000-0005-0000-0000-00003E150000}"/>
    <cellStyle name="40% - Ênfase2 5 2" xfId="5304" xr:uid="{00000000-0005-0000-0000-00003F150000}"/>
    <cellStyle name="40% - Ênfase2 5 2 2" xfId="5305" xr:uid="{00000000-0005-0000-0000-000040150000}"/>
    <cellStyle name="40% - Ênfase2 5 2 2 2" xfId="25487" xr:uid="{00000000-0005-0000-0000-000041150000}"/>
    <cellStyle name="40% - Ênfase2 5 2 2 2 2" xfId="25488" xr:uid="{00000000-0005-0000-0000-000042150000}"/>
    <cellStyle name="40% - Ênfase2 5 2 2 2 2 2" xfId="26756" xr:uid="{00000000-0005-0000-0000-000043150000}"/>
    <cellStyle name="40% - Ênfase2 5 2 2 2 3" xfId="26755" xr:uid="{00000000-0005-0000-0000-000044150000}"/>
    <cellStyle name="40% - Ênfase2 5 2 2 3" xfId="25489" xr:uid="{00000000-0005-0000-0000-000045150000}"/>
    <cellStyle name="40% - Ênfase2 5 2 2 3 2" xfId="26757" xr:uid="{00000000-0005-0000-0000-000046150000}"/>
    <cellStyle name="40% - Ênfase2 5 2 2 4" xfId="26754" xr:uid="{00000000-0005-0000-0000-000047150000}"/>
    <cellStyle name="40% - Ênfase2 5 2 2 5" xfId="25486" xr:uid="{00000000-0005-0000-0000-000048150000}"/>
    <cellStyle name="40% - Ênfase2 5 2 3" xfId="5306" xr:uid="{00000000-0005-0000-0000-000049150000}"/>
    <cellStyle name="40% - Ênfase2 5 2 3 2" xfId="25491" xr:uid="{00000000-0005-0000-0000-00004A150000}"/>
    <cellStyle name="40% - Ênfase2 5 2 3 2 2" xfId="26759" xr:uid="{00000000-0005-0000-0000-00004B150000}"/>
    <cellStyle name="40% - Ênfase2 5 2 3 3" xfId="26758" xr:uid="{00000000-0005-0000-0000-00004C150000}"/>
    <cellStyle name="40% - Ênfase2 5 2 3 4" xfId="25490" xr:uid="{00000000-0005-0000-0000-00004D150000}"/>
    <cellStyle name="40% - Ênfase2 5 2 4" xfId="5307" xr:uid="{00000000-0005-0000-0000-00004E150000}"/>
    <cellStyle name="40% - Ênfase2 5 2 4 2" xfId="26760" xr:uid="{00000000-0005-0000-0000-00004F150000}"/>
    <cellStyle name="40% - Ênfase2 5 2 4 3" xfId="25492" xr:uid="{00000000-0005-0000-0000-000050150000}"/>
    <cellStyle name="40% - Ênfase2 5 2 5" xfId="5308" xr:uid="{00000000-0005-0000-0000-000051150000}"/>
    <cellStyle name="40% - Ênfase2 5 2 5 2" xfId="5309" xr:uid="{00000000-0005-0000-0000-000052150000}"/>
    <cellStyle name="40% - Ênfase2 5 2 6" xfId="5310" xr:uid="{00000000-0005-0000-0000-000053150000}"/>
    <cellStyle name="40% - Ênfase2 5 2 6 2" xfId="5311" xr:uid="{00000000-0005-0000-0000-000054150000}"/>
    <cellStyle name="40% - Ênfase2 5 2 7" xfId="5312" xr:uid="{00000000-0005-0000-0000-000055150000}"/>
    <cellStyle name="40% - Ênfase2 5 2 7 2" xfId="5313" xr:uid="{00000000-0005-0000-0000-000056150000}"/>
    <cellStyle name="40% - Ênfase2 5 2 8" xfId="5314" xr:uid="{00000000-0005-0000-0000-000057150000}"/>
    <cellStyle name="40% - Ênfase2 5 2 8 2" xfId="5315" xr:uid="{00000000-0005-0000-0000-000058150000}"/>
    <cellStyle name="40% - Ênfase2 5 2 9" xfId="5316" xr:uid="{00000000-0005-0000-0000-000059150000}"/>
    <cellStyle name="40% - Ênfase2 5 3" xfId="5317" xr:uid="{00000000-0005-0000-0000-00005A150000}"/>
    <cellStyle name="40% - Ênfase2 5 3 2" xfId="25494" xr:uid="{00000000-0005-0000-0000-00005B150000}"/>
    <cellStyle name="40% - Ênfase2 5 3 2 2" xfId="25495" xr:uid="{00000000-0005-0000-0000-00005C150000}"/>
    <cellStyle name="40% - Ênfase2 5 3 2 2 2" xfId="26763" xr:uid="{00000000-0005-0000-0000-00005D150000}"/>
    <cellStyle name="40% - Ênfase2 5 3 2 3" xfId="26762" xr:uid="{00000000-0005-0000-0000-00005E150000}"/>
    <cellStyle name="40% - Ênfase2 5 3 3" xfId="25496" xr:uid="{00000000-0005-0000-0000-00005F150000}"/>
    <cellStyle name="40% - Ênfase2 5 3 3 2" xfId="26764" xr:uid="{00000000-0005-0000-0000-000060150000}"/>
    <cellStyle name="40% - Ênfase2 5 3 4" xfId="26761" xr:uid="{00000000-0005-0000-0000-000061150000}"/>
    <cellStyle name="40% - Ênfase2 5 3 5" xfId="25493" xr:uid="{00000000-0005-0000-0000-000062150000}"/>
    <cellStyle name="40% - Ênfase2 5 4" xfId="5318" xr:uid="{00000000-0005-0000-0000-000063150000}"/>
    <cellStyle name="40% - Ênfase2 5 4 2" xfId="25498" xr:uid="{00000000-0005-0000-0000-000064150000}"/>
    <cellStyle name="40% - Ênfase2 5 4 2 2" xfId="26766" xr:uid="{00000000-0005-0000-0000-000065150000}"/>
    <cellStyle name="40% - Ênfase2 5 4 3" xfId="26765" xr:uid="{00000000-0005-0000-0000-000066150000}"/>
    <cellStyle name="40% - Ênfase2 5 4 4" xfId="25497" xr:uid="{00000000-0005-0000-0000-000067150000}"/>
    <cellStyle name="40% - Ênfase2 5 5" xfId="5319" xr:uid="{00000000-0005-0000-0000-000068150000}"/>
    <cellStyle name="40% - Ênfase2 5 5 2" xfId="5320" xr:uid="{00000000-0005-0000-0000-000069150000}"/>
    <cellStyle name="40% - Ênfase2 5 5 2 2" xfId="5321" xr:uid="{00000000-0005-0000-0000-00006A150000}"/>
    <cellStyle name="40% - Ênfase2 5 5 3" xfId="5322" xr:uid="{00000000-0005-0000-0000-00006B150000}"/>
    <cellStyle name="40% - Ênfase2 5 5 3 2" xfId="5323" xr:uid="{00000000-0005-0000-0000-00006C150000}"/>
    <cellStyle name="40% - Ênfase2 5 5 4" xfId="5324" xr:uid="{00000000-0005-0000-0000-00006D150000}"/>
    <cellStyle name="40% - Ênfase2 5 5 4 2" xfId="5325" xr:uid="{00000000-0005-0000-0000-00006E150000}"/>
    <cellStyle name="40% - Ênfase2 5 5 5" xfId="5326" xr:uid="{00000000-0005-0000-0000-00006F150000}"/>
    <cellStyle name="40% - Ênfase2 5 5 5 2" xfId="5327" xr:uid="{00000000-0005-0000-0000-000070150000}"/>
    <cellStyle name="40% - Ênfase2 5 5 6" xfId="5328" xr:uid="{00000000-0005-0000-0000-000071150000}"/>
    <cellStyle name="40% - Ênfase2 5 6" xfId="5329" xr:uid="{00000000-0005-0000-0000-000072150000}"/>
    <cellStyle name="40% - Ênfase2 5 6 2" xfId="5330" xr:uid="{00000000-0005-0000-0000-000073150000}"/>
    <cellStyle name="40% - Ênfase2 5 6 2 2" xfId="5331" xr:uid="{00000000-0005-0000-0000-000074150000}"/>
    <cellStyle name="40% - Ênfase2 5 6 3" xfId="5332" xr:uid="{00000000-0005-0000-0000-000075150000}"/>
    <cellStyle name="40% - Ênfase2 5 6 3 2" xfId="5333" xr:uid="{00000000-0005-0000-0000-000076150000}"/>
    <cellStyle name="40% - Ênfase2 5 6 4" xfId="5334" xr:uid="{00000000-0005-0000-0000-000077150000}"/>
    <cellStyle name="40% - Ênfase2 5 6 4 2" xfId="5335" xr:uid="{00000000-0005-0000-0000-000078150000}"/>
    <cellStyle name="40% - Ênfase2 5 6 5" xfId="5336" xr:uid="{00000000-0005-0000-0000-000079150000}"/>
    <cellStyle name="40% - Ênfase2 5 6 5 2" xfId="5337" xr:uid="{00000000-0005-0000-0000-00007A150000}"/>
    <cellStyle name="40% - Ênfase2 5 6 6" xfId="5338" xr:uid="{00000000-0005-0000-0000-00007B150000}"/>
    <cellStyle name="40% - Ênfase2 50" xfId="5339" xr:uid="{00000000-0005-0000-0000-00007C150000}"/>
    <cellStyle name="40% - Ênfase2 50 2" xfId="5340" xr:uid="{00000000-0005-0000-0000-00007D150000}"/>
    <cellStyle name="40% - Ênfase2 51" xfId="5341" xr:uid="{00000000-0005-0000-0000-00007E150000}"/>
    <cellStyle name="40% - Ênfase2 51 2" xfId="5342" xr:uid="{00000000-0005-0000-0000-00007F150000}"/>
    <cellStyle name="40% - Ênfase2 52" xfId="5343" xr:uid="{00000000-0005-0000-0000-000080150000}"/>
    <cellStyle name="40% - Ênfase2 52 2" xfId="5344" xr:uid="{00000000-0005-0000-0000-000081150000}"/>
    <cellStyle name="40% - Ênfase2 53" xfId="5345" xr:uid="{00000000-0005-0000-0000-000082150000}"/>
    <cellStyle name="40% - Ênfase2 53 2" xfId="5346" xr:uid="{00000000-0005-0000-0000-000083150000}"/>
    <cellStyle name="40% - Ênfase2 54" xfId="5347" xr:uid="{00000000-0005-0000-0000-000084150000}"/>
    <cellStyle name="40% - Ênfase2 54 2" xfId="5348" xr:uid="{00000000-0005-0000-0000-000085150000}"/>
    <cellStyle name="40% - Ênfase2 55" xfId="5349" xr:uid="{00000000-0005-0000-0000-000086150000}"/>
    <cellStyle name="40% - Ênfase2 55 2" xfId="5350" xr:uid="{00000000-0005-0000-0000-000087150000}"/>
    <cellStyle name="40% - Ênfase2 6" xfId="5351" xr:uid="{00000000-0005-0000-0000-000088150000}"/>
    <cellStyle name="40% - Ênfase2 6 10" xfId="5352" xr:uid="{00000000-0005-0000-0000-000089150000}"/>
    <cellStyle name="40% - Ênfase2 6 10 2" xfId="5353" xr:uid="{00000000-0005-0000-0000-00008A150000}"/>
    <cellStyle name="40% - Ênfase2 6 11" xfId="5354" xr:uid="{00000000-0005-0000-0000-00008B150000}"/>
    <cellStyle name="40% - Ênfase2 6 11 2" xfId="5355" xr:uid="{00000000-0005-0000-0000-00008C150000}"/>
    <cellStyle name="40% - Ênfase2 6 12" xfId="5356" xr:uid="{00000000-0005-0000-0000-00008D150000}"/>
    <cellStyle name="40% - Ênfase2 6 12 2" xfId="5357" xr:uid="{00000000-0005-0000-0000-00008E150000}"/>
    <cellStyle name="40% - Ênfase2 6 13" xfId="5358" xr:uid="{00000000-0005-0000-0000-00008F150000}"/>
    <cellStyle name="40% - Ênfase2 6 13 2" xfId="5359" xr:uid="{00000000-0005-0000-0000-000090150000}"/>
    <cellStyle name="40% - Ênfase2 6 14" xfId="5360" xr:uid="{00000000-0005-0000-0000-000091150000}"/>
    <cellStyle name="40% - Ênfase2 6 14 2" xfId="5361" xr:uid="{00000000-0005-0000-0000-000092150000}"/>
    <cellStyle name="40% - Ênfase2 6 15" xfId="5362" xr:uid="{00000000-0005-0000-0000-000093150000}"/>
    <cellStyle name="40% - Ênfase2 6 15 2" xfId="5363" xr:uid="{00000000-0005-0000-0000-000094150000}"/>
    <cellStyle name="40% - Ênfase2 6 16" xfId="5364" xr:uid="{00000000-0005-0000-0000-000095150000}"/>
    <cellStyle name="40% - Ênfase2 6 16 2" xfId="5365" xr:uid="{00000000-0005-0000-0000-000096150000}"/>
    <cellStyle name="40% - Ênfase2 6 17" xfId="5366" xr:uid="{00000000-0005-0000-0000-000097150000}"/>
    <cellStyle name="40% - Ênfase2 6 17 2" xfId="5367" xr:uid="{00000000-0005-0000-0000-000098150000}"/>
    <cellStyle name="40% - Ênfase2 6 18" xfId="5368" xr:uid="{00000000-0005-0000-0000-000099150000}"/>
    <cellStyle name="40% - Ênfase2 6 18 2" xfId="5369" xr:uid="{00000000-0005-0000-0000-00009A150000}"/>
    <cellStyle name="40% - Ênfase2 6 19" xfId="5370" xr:uid="{00000000-0005-0000-0000-00009B150000}"/>
    <cellStyle name="40% - Ênfase2 6 19 2" xfId="5371" xr:uid="{00000000-0005-0000-0000-00009C150000}"/>
    <cellStyle name="40% - Ênfase2 6 2" xfId="5372" xr:uid="{00000000-0005-0000-0000-00009D150000}"/>
    <cellStyle name="40% - Ênfase2 6 2 2" xfId="5373" xr:uid="{00000000-0005-0000-0000-00009E150000}"/>
    <cellStyle name="40% - Ênfase2 6 2 2 2" xfId="5374" xr:uid="{00000000-0005-0000-0000-00009F150000}"/>
    <cellStyle name="40% - Ênfase2 6 2 2 2 2" xfId="26768" xr:uid="{00000000-0005-0000-0000-0000A0150000}"/>
    <cellStyle name="40% - Ênfase2 6 2 2 3" xfId="26767" xr:uid="{00000000-0005-0000-0000-0000A1150000}"/>
    <cellStyle name="40% - Ênfase2 6 2 3" xfId="5375" xr:uid="{00000000-0005-0000-0000-0000A2150000}"/>
    <cellStyle name="40% - Ênfase2 6 2 3 2" xfId="5376" xr:uid="{00000000-0005-0000-0000-0000A3150000}"/>
    <cellStyle name="40% - Ênfase2 6 2 4" xfId="5377" xr:uid="{00000000-0005-0000-0000-0000A4150000}"/>
    <cellStyle name="40% - Ênfase2 6 2 4 2" xfId="5378" xr:uid="{00000000-0005-0000-0000-0000A5150000}"/>
    <cellStyle name="40% - Ênfase2 6 2 5" xfId="5379" xr:uid="{00000000-0005-0000-0000-0000A6150000}"/>
    <cellStyle name="40% - Ênfase2 6 2 5 2" xfId="5380" xr:uid="{00000000-0005-0000-0000-0000A7150000}"/>
    <cellStyle name="40% - Ênfase2 6 2 6" xfId="5381" xr:uid="{00000000-0005-0000-0000-0000A8150000}"/>
    <cellStyle name="40% - Ênfase2 6 20" xfId="5382" xr:uid="{00000000-0005-0000-0000-0000A9150000}"/>
    <cellStyle name="40% - Ênfase2 6 20 2" xfId="5383" xr:uid="{00000000-0005-0000-0000-0000AA150000}"/>
    <cellStyle name="40% - Ênfase2 6 21" xfId="5384" xr:uid="{00000000-0005-0000-0000-0000AB150000}"/>
    <cellStyle name="40% - Ênfase2 6 21 2" xfId="5385" xr:uid="{00000000-0005-0000-0000-0000AC150000}"/>
    <cellStyle name="40% - Ênfase2 6 22" xfId="5386" xr:uid="{00000000-0005-0000-0000-0000AD150000}"/>
    <cellStyle name="40% - Ênfase2 6 22 2" xfId="5387" xr:uid="{00000000-0005-0000-0000-0000AE150000}"/>
    <cellStyle name="40% - Ênfase2 6 23" xfId="5388" xr:uid="{00000000-0005-0000-0000-0000AF150000}"/>
    <cellStyle name="40% - Ênfase2 6 23 2" xfId="5389" xr:uid="{00000000-0005-0000-0000-0000B0150000}"/>
    <cellStyle name="40% - Ênfase2 6 24" xfId="5390" xr:uid="{00000000-0005-0000-0000-0000B1150000}"/>
    <cellStyle name="40% - Ênfase2 6 24 2" xfId="5391" xr:uid="{00000000-0005-0000-0000-0000B2150000}"/>
    <cellStyle name="40% - Ênfase2 6 25" xfId="5392" xr:uid="{00000000-0005-0000-0000-0000B3150000}"/>
    <cellStyle name="40% - Ênfase2 6 25 2" xfId="5393" xr:uid="{00000000-0005-0000-0000-0000B4150000}"/>
    <cellStyle name="40% - Ênfase2 6 26" xfId="5394" xr:uid="{00000000-0005-0000-0000-0000B5150000}"/>
    <cellStyle name="40% - Ênfase2 6 26 2" xfId="5395" xr:uid="{00000000-0005-0000-0000-0000B6150000}"/>
    <cellStyle name="40% - Ênfase2 6 27" xfId="5396" xr:uid="{00000000-0005-0000-0000-0000B7150000}"/>
    <cellStyle name="40% - Ênfase2 6 27 2" xfId="5397" xr:uid="{00000000-0005-0000-0000-0000B8150000}"/>
    <cellStyle name="40% - Ênfase2 6 28" xfId="5398" xr:uid="{00000000-0005-0000-0000-0000B9150000}"/>
    <cellStyle name="40% - Ênfase2 6 28 2" xfId="5399" xr:uid="{00000000-0005-0000-0000-0000BA150000}"/>
    <cellStyle name="40% - Ênfase2 6 29" xfId="5400" xr:uid="{00000000-0005-0000-0000-0000BB150000}"/>
    <cellStyle name="40% - Ênfase2 6 29 2" xfId="5401" xr:uid="{00000000-0005-0000-0000-0000BC150000}"/>
    <cellStyle name="40% - Ênfase2 6 3" xfId="5402" xr:uid="{00000000-0005-0000-0000-0000BD150000}"/>
    <cellStyle name="40% - Ênfase2 6 3 2" xfId="5403" xr:uid="{00000000-0005-0000-0000-0000BE150000}"/>
    <cellStyle name="40% - Ênfase2 6 3 2 2" xfId="5404" xr:uid="{00000000-0005-0000-0000-0000BF150000}"/>
    <cellStyle name="40% - Ênfase2 6 3 3" xfId="5405" xr:uid="{00000000-0005-0000-0000-0000C0150000}"/>
    <cellStyle name="40% - Ênfase2 6 3 3 2" xfId="5406" xr:uid="{00000000-0005-0000-0000-0000C1150000}"/>
    <cellStyle name="40% - Ênfase2 6 3 4" xfId="5407" xr:uid="{00000000-0005-0000-0000-0000C2150000}"/>
    <cellStyle name="40% - Ênfase2 6 3 4 2" xfId="5408" xr:uid="{00000000-0005-0000-0000-0000C3150000}"/>
    <cellStyle name="40% - Ênfase2 6 3 5" xfId="5409" xr:uid="{00000000-0005-0000-0000-0000C4150000}"/>
    <cellStyle name="40% - Ênfase2 6 3 5 2" xfId="5410" xr:uid="{00000000-0005-0000-0000-0000C5150000}"/>
    <cellStyle name="40% - Ênfase2 6 3 6" xfId="5411" xr:uid="{00000000-0005-0000-0000-0000C6150000}"/>
    <cellStyle name="40% - Ênfase2 6 30" xfId="5412" xr:uid="{00000000-0005-0000-0000-0000C7150000}"/>
    <cellStyle name="40% - Ênfase2 6 30 2" xfId="5413" xr:uid="{00000000-0005-0000-0000-0000C8150000}"/>
    <cellStyle name="40% - Ênfase2 6 31" xfId="5414" xr:uid="{00000000-0005-0000-0000-0000C9150000}"/>
    <cellStyle name="40% - Ênfase2 6 31 2" xfId="5415" xr:uid="{00000000-0005-0000-0000-0000CA150000}"/>
    <cellStyle name="40% - Ênfase2 6 32" xfId="5416" xr:uid="{00000000-0005-0000-0000-0000CB150000}"/>
    <cellStyle name="40% - Ênfase2 6 32 2" xfId="5417" xr:uid="{00000000-0005-0000-0000-0000CC150000}"/>
    <cellStyle name="40% - Ênfase2 6 33" xfId="5418" xr:uid="{00000000-0005-0000-0000-0000CD150000}"/>
    <cellStyle name="40% - Ênfase2 6 33 2" xfId="5419" xr:uid="{00000000-0005-0000-0000-0000CE150000}"/>
    <cellStyle name="40% - Ênfase2 6 34" xfId="5420" xr:uid="{00000000-0005-0000-0000-0000CF150000}"/>
    <cellStyle name="40% - Ênfase2 6 34 2" xfId="5421" xr:uid="{00000000-0005-0000-0000-0000D0150000}"/>
    <cellStyle name="40% - Ênfase2 6 35" xfId="5422" xr:uid="{00000000-0005-0000-0000-0000D1150000}"/>
    <cellStyle name="40% - Ênfase2 6 35 2" xfId="5423" xr:uid="{00000000-0005-0000-0000-0000D2150000}"/>
    <cellStyle name="40% - Ênfase2 6 36" xfId="5424" xr:uid="{00000000-0005-0000-0000-0000D3150000}"/>
    <cellStyle name="40% - Ênfase2 6 36 2" xfId="5425" xr:uid="{00000000-0005-0000-0000-0000D4150000}"/>
    <cellStyle name="40% - Ênfase2 6 37" xfId="5426" xr:uid="{00000000-0005-0000-0000-0000D5150000}"/>
    <cellStyle name="40% - Ênfase2 6 4" xfId="5427" xr:uid="{00000000-0005-0000-0000-0000D6150000}"/>
    <cellStyle name="40% - Ênfase2 6 4 2" xfId="5428" xr:uid="{00000000-0005-0000-0000-0000D7150000}"/>
    <cellStyle name="40% - Ênfase2 6 4 2 2" xfId="5429" xr:uid="{00000000-0005-0000-0000-0000D8150000}"/>
    <cellStyle name="40% - Ênfase2 6 4 3" xfId="5430" xr:uid="{00000000-0005-0000-0000-0000D9150000}"/>
    <cellStyle name="40% - Ênfase2 6 4 3 2" xfId="5431" xr:uid="{00000000-0005-0000-0000-0000DA150000}"/>
    <cellStyle name="40% - Ênfase2 6 4 4" xfId="5432" xr:uid="{00000000-0005-0000-0000-0000DB150000}"/>
    <cellStyle name="40% - Ênfase2 6 4 4 2" xfId="5433" xr:uid="{00000000-0005-0000-0000-0000DC150000}"/>
    <cellStyle name="40% - Ênfase2 6 4 5" xfId="5434" xr:uid="{00000000-0005-0000-0000-0000DD150000}"/>
    <cellStyle name="40% - Ênfase2 6 4 5 2" xfId="5435" xr:uid="{00000000-0005-0000-0000-0000DE150000}"/>
    <cellStyle name="40% - Ênfase2 6 4 6" xfId="5436" xr:uid="{00000000-0005-0000-0000-0000DF150000}"/>
    <cellStyle name="40% - Ênfase2 6 5" xfId="5437" xr:uid="{00000000-0005-0000-0000-0000E0150000}"/>
    <cellStyle name="40% - Ênfase2 6 5 2" xfId="5438" xr:uid="{00000000-0005-0000-0000-0000E1150000}"/>
    <cellStyle name="40% - Ênfase2 6 6" xfId="5439" xr:uid="{00000000-0005-0000-0000-0000E2150000}"/>
    <cellStyle name="40% - Ênfase2 6 6 2" xfId="5440" xr:uid="{00000000-0005-0000-0000-0000E3150000}"/>
    <cellStyle name="40% - Ênfase2 6 7" xfId="5441" xr:uid="{00000000-0005-0000-0000-0000E4150000}"/>
    <cellStyle name="40% - Ênfase2 6 7 2" xfId="5442" xr:uid="{00000000-0005-0000-0000-0000E5150000}"/>
    <cellStyle name="40% - Ênfase2 6 8" xfId="5443" xr:uid="{00000000-0005-0000-0000-0000E6150000}"/>
    <cellStyle name="40% - Ênfase2 6 8 2" xfId="5444" xr:uid="{00000000-0005-0000-0000-0000E7150000}"/>
    <cellStyle name="40% - Ênfase2 6 9" xfId="5445" xr:uid="{00000000-0005-0000-0000-0000E8150000}"/>
    <cellStyle name="40% - Ênfase2 6 9 2" xfId="5446" xr:uid="{00000000-0005-0000-0000-0000E9150000}"/>
    <cellStyle name="40% - Ênfase2 7" xfId="5447" xr:uid="{00000000-0005-0000-0000-0000EA150000}"/>
    <cellStyle name="40% - Ênfase2 7 10" xfId="5448" xr:uid="{00000000-0005-0000-0000-0000EB150000}"/>
    <cellStyle name="40% - Ênfase2 7 10 2" xfId="5449" xr:uid="{00000000-0005-0000-0000-0000EC150000}"/>
    <cellStyle name="40% - Ênfase2 7 11" xfId="5450" xr:uid="{00000000-0005-0000-0000-0000ED150000}"/>
    <cellStyle name="40% - Ênfase2 7 11 2" xfId="5451" xr:uid="{00000000-0005-0000-0000-0000EE150000}"/>
    <cellStyle name="40% - Ênfase2 7 12" xfId="5452" xr:uid="{00000000-0005-0000-0000-0000EF150000}"/>
    <cellStyle name="40% - Ênfase2 7 12 2" xfId="5453" xr:uid="{00000000-0005-0000-0000-0000F0150000}"/>
    <cellStyle name="40% - Ênfase2 7 13" xfId="5454" xr:uid="{00000000-0005-0000-0000-0000F1150000}"/>
    <cellStyle name="40% - Ênfase2 7 13 2" xfId="5455" xr:uid="{00000000-0005-0000-0000-0000F2150000}"/>
    <cellStyle name="40% - Ênfase2 7 14" xfId="5456" xr:uid="{00000000-0005-0000-0000-0000F3150000}"/>
    <cellStyle name="40% - Ênfase2 7 14 2" xfId="5457" xr:uid="{00000000-0005-0000-0000-0000F4150000}"/>
    <cellStyle name="40% - Ênfase2 7 15" xfId="5458" xr:uid="{00000000-0005-0000-0000-0000F5150000}"/>
    <cellStyle name="40% - Ênfase2 7 15 2" xfId="5459" xr:uid="{00000000-0005-0000-0000-0000F6150000}"/>
    <cellStyle name="40% - Ênfase2 7 16" xfId="5460" xr:uid="{00000000-0005-0000-0000-0000F7150000}"/>
    <cellStyle name="40% - Ênfase2 7 16 2" xfId="5461" xr:uid="{00000000-0005-0000-0000-0000F8150000}"/>
    <cellStyle name="40% - Ênfase2 7 17" xfId="5462" xr:uid="{00000000-0005-0000-0000-0000F9150000}"/>
    <cellStyle name="40% - Ênfase2 7 17 2" xfId="5463" xr:uid="{00000000-0005-0000-0000-0000FA150000}"/>
    <cellStyle name="40% - Ênfase2 7 18" xfId="5464" xr:uid="{00000000-0005-0000-0000-0000FB150000}"/>
    <cellStyle name="40% - Ênfase2 7 18 2" xfId="5465" xr:uid="{00000000-0005-0000-0000-0000FC150000}"/>
    <cellStyle name="40% - Ênfase2 7 19" xfId="5466" xr:uid="{00000000-0005-0000-0000-0000FD150000}"/>
    <cellStyle name="40% - Ênfase2 7 19 2" xfId="5467" xr:uid="{00000000-0005-0000-0000-0000FE150000}"/>
    <cellStyle name="40% - Ênfase2 7 2" xfId="5468" xr:uid="{00000000-0005-0000-0000-0000FF150000}"/>
    <cellStyle name="40% - Ênfase2 7 2 2" xfId="5469" xr:uid="{00000000-0005-0000-0000-000000160000}"/>
    <cellStyle name="40% - Ênfase2 7 2 2 2" xfId="5470" xr:uid="{00000000-0005-0000-0000-000001160000}"/>
    <cellStyle name="40% - Ênfase2 7 2 2 2 2" xfId="26770" xr:uid="{00000000-0005-0000-0000-000002160000}"/>
    <cellStyle name="40% - Ênfase2 7 2 2 3" xfId="26769" xr:uid="{00000000-0005-0000-0000-000003160000}"/>
    <cellStyle name="40% - Ênfase2 7 2 3" xfId="5471" xr:uid="{00000000-0005-0000-0000-000004160000}"/>
    <cellStyle name="40% - Ênfase2 7 2 3 2" xfId="5472" xr:uid="{00000000-0005-0000-0000-000005160000}"/>
    <cellStyle name="40% - Ênfase2 7 2 4" xfId="5473" xr:uid="{00000000-0005-0000-0000-000006160000}"/>
    <cellStyle name="40% - Ênfase2 7 2 4 2" xfId="5474" xr:uid="{00000000-0005-0000-0000-000007160000}"/>
    <cellStyle name="40% - Ênfase2 7 2 5" xfId="5475" xr:uid="{00000000-0005-0000-0000-000008160000}"/>
    <cellStyle name="40% - Ênfase2 7 2 5 2" xfId="5476" xr:uid="{00000000-0005-0000-0000-000009160000}"/>
    <cellStyle name="40% - Ênfase2 7 2 6" xfId="5477" xr:uid="{00000000-0005-0000-0000-00000A160000}"/>
    <cellStyle name="40% - Ênfase2 7 20" xfId="5478" xr:uid="{00000000-0005-0000-0000-00000B160000}"/>
    <cellStyle name="40% - Ênfase2 7 20 2" xfId="5479" xr:uid="{00000000-0005-0000-0000-00000C160000}"/>
    <cellStyle name="40% - Ênfase2 7 21" xfId="5480" xr:uid="{00000000-0005-0000-0000-00000D160000}"/>
    <cellStyle name="40% - Ênfase2 7 21 2" xfId="5481" xr:uid="{00000000-0005-0000-0000-00000E160000}"/>
    <cellStyle name="40% - Ênfase2 7 22" xfId="5482" xr:uid="{00000000-0005-0000-0000-00000F160000}"/>
    <cellStyle name="40% - Ênfase2 7 22 2" xfId="5483" xr:uid="{00000000-0005-0000-0000-000010160000}"/>
    <cellStyle name="40% - Ênfase2 7 23" xfId="5484" xr:uid="{00000000-0005-0000-0000-000011160000}"/>
    <cellStyle name="40% - Ênfase2 7 23 2" xfId="5485" xr:uid="{00000000-0005-0000-0000-000012160000}"/>
    <cellStyle name="40% - Ênfase2 7 24" xfId="5486" xr:uid="{00000000-0005-0000-0000-000013160000}"/>
    <cellStyle name="40% - Ênfase2 7 24 2" xfId="5487" xr:uid="{00000000-0005-0000-0000-000014160000}"/>
    <cellStyle name="40% - Ênfase2 7 25" xfId="5488" xr:uid="{00000000-0005-0000-0000-000015160000}"/>
    <cellStyle name="40% - Ênfase2 7 25 2" xfId="5489" xr:uid="{00000000-0005-0000-0000-000016160000}"/>
    <cellStyle name="40% - Ênfase2 7 26" xfId="5490" xr:uid="{00000000-0005-0000-0000-000017160000}"/>
    <cellStyle name="40% - Ênfase2 7 26 2" xfId="5491" xr:uid="{00000000-0005-0000-0000-000018160000}"/>
    <cellStyle name="40% - Ênfase2 7 27" xfId="5492" xr:uid="{00000000-0005-0000-0000-000019160000}"/>
    <cellStyle name="40% - Ênfase2 7 27 2" xfId="5493" xr:uid="{00000000-0005-0000-0000-00001A160000}"/>
    <cellStyle name="40% - Ênfase2 7 28" xfId="5494" xr:uid="{00000000-0005-0000-0000-00001B160000}"/>
    <cellStyle name="40% - Ênfase2 7 28 2" xfId="5495" xr:uid="{00000000-0005-0000-0000-00001C160000}"/>
    <cellStyle name="40% - Ênfase2 7 29" xfId="5496" xr:uid="{00000000-0005-0000-0000-00001D160000}"/>
    <cellStyle name="40% - Ênfase2 7 29 2" xfId="5497" xr:uid="{00000000-0005-0000-0000-00001E160000}"/>
    <cellStyle name="40% - Ênfase2 7 3" xfId="5498" xr:uid="{00000000-0005-0000-0000-00001F160000}"/>
    <cellStyle name="40% - Ênfase2 7 3 2" xfId="5499" xr:uid="{00000000-0005-0000-0000-000020160000}"/>
    <cellStyle name="40% - Ênfase2 7 3 2 2" xfId="5500" xr:uid="{00000000-0005-0000-0000-000021160000}"/>
    <cellStyle name="40% - Ênfase2 7 3 3" xfId="5501" xr:uid="{00000000-0005-0000-0000-000022160000}"/>
    <cellStyle name="40% - Ênfase2 7 3 3 2" xfId="5502" xr:uid="{00000000-0005-0000-0000-000023160000}"/>
    <cellStyle name="40% - Ênfase2 7 3 4" xfId="5503" xr:uid="{00000000-0005-0000-0000-000024160000}"/>
    <cellStyle name="40% - Ênfase2 7 3 4 2" xfId="5504" xr:uid="{00000000-0005-0000-0000-000025160000}"/>
    <cellStyle name="40% - Ênfase2 7 3 5" xfId="5505" xr:uid="{00000000-0005-0000-0000-000026160000}"/>
    <cellStyle name="40% - Ênfase2 7 3 5 2" xfId="5506" xr:uid="{00000000-0005-0000-0000-000027160000}"/>
    <cellStyle name="40% - Ênfase2 7 3 6" xfId="5507" xr:uid="{00000000-0005-0000-0000-000028160000}"/>
    <cellStyle name="40% - Ênfase2 7 30" xfId="5508" xr:uid="{00000000-0005-0000-0000-000029160000}"/>
    <cellStyle name="40% - Ênfase2 7 30 2" xfId="5509" xr:uid="{00000000-0005-0000-0000-00002A160000}"/>
    <cellStyle name="40% - Ênfase2 7 31" xfId="5510" xr:uid="{00000000-0005-0000-0000-00002B160000}"/>
    <cellStyle name="40% - Ênfase2 7 31 2" xfId="5511" xr:uid="{00000000-0005-0000-0000-00002C160000}"/>
    <cellStyle name="40% - Ênfase2 7 32" xfId="5512" xr:uid="{00000000-0005-0000-0000-00002D160000}"/>
    <cellStyle name="40% - Ênfase2 7 32 2" xfId="5513" xr:uid="{00000000-0005-0000-0000-00002E160000}"/>
    <cellStyle name="40% - Ênfase2 7 33" xfId="5514" xr:uid="{00000000-0005-0000-0000-00002F160000}"/>
    <cellStyle name="40% - Ênfase2 7 33 2" xfId="5515" xr:uid="{00000000-0005-0000-0000-000030160000}"/>
    <cellStyle name="40% - Ênfase2 7 34" xfId="5516" xr:uid="{00000000-0005-0000-0000-000031160000}"/>
    <cellStyle name="40% - Ênfase2 7 34 2" xfId="5517" xr:uid="{00000000-0005-0000-0000-000032160000}"/>
    <cellStyle name="40% - Ênfase2 7 35" xfId="5518" xr:uid="{00000000-0005-0000-0000-000033160000}"/>
    <cellStyle name="40% - Ênfase2 7 35 2" xfId="5519" xr:uid="{00000000-0005-0000-0000-000034160000}"/>
    <cellStyle name="40% - Ênfase2 7 36" xfId="5520" xr:uid="{00000000-0005-0000-0000-000035160000}"/>
    <cellStyle name="40% - Ênfase2 7 36 2" xfId="5521" xr:uid="{00000000-0005-0000-0000-000036160000}"/>
    <cellStyle name="40% - Ênfase2 7 37" xfId="5522" xr:uid="{00000000-0005-0000-0000-000037160000}"/>
    <cellStyle name="40% - Ênfase2 7 4" xfId="5523" xr:uid="{00000000-0005-0000-0000-000038160000}"/>
    <cellStyle name="40% - Ênfase2 7 4 2" xfId="5524" xr:uid="{00000000-0005-0000-0000-000039160000}"/>
    <cellStyle name="40% - Ênfase2 7 4 2 2" xfId="5525" xr:uid="{00000000-0005-0000-0000-00003A160000}"/>
    <cellStyle name="40% - Ênfase2 7 4 3" xfId="5526" xr:uid="{00000000-0005-0000-0000-00003B160000}"/>
    <cellStyle name="40% - Ênfase2 7 4 3 2" xfId="5527" xr:uid="{00000000-0005-0000-0000-00003C160000}"/>
    <cellStyle name="40% - Ênfase2 7 4 4" xfId="5528" xr:uid="{00000000-0005-0000-0000-00003D160000}"/>
    <cellStyle name="40% - Ênfase2 7 4 4 2" xfId="5529" xr:uid="{00000000-0005-0000-0000-00003E160000}"/>
    <cellStyle name="40% - Ênfase2 7 4 5" xfId="5530" xr:uid="{00000000-0005-0000-0000-00003F160000}"/>
    <cellStyle name="40% - Ênfase2 7 4 5 2" xfId="5531" xr:uid="{00000000-0005-0000-0000-000040160000}"/>
    <cellStyle name="40% - Ênfase2 7 4 6" xfId="5532" xr:uid="{00000000-0005-0000-0000-000041160000}"/>
    <cellStyle name="40% - Ênfase2 7 5" xfId="5533" xr:uid="{00000000-0005-0000-0000-000042160000}"/>
    <cellStyle name="40% - Ênfase2 7 5 2" xfId="5534" xr:uid="{00000000-0005-0000-0000-000043160000}"/>
    <cellStyle name="40% - Ênfase2 7 6" xfId="5535" xr:uid="{00000000-0005-0000-0000-000044160000}"/>
    <cellStyle name="40% - Ênfase2 7 6 2" xfId="5536" xr:uid="{00000000-0005-0000-0000-000045160000}"/>
    <cellStyle name="40% - Ênfase2 7 7" xfId="5537" xr:uid="{00000000-0005-0000-0000-000046160000}"/>
    <cellStyle name="40% - Ênfase2 7 7 2" xfId="5538" xr:uid="{00000000-0005-0000-0000-000047160000}"/>
    <cellStyle name="40% - Ênfase2 7 8" xfId="5539" xr:uid="{00000000-0005-0000-0000-000048160000}"/>
    <cellStyle name="40% - Ênfase2 7 8 2" xfId="5540" xr:uid="{00000000-0005-0000-0000-000049160000}"/>
    <cellStyle name="40% - Ênfase2 7 9" xfId="5541" xr:uid="{00000000-0005-0000-0000-00004A160000}"/>
    <cellStyle name="40% - Ênfase2 7 9 2" xfId="5542" xr:uid="{00000000-0005-0000-0000-00004B160000}"/>
    <cellStyle name="40% - Ênfase2 8" xfId="5543" xr:uid="{00000000-0005-0000-0000-00004C160000}"/>
    <cellStyle name="40% - Ênfase2 8 10" xfId="5544" xr:uid="{00000000-0005-0000-0000-00004D160000}"/>
    <cellStyle name="40% - Ênfase2 8 10 2" xfId="5545" xr:uid="{00000000-0005-0000-0000-00004E160000}"/>
    <cellStyle name="40% - Ênfase2 8 2" xfId="5546" xr:uid="{00000000-0005-0000-0000-00004F160000}"/>
    <cellStyle name="40% - Ênfase2 8 2 2" xfId="5547" xr:uid="{00000000-0005-0000-0000-000050160000}"/>
    <cellStyle name="40% - Ênfase2 8 2 2 2" xfId="25499" xr:uid="{00000000-0005-0000-0000-000051160000}"/>
    <cellStyle name="40% - Ênfase2 8 2 2 2 2" xfId="26773" xr:uid="{00000000-0005-0000-0000-000052160000}"/>
    <cellStyle name="40% - Ênfase2 8 2 2 3" xfId="26772" xr:uid="{00000000-0005-0000-0000-000053160000}"/>
    <cellStyle name="40% - Ênfase2 8 2 3" xfId="25500" xr:uid="{00000000-0005-0000-0000-000054160000}"/>
    <cellStyle name="40% - Ênfase2 8 2 3 2" xfId="26774" xr:uid="{00000000-0005-0000-0000-000055160000}"/>
    <cellStyle name="40% - Ênfase2 8 2 4" xfId="26771" xr:uid="{00000000-0005-0000-0000-000056160000}"/>
    <cellStyle name="40% - Ênfase2 8 3" xfId="5548" xr:uid="{00000000-0005-0000-0000-000057160000}"/>
    <cellStyle name="40% - Ênfase2 8 3 2" xfId="5549" xr:uid="{00000000-0005-0000-0000-000058160000}"/>
    <cellStyle name="40% - Ênfase2 8 3 2 2" xfId="26776" xr:uid="{00000000-0005-0000-0000-000059160000}"/>
    <cellStyle name="40% - Ênfase2 8 3 3" xfId="26775" xr:uid="{00000000-0005-0000-0000-00005A160000}"/>
    <cellStyle name="40% - Ênfase2 8 4" xfId="5550" xr:uid="{00000000-0005-0000-0000-00005B160000}"/>
    <cellStyle name="40% - Ênfase2 8 4 2" xfId="5551" xr:uid="{00000000-0005-0000-0000-00005C160000}"/>
    <cellStyle name="40% - Ênfase2 8 5" xfId="5552" xr:uid="{00000000-0005-0000-0000-00005D160000}"/>
    <cellStyle name="40% - Ênfase2 8 5 2" xfId="5553" xr:uid="{00000000-0005-0000-0000-00005E160000}"/>
    <cellStyle name="40% - Ênfase2 8 6" xfId="5554" xr:uid="{00000000-0005-0000-0000-00005F160000}"/>
    <cellStyle name="40% - Ênfase2 8 6 2" xfId="5555" xr:uid="{00000000-0005-0000-0000-000060160000}"/>
    <cellStyle name="40% - Ênfase2 8 7" xfId="5556" xr:uid="{00000000-0005-0000-0000-000061160000}"/>
    <cellStyle name="40% - Ênfase2 8 7 2" xfId="5557" xr:uid="{00000000-0005-0000-0000-000062160000}"/>
    <cellStyle name="40% - Ênfase2 8 8" xfId="5558" xr:uid="{00000000-0005-0000-0000-000063160000}"/>
    <cellStyle name="40% - Ênfase2 8 8 2" xfId="5559" xr:uid="{00000000-0005-0000-0000-000064160000}"/>
    <cellStyle name="40% - Ênfase2 8 9" xfId="5560" xr:uid="{00000000-0005-0000-0000-000065160000}"/>
    <cellStyle name="40% - Ênfase2 8 9 2" xfId="5561" xr:uid="{00000000-0005-0000-0000-000066160000}"/>
    <cellStyle name="40% - Ênfase2 9" xfId="5562" xr:uid="{00000000-0005-0000-0000-000067160000}"/>
    <cellStyle name="40% - Ênfase2 9 10" xfId="5563" xr:uid="{00000000-0005-0000-0000-000068160000}"/>
    <cellStyle name="40% - Ênfase2 9 10 2" xfId="5564" xr:uid="{00000000-0005-0000-0000-000069160000}"/>
    <cellStyle name="40% - Ênfase2 9 11" xfId="5565" xr:uid="{00000000-0005-0000-0000-00006A160000}"/>
    <cellStyle name="40% - Ênfase2 9 12" xfId="5566" xr:uid="{00000000-0005-0000-0000-00006B160000}"/>
    <cellStyle name="40% - Ênfase2 9 2" xfId="5567" xr:uid="{00000000-0005-0000-0000-00006C160000}"/>
    <cellStyle name="40% - Ênfase2 9 2 2" xfId="5568" xr:uid="{00000000-0005-0000-0000-00006D160000}"/>
    <cellStyle name="40% - Ênfase2 9 2 2 2" xfId="26778" xr:uid="{00000000-0005-0000-0000-00006E160000}"/>
    <cellStyle name="40% - Ênfase2 9 2 3" xfId="26777" xr:uid="{00000000-0005-0000-0000-00006F160000}"/>
    <cellStyle name="40% - Ênfase2 9 3" xfId="5569" xr:uid="{00000000-0005-0000-0000-000070160000}"/>
    <cellStyle name="40% - Ênfase2 9 3 2" xfId="5570" xr:uid="{00000000-0005-0000-0000-000071160000}"/>
    <cellStyle name="40% - Ênfase2 9 4" xfId="5571" xr:uid="{00000000-0005-0000-0000-000072160000}"/>
    <cellStyle name="40% - Ênfase2 9 4 2" xfId="5572" xr:uid="{00000000-0005-0000-0000-000073160000}"/>
    <cellStyle name="40% - Ênfase2 9 5" xfId="5573" xr:uid="{00000000-0005-0000-0000-000074160000}"/>
    <cellStyle name="40% - Ênfase2 9 5 2" xfId="5574" xr:uid="{00000000-0005-0000-0000-000075160000}"/>
    <cellStyle name="40% - Ênfase2 9 6" xfId="5575" xr:uid="{00000000-0005-0000-0000-000076160000}"/>
    <cellStyle name="40% - Ênfase2 9 6 2" xfId="5576" xr:uid="{00000000-0005-0000-0000-000077160000}"/>
    <cellStyle name="40% - Ênfase2 9 7" xfId="5577" xr:uid="{00000000-0005-0000-0000-000078160000}"/>
    <cellStyle name="40% - Ênfase2 9 7 2" xfId="5578" xr:uid="{00000000-0005-0000-0000-000079160000}"/>
    <cellStyle name="40% - Ênfase2 9 8" xfId="5579" xr:uid="{00000000-0005-0000-0000-00007A160000}"/>
    <cellStyle name="40% - Ênfase2 9 8 2" xfId="5580" xr:uid="{00000000-0005-0000-0000-00007B160000}"/>
    <cellStyle name="40% - Ênfase2 9 9" xfId="5581" xr:uid="{00000000-0005-0000-0000-00007C160000}"/>
    <cellStyle name="40% - Ênfase2 9 9 2" xfId="5582" xr:uid="{00000000-0005-0000-0000-00007D160000}"/>
    <cellStyle name="40% - Ênfase3" xfId="35" builtinId="39" customBuiltin="1"/>
    <cellStyle name="40% - Ênfase3 10" xfId="5583" xr:uid="{00000000-0005-0000-0000-00007F160000}"/>
    <cellStyle name="40% - Ênfase3 10 2" xfId="5584" xr:uid="{00000000-0005-0000-0000-000080160000}"/>
    <cellStyle name="40% - Ênfase3 10 2 2" xfId="5585" xr:uid="{00000000-0005-0000-0000-000081160000}"/>
    <cellStyle name="40% - Ênfase3 10 2 2 2" xfId="26780" xr:uid="{00000000-0005-0000-0000-000082160000}"/>
    <cellStyle name="40% - Ênfase3 10 2 3" xfId="26779" xr:uid="{00000000-0005-0000-0000-000083160000}"/>
    <cellStyle name="40% - Ênfase3 10 3" xfId="5586" xr:uid="{00000000-0005-0000-0000-000084160000}"/>
    <cellStyle name="40% - Ênfase3 10 3 2" xfId="5587" xr:uid="{00000000-0005-0000-0000-000085160000}"/>
    <cellStyle name="40% - Ênfase3 10 4" xfId="5588" xr:uid="{00000000-0005-0000-0000-000086160000}"/>
    <cellStyle name="40% - Ênfase3 10 4 2" xfId="5589" xr:uid="{00000000-0005-0000-0000-000087160000}"/>
    <cellStyle name="40% - Ênfase3 10 5" xfId="5590" xr:uid="{00000000-0005-0000-0000-000088160000}"/>
    <cellStyle name="40% - Ênfase3 10 5 2" xfId="5591" xr:uid="{00000000-0005-0000-0000-000089160000}"/>
    <cellStyle name="40% - Ênfase3 10 6" xfId="5592" xr:uid="{00000000-0005-0000-0000-00008A160000}"/>
    <cellStyle name="40% - Ênfase3 11" xfId="5593" xr:uid="{00000000-0005-0000-0000-00008B160000}"/>
    <cellStyle name="40% - Ênfase3 11 2" xfId="5594" xr:uid="{00000000-0005-0000-0000-00008C160000}"/>
    <cellStyle name="40% - Ênfase3 11 2 2" xfId="5595" xr:uid="{00000000-0005-0000-0000-00008D160000}"/>
    <cellStyle name="40% - Ênfase3 11 2 3" xfId="26781" xr:uid="{00000000-0005-0000-0000-00008E160000}"/>
    <cellStyle name="40% - Ênfase3 11 3" xfId="5596" xr:uid="{00000000-0005-0000-0000-00008F160000}"/>
    <cellStyle name="40% - Ênfase3 11 3 2" xfId="5597" xr:uid="{00000000-0005-0000-0000-000090160000}"/>
    <cellStyle name="40% - Ênfase3 11 4" xfId="5598" xr:uid="{00000000-0005-0000-0000-000091160000}"/>
    <cellStyle name="40% - Ênfase3 11 4 2" xfId="5599" xr:uid="{00000000-0005-0000-0000-000092160000}"/>
    <cellStyle name="40% - Ênfase3 11 5" xfId="5600" xr:uid="{00000000-0005-0000-0000-000093160000}"/>
    <cellStyle name="40% - Ênfase3 11 5 2" xfId="5601" xr:uid="{00000000-0005-0000-0000-000094160000}"/>
    <cellStyle name="40% - Ênfase3 11 6" xfId="5602" xr:uid="{00000000-0005-0000-0000-000095160000}"/>
    <cellStyle name="40% - Ênfase3 11 7" xfId="25501" xr:uid="{00000000-0005-0000-0000-000096160000}"/>
    <cellStyle name="40% - Ênfase3 12" xfId="5603" xr:uid="{00000000-0005-0000-0000-000097160000}"/>
    <cellStyle name="40% - Ênfase3 12 2" xfId="5604" xr:uid="{00000000-0005-0000-0000-000098160000}"/>
    <cellStyle name="40% - Ênfase3 12 2 2" xfId="5605" xr:uid="{00000000-0005-0000-0000-000099160000}"/>
    <cellStyle name="40% - Ênfase3 12 2 2 2" xfId="26783" xr:uid="{00000000-0005-0000-0000-00009A160000}"/>
    <cellStyle name="40% - Ênfase3 12 2 3" xfId="26782" xr:uid="{00000000-0005-0000-0000-00009B160000}"/>
    <cellStyle name="40% - Ênfase3 12 3" xfId="5606" xr:uid="{00000000-0005-0000-0000-00009C160000}"/>
    <cellStyle name="40% - Ênfase3 12 3 2" xfId="5607" xr:uid="{00000000-0005-0000-0000-00009D160000}"/>
    <cellStyle name="40% - Ênfase3 12 4" xfId="5608" xr:uid="{00000000-0005-0000-0000-00009E160000}"/>
    <cellStyle name="40% - Ênfase3 12 4 2" xfId="5609" xr:uid="{00000000-0005-0000-0000-00009F160000}"/>
    <cellStyle name="40% - Ênfase3 12 5" xfId="5610" xr:uid="{00000000-0005-0000-0000-0000A0160000}"/>
    <cellStyle name="40% - Ênfase3 12 5 2" xfId="5611" xr:uid="{00000000-0005-0000-0000-0000A1160000}"/>
    <cellStyle name="40% - Ênfase3 12 6" xfId="5612" xr:uid="{00000000-0005-0000-0000-0000A2160000}"/>
    <cellStyle name="40% - Ênfase3 13" xfId="5613" xr:uid="{00000000-0005-0000-0000-0000A3160000}"/>
    <cellStyle name="40% - Ênfase3 13 2" xfId="5614" xr:uid="{00000000-0005-0000-0000-0000A4160000}"/>
    <cellStyle name="40% - Ênfase3 14" xfId="5615" xr:uid="{00000000-0005-0000-0000-0000A5160000}"/>
    <cellStyle name="40% - Ênfase3 14 2" xfId="5616" xr:uid="{00000000-0005-0000-0000-0000A6160000}"/>
    <cellStyle name="40% - Ênfase3 15" xfId="5617" xr:uid="{00000000-0005-0000-0000-0000A7160000}"/>
    <cellStyle name="40% - Ênfase3 15 2" xfId="5618" xr:uid="{00000000-0005-0000-0000-0000A8160000}"/>
    <cellStyle name="40% - Ênfase3 16" xfId="5619" xr:uid="{00000000-0005-0000-0000-0000A9160000}"/>
    <cellStyle name="40% - Ênfase3 16 2" xfId="5620" xr:uid="{00000000-0005-0000-0000-0000AA160000}"/>
    <cellStyle name="40% - Ênfase3 17" xfId="5621" xr:uid="{00000000-0005-0000-0000-0000AB160000}"/>
    <cellStyle name="40% - Ênfase3 17 2" xfId="5622" xr:uid="{00000000-0005-0000-0000-0000AC160000}"/>
    <cellStyle name="40% - Ênfase3 18" xfId="5623" xr:uid="{00000000-0005-0000-0000-0000AD160000}"/>
    <cellStyle name="40% - Ênfase3 18 2" xfId="5624" xr:uid="{00000000-0005-0000-0000-0000AE160000}"/>
    <cellStyle name="40% - Ênfase3 19" xfId="5625" xr:uid="{00000000-0005-0000-0000-0000AF160000}"/>
    <cellStyle name="40% - Ênfase3 19 2" xfId="5626" xr:uid="{00000000-0005-0000-0000-0000B0160000}"/>
    <cellStyle name="40% - Ênfase3 2" xfId="5627" xr:uid="{00000000-0005-0000-0000-0000B1160000}"/>
    <cellStyle name="40% - Ênfase3 2 2" xfId="5628" xr:uid="{00000000-0005-0000-0000-0000B2160000}"/>
    <cellStyle name="40% - Ênfase3 2 2 10" xfId="5629" xr:uid="{00000000-0005-0000-0000-0000B3160000}"/>
    <cellStyle name="40% - Ênfase3 2 2 10 2" xfId="5630" xr:uid="{00000000-0005-0000-0000-0000B4160000}"/>
    <cellStyle name="40% - Ênfase3 2 2 11" xfId="5631" xr:uid="{00000000-0005-0000-0000-0000B5160000}"/>
    <cellStyle name="40% - Ênfase3 2 2 11 2" xfId="5632" xr:uid="{00000000-0005-0000-0000-0000B6160000}"/>
    <cellStyle name="40% - Ênfase3 2 2 12" xfId="5633" xr:uid="{00000000-0005-0000-0000-0000B7160000}"/>
    <cellStyle name="40% - Ênfase3 2 2 12 2" xfId="5634" xr:uid="{00000000-0005-0000-0000-0000B8160000}"/>
    <cellStyle name="40% - Ênfase3 2 2 2" xfId="5635" xr:uid="{00000000-0005-0000-0000-0000B9160000}"/>
    <cellStyle name="40% - Ênfase3 2 2 2 10" xfId="5636" xr:uid="{00000000-0005-0000-0000-0000BA160000}"/>
    <cellStyle name="40% - Ênfase3 2 2 2 11" xfId="5637" xr:uid="{00000000-0005-0000-0000-0000BB160000}"/>
    <cellStyle name="40% - Ênfase3 2 2 2 2" xfId="5638" xr:uid="{00000000-0005-0000-0000-0000BC160000}"/>
    <cellStyle name="40% - Ênfase3 2 2 2 2 2" xfId="25503" xr:uid="{00000000-0005-0000-0000-0000BD160000}"/>
    <cellStyle name="40% - Ênfase3 2 2 2 2 2 2" xfId="26788" xr:uid="{00000000-0005-0000-0000-0000BE160000}"/>
    <cellStyle name="40% - Ênfase3 2 2 2 2 3" xfId="26787" xr:uid="{00000000-0005-0000-0000-0000BF160000}"/>
    <cellStyle name="40% - Ênfase3 2 2 2 2 4" xfId="25502" xr:uid="{00000000-0005-0000-0000-0000C0160000}"/>
    <cellStyle name="40% - Ênfase3 2 2 2 3" xfId="5639" xr:uid="{00000000-0005-0000-0000-0000C1160000}"/>
    <cellStyle name="40% - Ênfase3 2 2 2 3 2" xfId="26789" xr:uid="{00000000-0005-0000-0000-0000C2160000}"/>
    <cellStyle name="40% - Ênfase3 2 2 2 3 3" xfId="25504" xr:uid="{00000000-0005-0000-0000-0000C3160000}"/>
    <cellStyle name="40% - Ênfase3 2 2 2 4" xfId="5640" xr:uid="{00000000-0005-0000-0000-0000C4160000}"/>
    <cellStyle name="40% - Ênfase3 2 2 2 4 2" xfId="26786" xr:uid="{00000000-0005-0000-0000-0000C5160000}"/>
    <cellStyle name="40% - Ênfase3 2 2 2 5" xfId="5641" xr:uid="{00000000-0005-0000-0000-0000C6160000}"/>
    <cellStyle name="40% - Ênfase3 2 2 2 6" xfId="5642" xr:uid="{00000000-0005-0000-0000-0000C7160000}"/>
    <cellStyle name="40% - Ênfase3 2 2 2 7" xfId="5643" xr:uid="{00000000-0005-0000-0000-0000C8160000}"/>
    <cellStyle name="40% - Ênfase3 2 2 2 8" xfId="5644" xr:uid="{00000000-0005-0000-0000-0000C9160000}"/>
    <cellStyle name="40% - Ênfase3 2 2 2 9" xfId="5645" xr:uid="{00000000-0005-0000-0000-0000CA160000}"/>
    <cellStyle name="40% - Ênfase3 2 2 3" xfId="5646" xr:uid="{00000000-0005-0000-0000-0000CB160000}"/>
    <cellStyle name="40% - Ênfase3 2 2 3 2" xfId="25506" xr:uid="{00000000-0005-0000-0000-0000CC160000}"/>
    <cellStyle name="40% - Ênfase3 2 2 3 2 2" xfId="25507" xr:uid="{00000000-0005-0000-0000-0000CD160000}"/>
    <cellStyle name="40% - Ênfase3 2 2 3 2 2 2" xfId="26792" xr:uid="{00000000-0005-0000-0000-0000CE160000}"/>
    <cellStyle name="40% - Ênfase3 2 2 3 2 3" xfId="26791" xr:uid="{00000000-0005-0000-0000-0000CF160000}"/>
    <cellStyle name="40% - Ênfase3 2 2 3 3" xfId="25508" xr:uid="{00000000-0005-0000-0000-0000D0160000}"/>
    <cellStyle name="40% - Ênfase3 2 2 3 3 2" xfId="26793" xr:uid="{00000000-0005-0000-0000-0000D1160000}"/>
    <cellStyle name="40% - Ênfase3 2 2 3 4" xfId="26790" xr:uid="{00000000-0005-0000-0000-0000D2160000}"/>
    <cellStyle name="40% - Ênfase3 2 2 3 5" xfId="25505" xr:uid="{00000000-0005-0000-0000-0000D3160000}"/>
    <cellStyle name="40% - Ênfase3 2 2 4" xfId="5647" xr:uid="{00000000-0005-0000-0000-0000D4160000}"/>
    <cellStyle name="40% - Ênfase3 2 2 4 2" xfId="26794" xr:uid="{00000000-0005-0000-0000-0000D5160000}"/>
    <cellStyle name="40% - Ênfase3 2 2 4 3" xfId="25509" xr:uid="{00000000-0005-0000-0000-0000D6160000}"/>
    <cellStyle name="40% - Ênfase3 2 2 5" xfId="5648" xr:uid="{00000000-0005-0000-0000-0000D7160000}"/>
    <cellStyle name="40% - Ênfase3 2 2 5 2" xfId="5649" xr:uid="{00000000-0005-0000-0000-0000D8160000}"/>
    <cellStyle name="40% - Ênfase3 2 2 5 3" xfId="26785" xr:uid="{00000000-0005-0000-0000-0000D9160000}"/>
    <cellStyle name="40% - Ênfase3 2 2 6" xfId="5650" xr:uid="{00000000-0005-0000-0000-0000DA160000}"/>
    <cellStyle name="40% - Ênfase3 2 2 6 2" xfId="5651" xr:uid="{00000000-0005-0000-0000-0000DB160000}"/>
    <cellStyle name="40% - Ênfase3 2 2 7" xfId="5652" xr:uid="{00000000-0005-0000-0000-0000DC160000}"/>
    <cellStyle name="40% - Ênfase3 2 2 7 2" xfId="5653" xr:uid="{00000000-0005-0000-0000-0000DD160000}"/>
    <cellStyle name="40% - Ênfase3 2 2 8" xfId="5654" xr:uid="{00000000-0005-0000-0000-0000DE160000}"/>
    <cellStyle name="40% - Ênfase3 2 2 8 2" xfId="5655" xr:uid="{00000000-0005-0000-0000-0000DF160000}"/>
    <cellStyle name="40% - Ênfase3 2 2 9" xfId="5656" xr:uid="{00000000-0005-0000-0000-0000E0160000}"/>
    <cellStyle name="40% - Ênfase3 2 2 9 2" xfId="5657" xr:uid="{00000000-0005-0000-0000-0000E1160000}"/>
    <cellStyle name="40% - Ênfase3 2 3" xfId="5658" xr:uid="{00000000-0005-0000-0000-0000E2160000}"/>
    <cellStyle name="40% - Ênfase3 2 3 2" xfId="25511" xr:uid="{00000000-0005-0000-0000-0000E3160000}"/>
    <cellStyle name="40% - Ênfase3 2 3 2 2" xfId="25512" xr:uid="{00000000-0005-0000-0000-0000E4160000}"/>
    <cellStyle name="40% - Ênfase3 2 3 2 2 2" xfId="26797" xr:uid="{00000000-0005-0000-0000-0000E5160000}"/>
    <cellStyle name="40% - Ênfase3 2 3 2 3" xfId="26796" xr:uid="{00000000-0005-0000-0000-0000E6160000}"/>
    <cellStyle name="40% - Ênfase3 2 3 3" xfId="25513" xr:uid="{00000000-0005-0000-0000-0000E7160000}"/>
    <cellStyle name="40% - Ênfase3 2 3 3 2" xfId="26798" xr:uid="{00000000-0005-0000-0000-0000E8160000}"/>
    <cellStyle name="40% - Ênfase3 2 3 4" xfId="26795" xr:uid="{00000000-0005-0000-0000-0000E9160000}"/>
    <cellStyle name="40% - Ênfase3 2 3 5" xfId="25510" xr:uid="{00000000-0005-0000-0000-0000EA160000}"/>
    <cellStyle name="40% - Ênfase3 2 4" xfId="5659" xr:uid="{00000000-0005-0000-0000-0000EB160000}"/>
    <cellStyle name="40% - Ênfase3 2 4 2" xfId="25515" xr:uid="{00000000-0005-0000-0000-0000EC160000}"/>
    <cellStyle name="40% - Ênfase3 2 4 2 2" xfId="25516" xr:uid="{00000000-0005-0000-0000-0000ED160000}"/>
    <cellStyle name="40% - Ênfase3 2 4 2 2 2" xfId="26801" xr:uid="{00000000-0005-0000-0000-0000EE160000}"/>
    <cellStyle name="40% - Ênfase3 2 4 2 3" xfId="26800" xr:uid="{00000000-0005-0000-0000-0000EF160000}"/>
    <cellStyle name="40% - Ênfase3 2 4 3" xfId="25517" xr:uid="{00000000-0005-0000-0000-0000F0160000}"/>
    <cellStyle name="40% - Ênfase3 2 4 3 2" xfId="26802" xr:uid="{00000000-0005-0000-0000-0000F1160000}"/>
    <cellStyle name="40% - Ênfase3 2 4 4" xfId="26799" xr:uid="{00000000-0005-0000-0000-0000F2160000}"/>
    <cellStyle name="40% - Ênfase3 2 4 5" xfId="25514" xr:uid="{00000000-0005-0000-0000-0000F3160000}"/>
    <cellStyle name="40% - Ênfase3 2 5" xfId="5660" xr:uid="{00000000-0005-0000-0000-0000F4160000}"/>
    <cellStyle name="40% - Ênfase3 2 5 10" xfId="5661" xr:uid="{00000000-0005-0000-0000-0000F5160000}"/>
    <cellStyle name="40% - Ênfase3 2 5 10 2" xfId="5662" xr:uid="{00000000-0005-0000-0000-0000F6160000}"/>
    <cellStyle name="40% - Ênfase3 2 5 2" xfId="5663" xr:uid="{00000000-0005-0000-0000-0000F7160000}"/>
    <cellStyle name="40% - Ênfase3 2 5 2 2" xfId="5664" xr:uid="{00000000-0005-0000-0000-0000F8160000}"/>
    <cellStyle name="40% - Ênfase3 2 5 3" xfId="5665" xr:uid="{00000000-0005-0000-0000-0000F9160000}"/>
    <cellStyle name="40% - Ênfase3 2 5 3 2" xfId="5666" xr:uid="{00000000-0005-0000-0000-0000FA160000}"/>
    <cellStyle name="40% - Ênfase3 2 5 4" xfId="5667" xr:uid="{00000000-0005-0000-0000-0000FB160000}"/>
    <cellStyle name="40% - Ênfase3 2 5 4 2" xfId="5668" xr:uid="{00000000-0005-0000-0000-0000FC160000}"/>
    <cellStyle name="40% - Ênfase3 2 5 5" xfId="5669" xr:uid="{00000000-0005-0000-0000-0000FD160000}"/>
    <cellStyle name="40% - Ênfase3 2 5 5 2" xfId="5670" xr:uid="{00000000-0005-0000-0000-0000FE160000}"/>
    <cellStyle name="40% - Ênfase3 2 5 6" xfId="5671" xr:uid="{00000000-0005-0000-0000-0000FF160000}"/>
    <cellStyle name="40% - Ênfase3 2 5 6 2" xfId="5672" xr:uid="{00000000-0005-0000-0000-000000170000}"/>
    <cellStyle name="40% - Ênfase3 2 5 7" xfId="5673" xr:uid="{00000000-0005-0000-0000-000001170000}"/>
    <cellStyle name="40% - Ênfase3 2 5 7 2" xfId="5674" xr:uid="{00000000-0005-0000-0000-000002170000}"/>
    <cellStyle name="40% - Ênfase3 2 5 8" xfId="5675" xr:uid="{00000000-0005-0000-0000-000003170000}"/>
    <cellStyle name="40% - Ênfase3 2 5 8 2" xfId="5676" xr:uid="{00000000-0005-0000-0000-000004170000}"/>
    <cellStyle name="40% - Ênfase3 2 5 9" xfId="5677" xr:uid="{00000000-0005-0000-0000-000005170000}"/>
    <cellStyle name="40% - Ênfase3 2 5 9 2" xfId="5678" xr:uid="{00000000-0005-0000-0000-000006170000}"/>
    <cellStyle name="40% - Ênfase3 2 6" xfId="5679" xr:uid="{00000000-0005-0000-0000-000007170000}"/>
    <cellStyle name="40% - Ênfase3 2 6 2" xfId="5680" xr:uid="{00000000-0005-0000-0000-000008170000}"/>
    <cellStyle name="40% - Ênfase3 2 6 2 2" xfId="5681" xr:uid="{00000000-0005-0000-0000-000009170000}"/>
    <cellStyle name="40% - Ênfase3 2 6 3" xfId="5682" xr:uid="{00000000-0005-0000-0000-00000A170000}"/>
    <cellStyle name="40% - Ênfase3 2 6 3 2" xfId="5683" xr:uid="{00000000-0005-0000-0000-00000B170000}"/>
    <cellStyle name="40% - Ênfase3 2 6 4" xfId="5684" xr:uid="{00000000-0005-0000-0000-00000C170000}"/>
    <cellStyle name="40% - Ênfase3 2 6 4 2" xfId="5685" xr:uid="{00000000-0005-0000-0000-00000D170000}"/>
    <cellStyle name="40% - Ênfase3 2 6 5" xfId="5686" xr:uid="{00000000-0005-0000-0000-00000E170000}"/>
    <cellStyle name="40% - Ênfase3 2 6 5 2" xfId="5687" xr:uid="{00000000-0005-0000-0000-00000F170000}"/>
    <cellStyle name="40% - Ênfase3 2 6 6" xfId="5688" xr:uid="{00000000-0005-0000-0000-000010170000}"/>
    <cellStyle name="40% - Ênfase3 2 7" xfId="26784" xr:uid="{00000000-0005-0000-0000-000011170000}"/>
    <cellStyle name="40% - Ênfase3 20" xfId="5689" xr:uid="{00000000-0005-0000-0000-000012170000}"/>
    <cellStyle name="40% - Ênfase3 20 2" xfId="5690" xr:uid="{00000000-0005-0000-0000-000013170000}"/>
    <cellStyle name="40% - Ênfase3 21" xfId="5691" xr:uid="{00000000-0005-0000-0000-000014170000}"/>
    <cellStyle name="40% - Ênfase3 21 2" xfId="5692" xr:uid="{00000000-0005-0000-0000-000015170000}"/>
    <cellStyle name="40% - Ênfase3 22" xfId="5693" xr:uid="{00000000-0005-0000-0000-000016170000}"/>
    <cellStyle name="40% - Ênfase3 22 2" xfId="5694" xr:uid="{00000000-0005-0000-0000-000017170000}"/>
    <cellStyle name="40% - Ênfase3 23" xfId="5695" xr:uid="{00000000-0005-0000-0000-000018170000}"/>
    <cellStyle name="40% - Ênfase3 23 2" xfId="5696" xr:uid="{00000000-0005-0000-0000-000019170000}"/>
    <cellStyle name="40% - Ênfase3 24" xfId="5697" xr:uid="{00000000-0005-0000-0000-00001A170000}"/>
    <cellStyle name="40% - Ênfase3 24 2" xfId="5698" xr:uid="{00000000-0005-0000-0000-00001B170000}"/>
    <cellStyle name="40% - Ênfase3 25" xfId="5699" xr:uid="{00000000-0005-0000-0000-00001C170000}"/>
    <cellStyle name="40% - Ênfase3 25 2" xfId="5700" xr:uid="{00000000-0005-0000-0000-00001D170000}"/>
    <cellStyle name="40% - Ênfase3 26" xfId="5701" xr:uid="{00000000-0005-0000-0000-00001E170000}"/>
    <cellStyle name="40% - Ênfase3 26 2" xfId="5702" xr:uid="{00000000-0005-0000-0000-00001F170000}"/>
    <cellStyle name="40% - Ênfase3 27" xfId="5703" xr:uid="{00000000-0005-0000-0000-000020170000}"/>
    <cellStyle name="40% - Ênfase3 27 2" xfId="5704" xr:uid="{00000000-0005-0000-0000-000021170000}"/>
    <cellStyle name="40% - Ênfase3 28" xfId="5705" xr:uid="{00000000-0005-0000-0000-000022170000}"/>
    <cellStyle name="40% - Ênfase3 28 2" xfId="5706" xr:uid="{00000000-0005-0000-0000-000023170000}"/>
    <cellStyle name="40% - Ênfase3 29" xfId="5707" xr:uid="{00000000-0005-0000-0000-000024170000}"/>
    <cellStyle name="40% - Ênfase3 29 2" xfId="5708" xr:uid="{00000000-0005-0000-0000-000025170000}"/>
    <cellStyle name="40% - Ênfase3 3" xfId="5709" xr:uid="{00000000-0005-0000-0000-000026170000}"/>
    <cellStyle name="40% - Ênfase3 3 2" xfId="5710" xr:uid="{00000000-0005-0000-0000-000027170000}"/>
    <cellStyle name="40% - Ênfase3 3 2 10" xfId="5711" xr:uid="{00000000-0005-0000-0000-000028170000}"/>
    <cellStyle name="40% - Ênfase3 3 2 10 2" xfId="5712" xr:uid="{00000000-0005-0000-0000-000029170000}"/>
    <cellStyle name="40% - Ênfase3 3 2 11" xfId="5713" xr:uid="{00000000-0005-0000-0000-00002A170000}"/>
    <cellStyle name="40% - Ênfase3 3 2 11 2" xfId="5714" xr:uid="{00000000-0005-0000-0000-00002B170000}"/>
    <cellStyle name="40% - Ênfase3 3 2 12" xfId="5715" xr:uid="{00000000-0005-0000-0000-00002C170000}"/>
    <cellStyle name="40% - Ênfase3 3 2 12 2" xfId="5716" xr:uid="{00000000-0005-0000-0000-00002D170000}"/>
    <cellStyle name="40% - Ênfase3 3 2 2" xfId="5717" xr:uid="{00000000-0005-0000-0000-00002E170000}"/>
    <cellStyle name="40% - Ênfase3 3 2 2 10" xfId="5718" xr:uid="{00000000-0005-0000-0000-00002F170000}"/>
    <cellStyle name="40% - Ênfase3 3 2 2 11" xfId="5719" xr:uid="{00000000-0005-0000-0000-000030170000}"/>
    <cellStyle name="40% - Ênfase3 3 2 2 2" xfId="5720" xr:uid="{00000000-0005-0000-0000-000031170000}"/>
    <cellStyle name="40% - Ênfase3 3 2 2 2 2" xfId="25519" xr:uid="{00000000-0005-0000-0000-000032170000}"/>
    <cellStyle name="40% - Ênfase3 3 2 2 2 2 2" xfId="26806" xr:uid="{00000000-0005-0000-0000-000033170000}"/>
    <cellStyle name="40% - Ênfase3 3 2 2 2 3" xfId="26805" xr:uid="{00000000-0005-0000-0000-000034170000}"/>
    <cellStyle name="40% - Ênfase3 3 2 2 2 4" xfId="25518" xr:uid="{00000000-0005-0000-0000-000035170000}"/>
    <cellStyle name="40% - Ênfase3 3 2 2 3" xfId="5721" xr:uid="{00000000-0005-0000-0000-000036170000}"/>
    <cellStyle name="40% - Ênfase3 3 2 2 3 2" xfId="26807" xr:uid="{00000000-0005-0000-0000-000037170000}"/>
    <cellStyle name="40% - Ênfase3 3 2 2 3 3" xfId="25520" xr:uid="{00000000-0005-0000-0000-000038170000}"/>
    <cellStyle name="40% - Ênfase3 3 2 2 4" xfId="5722" xr:uid="{00000000-0005-0000-0000-000039170000}"/>
    <cellStyle name="40% - Ênfase3 3 2 2 4 2" xfId="26804" xr:uid="{00000000-0005-0000-0000-00003A170000}"/>
    <cellStyle name="40% - Ênfase3 3 2 2 5" xfId="5723" xr:uid="{00000000-0005-0000-0000-00003B170000}"/>
    <cellStyle name="40% - Ênfase3 3 2 2 6" xfId="5724" xr:uid="{00000000-0005-0000-0000-00003C170000}"/>
    <cellStyle name="40% - Ênfase3 3 2 2 7" xfId="5725" xr:uid="{00000000-0005-0000-0000-00003D170000}"/>
    <cellStyle name="40% - Ênfase3 3 2 2 8" xfId="5726" xr:uid="{00000000-0005-0000-0000-00003E170000}"/>
    <cellStyle name="40% - Ênfase3 3 2 2 9" xfId="5727" xr:uid="{00000000-0005-0000-0000-00003F170000}"/>
    <cellStyle name="40% - Ênfase3 3 2 3" xfId="5728" xr:uid="{00000000-0005-0000-0000-000040170000}"/>
    <cellStyle name="40% - Ênfase3 3 2 3 2" xfId="25522" xr:uid="{00000000-0005-0000-0000-000041170000}"/>
    <cellStyle name="40% - Ênfase3 3 2 3 2 2" xfId="26809" xr:uid="{00000000-0005-0000-0000-000042170000}"/>
    <cellStyle name="40% - Ênfase3 3 2 3 3" xfId="26808" xr:uid="{00000000-0005-0000-0000-000043170000}"/>
    <cellStyle name="40% - Ênfase3 3 2 3 4" xfId="25521" xr:uid="{00000000-0005-0000-0000-000044170000}"/>
    <cellStyle name="40% - Ênfase3 3 2 4" xfId="5729" xr:uid="{00000000-0005-0000-0000-000045170000}"/>
    <cellStyle name="40% - Ênfase3 3 2 4 2" xfId="26810" xr:uid="{00000000-0005-0000-0000-000046170000}"/>
    <cellStyle name="40% - Ênfase3 3 2 4 3" xfId="25523" xr:uid="{00000000-0005-0000-0000-000047170000}"/>
    <cellStyle name="40% - Ênfase3 3 2 5" xfId="5730" xr:uid="{00000000-0005-0000-0000-000048170000}"/>
    <cellStyle name="40% - Ênfase3 3 2 5 2" xfId="5731" xr:uid="{00000000-0005-0000-0000-000049170000}"/>
    <cellStyle name="40% - Ênfase3 3 2 6" xfId="5732" xr:uid="{00000000-0005-0000-0000-00004A170000}"/>
    <cellStyle name="40% - Ênfase3 3 2 6 2" xfId="5733" xr:uid="{00000000-0005-0000-0000-00004B170000}"/>
    <cellStyle name="40% - Ênfase3 3 2 7" xfId="5734" xr:uid="{00000000-0005-0000-0000-00004C170000}"/>
    <cellStyle name="40% - Ênfase3 3 2 7 2" xfId="5735" xr:uid="{00000000-0005-0000-0000-00004D170000}"/>
    <cellStyle name="40% - Ênfase3 3 2 8" xfId="5736" xr:uid="{00000000-0005-0000-0000-00004E170000}"/>
    <cellStyle name="40% - Ênfase3 3 2 8 2" xfId="5737" xr:uid="{00000000-0005-0000-0000-00004F170000}"/>
    <cellStyle name="40% - Ênfase3 3 2 9" xfId="5738" xr:uid="{00000000-0005-0000-0000-000050170000}"/>
    <cellStyle name="40% - Ênfase3 3 2 9 2" xfId="5739" xr:uid="{00000000-0005-0000-0000-000051170000}"/>
    <cellStyle name="40% - Ênfase3 3 3" xfId="5740" xr:uid="{00000000-0005-0000-0000-000052170000}"/>
    <cellStyle name="40% - Ênfase3 3 3 2" xfId="25525" xr:uid="{00000000-0005-0000-0000-000053170000}"/>
    <cellStyle name="40% - Ênfase3 3 3 2 2" xfId="25526" xr:uid="{00000000-0005-0000-0000-000054170000}"/>
    <cellStyle name="40% - Ênfase3 3 3 2 2 2" xfId="26813" xr:uid="{00000000-0005-0000-0000-000055170000}"/>
    <cellStyle name="40% - Ênfase3 3 3 2 3" xfId="26812" xr:uid="{00000000-0005-0000-0000-000056170000}"/>
    <cellStyle name="40% - Ênfase3 3 3 3" xfId="25527" xr:uid="{00000000-0005-0000-0000-000057170000}"/>
    <cellStyle name="40% - Ênfase3 3 3 3 2" xfId="26814" xr:uid="{00000000-0005-0000-0000-000058170000}"/>
    <cellStyle name="40% - Ênfase3 3 3 4" xfId="26811" xr:uid="{00000000-0005-0000-0000-000059170000}"/>
    <cellStyle name="40% - Ênfase3 3 3 5" xfId="25524" xr:uid="{00000000-0005-0000-0000-00005A170000}"/>
    <cellStyle name="40% - Ênfase3 3 4" xfId="5741" xr:uid="{00000000-0005-0000-0000-00005B170000}"/>
    <cellStyle name="40% - Ênfase3 3 4 2" xfId="26815" xr:uid="{00000000-0005-0000-0000-00005C170000}"/>
    <cellStyle name="40% - Ênfase3 3 5" xfId="5742" xr:uid="{00000000-0005-0000-0000-00005D170000}"/>
    <cellStyle name="40% - Ênfase3 3 5 10" xfId="5743" xr:uid="{00000000-0005-0000-0000-00005E170000}"/>
    <cellStyle name="40% - Ênfase3 3 5 10 2" xfId="5744" xr:uid="{00000000-0005-0000-0000-00005F170000}"/>
    <cellStyle name="40% - Ênfase3 3 5 2" xfId="5745" xr:uid="{00000000-0005-0000-0000-000060170000}"/>
    <cellStyle name="40% - Ênfase3 3 5 2 2" xfId="5746" xr:uid="{00000000-0005-0000-0000-000061170000}"/>
    <cellStyle name="40% - Ênfase3 3 5 3" xfId="5747" xr:uid="{00000000-0005-0000-0000-000062170000}"/>
    <cellStyle name="40% - Ênfase3 3 5 3 2" xfId="5748" xr:uid="{00000000-0005-0000-0000-000063170000}"/>
    <cellStyle name="40% - Ênfase3 3 5 4" xfId="5749" xr:uid="{00000000-0005-0000-0000-000064170000}"/>
    <cellStyle name="40% - Ênfase3 3 5 4 2" xfId="5750" xr:uid="{00000000-0005-0000-0000-000065170000}"/>
    <cellStyle name="40% - Ênfase3 3 5 5" xfId="5751" xr:uid="{00000000-0005-0000-0000-000066170000}"/>
    <cellStyle name="40% - Ênfase3 3 5 5 2" xfId="5752" xr:uid="{00000000-0005-0000-0000-000067170000}"/>
    <cellStyle name="40% - Ênfase3 3 5 6" xfId="5753" xr:uid="{00000000-0005-0000-0000-000068170000}"/>
    <cellStyle name="40% - Ênfase3 3 5 6 2" xfId="5754" xr:uid="{00000000-0005-0000-0000-000069170000}"/>
    <cellStyle name="40% - Ênfase3 3 5 7" xfId="5755" xr:uid="{00000000-0005-0000-0000-00006A170000}"/>
    <cellStyle name="40% - Ênfase3 3 5 7 2" xfId="5756" xr:uid="{00000000-0005-0000-0000-00006B170000}"/>
    <cellStyle name="40% - Ênfase3 3 5 8" xfId="5757" xr:uid="{00000000-0005-0000-0000-00006C170000}"/>
    <cellStyle name="40% - Ênfase3 3 5 8 2" xfId="5758" xr:uid="{00000000-0005-0000-0000-00006D170000}"/>
    <cellStyle name="40% - Ênfase3 3 5 9" xfId="5759" xr:uid="{00000000-0005-0000-0000-00006E170000}"/>
    <cellStyle name="40% - Ênfase3 3 5 9 2" xfId="5760" xr:uid="{00000000-0005-0000-0000-00006F170000}"/>
    <cellStyle name="40% - Ênfase3 3 6" xfId="5761" xr:uid="{00000000-0005-0000-0000-000070170000}"/>
    <cellStyle name="40% - Ênfase3 3 6 2" xfId="5762" xr:uid="{00000000-0005-0000-0000-000071170000}"/>
    <cellStyle name="40% - Ênfase3 3 6 2 2" xfId="5763" xr:uid="{00000000-0005-0000-0000-000072170000}"/>
    <cellStyle name="40% - Ênfase3 3 6 3" xfId="5764" xr:uid="{00000000-0005-0000-0000-000073170000}"/>
    <cellStyle name="40% - Ênfase3 3 6 3 2" xfId="5765" xr:uid="{00000000-0005-0000-0000-000074170000}"/>
    <cellStyle name="40% - Ênfase3 3 6 4" xfId="5766" xr:uid="{00000000-0005-0000-0000-000075170000}"/>
    <cellStyle name="40% - Ênfase3 3 6 4 2" xfId="5767" xr:uid="{00000000-0005-0000-0000-000076170000}"/>
    <cellStyle name="40% - Ênfase3 3 6 5" xfId="5768" xr:uid="{00000000-0005-0000-0000-000077170000}"/>
    <cellStyle name="40% - Ênfase3 3 6 5 2" xfId="5769" xr:uid="{00000000-0005-0000-0000-000078170000}"/>
    <cellStyle name="40% - Ênfase3 3 6 6" xfId="5770" xr:uid="{00000000-0005-0000-0000-000079170000}"/>
    <cellStyle name="40% - Ênfase3 3 7" xfId="25528" xr:uid="{00000000-0005-0000-0000-00007A170000}"/>
    <cellStyle name="40% - Ênfase3 3 7 2" xfId="26816" xr:uid="{00000000-0005-0000-0000-00007B170000}"/>
    <cellStyle name="40% - Ênfase3 3 8" xfId="26803" xr:uid="{00000000-0005-0000-0000-00007C170000}"/>
    <cellStyle name="40% - Ênfase3 30" xfId="5771" xr:uid="{00000000-0005-0000-0000-00007D170000}"/>
    <cellStyle name="40% - Ênfase3 30 2" xfId="5772" xr:uid="{00000000-0005-0000-0000-00007E170000}"/>
    <cellStyle name="40% - Ênfase3 31" xfId="5773" xr:uid="{00000000-0005-0000-0000-00007F170000}"/>
    <cellStyle name="40% - Ênfase3 31 2" xfId="5774" xr:uid="{00000000-0005-0000-0000-000080170000}"/>
    <cellStyle name="40% - Ênfase3 32" xfId="5775" xr:uid="{00000000-0005-0000-0000-000081170000}"/>
    <cellStyle name="40% - Ênfase3 32 2" xfId="5776" xr:uid="{00000000-0005-0000-0000-000082170000}"/>
    <cellStyle name="40% - Ênfase3 33" xfId="5777" xr:uid="{00000000-0005-0000-0000-000083170000}"/>
    <cellStyle name="40% - Ênfase3 33 2" xfId="5778" xr:uid="{00000000-0005-0000-0000-000084170000}"/>
    <cellStyle name="40% - Ênfase3 34" xfId="5779" xr:uid="{00000000-0005-0000-0000-000085170000}"/>
    <cellStyle name="40% - Ênfase3 34 2" xfId="5780" xr:uid="{00000000-0005-0000-0000-000086170000}"/>
    <cellStyle name="40% - Ênfase3 35" xfId="5781" xr:uid="{00000000-0005-0000-0000-000087170000}"/>
    <cellStyle name="40% - Ênfase3 35 2" xfId="5782" xr:uid="{00000000-0005-0000-0000-000088170000}"/>
    <cellStyle name="40% - Ênfase3 36" xfId="5783" xr:uid="{00000000-0005-0000-0000-000089170000}"/>
    <cellStyle name="40% - Ênfase3 36 2" xfId="5784" xr:uid="{00000000-0005-0000-0000-00008A170000}"/>
    <cellStyle name="40% - Ênfase3 37" xfId="5785" xr:uid="{00000000-0005-0000-0000-00008B170000}"/>
    <cellStyle name="40% - Ênfase3 37 2" xfId="5786" xr:uid="{00000000-0005-0000-0000-00008C170000}"/>
    <cellStyle name="40% - Ênfase3 38" xfId="5787" xr:uid="{00000000-0005-0000-0000-00008D170000}"/>
    <cellStyle name="40% - Ênfase3 38 2" xfId="5788" xr:uid="{00000000-0005-0000-0000-00008E170000}"/>
    <cellStyle name="40% - Ênfase3 39" xfId="5789" xr:uid="{00000000-0005-0000-0000-00008F170000}"/>
    <cellStyle name="40% - Ênfase3 39 2" xfId="5790" xr:uid="{00000000-0005-0000-0000-000090170000}"/>
    <cellStyle name="40% - Ênfase3 4" xfId="5791" xr:uid="{00000000-0005-0000-0000-000091170000}"/>
    <cellStyle name="40% - Ênfase3 4 2" xfId="5792" xr:uid="{00000000-0005-0000-0000-000092170000}"/>
    <cellStyle name="40% - Ênfase3 4 2 10" xfId="5793" xr:uid="{00000000-0005-0000-0000-000093170000}"/>
    <cellStyle name="40% - Ênfase3 4 2 10 2" xfId="5794" xr:uid="{00000000-0005-0000-0000-000094170000}"/>
    <cellStyle name="40% - Ênfase3 4 2 11" xfId="5795" xr:uid="{00000000-0005-0000-0000-000095170000}"/>
    <cellStyle name="40% - Ênfase3 4 2 11 2" xfId="5796" xr:uid="{00000000-0005-0000-0000-000096170000}"/>
    <cellStyle name="40% - Ênfase3 4 2 12" xfId="5797" xr:uid="{00000000-0005-0000-0000-000097170000}"/>
    <cellStyle name="40% - Ênfase3 4 2 12 2" xfId="5798" xr:uid="{00000000-0005-0000-0000-000098170000}"/>
    <cellStyle name="40% - Ênfase3 4 2 2" xfId="5799" xr:uid="{00000000-0005-0000-0000-000099170000}"/>
    <cellStyle name="40% - Ênfase3 4 2 2 10" xfId="5800" xr:uid="{00000000-0005-0000-0000-00009A170000}"/>
    <cellStyle name="40% - Ênfase3 4 2 2 11" xfId="5801" xr:uid="{00000000-0005-0000-0000-00009B170000}"/>
    <cellStyle name="40% - Ênfase3 4 2 2 2" xfId="5802" xr:uid="{00000000-0005-0000-0000-00009C170000}"/>
    <cellStyle name="40% - Ênfase3 4 2 2 2 2" xfId="25530" xr:uid="{00000000-0005-0000-0000-00009D170000}"/>
    <cellStyle name="40% - Ênfase3 4 2 2 2 2 2" xfId="26820" xr:uid="{00000000-0005-0000-0000-00009E170000}"/>
    <cellStyle name="40% - Ênfase3 4 2 2 2 3" xfId="26819" xr:uid="{00000000-0005-0000-0000-00009F170000}"/>
    <cellStyle name="40% - Ênfase3 4 2 2 2 4" xfId="25529" xr:uid="{00000000-0005-0000-0000-0000A0170000}"/>
    <cellStyle name="40% - Ênfase3 4 2 2 3" xfId="5803" xr:uid="{00000000-0005-0000-0000-0000A1170000}"/>
    <cellStyle name="40% - Ênfase3 4 2 2 3 2" xfId="26821" xr:uid="{00000000-0005-0000-0000-0000A2170000}"/>
    <cellStyle name="40% - Ênfase3 4 2 2 3 3" xfId="25531" xr:uid="{00000000-0005-0000-0000-0000A3170000}"/>
    <cellStyle name="40% - Ênfase3 4 2 2 4" xfId="5804" xr:uid="{00000000-0005-0000-0000-0000A4170000}"/>
    <cellStyle name="40% - Ênfase3 4 2 2 4 2" xfId="26818" xr:uid="{00000000-0005-0000-0000-0000A5170000}"/>
    <cellStyle name="40% - Ênfase3 4 2 2 5" xfId="5805" xr:uid="{00000000-0005-0000-0000-0000A6170000}"/>
    <cellStyle name="40% - Ênfase3 4 2 2 6" xfId="5806" xr:uid="{00000000-0005-0000-0000-0000A7170000}"/>
    <cellStyle name="40% - Ênfase3 4 2 2 7" xfId="5807" xr:uid="{00000000-0005-0000-0000-0000A8170000}"/>
    <cellStyle name="40% - Ênfase3 4 2 2 8" xfId="5808" xr:uid="{00000000-0005-0000-0000-0000A9170000}"/>
    <cellStyle name="40% - Ênfase3 4 2 2 9" xfId="5809" xr:uid="{00000000-0005-0000-0000-0000AA170000}"/>
    <cellStyle name="40% - Ênfase3 4 2 3" xfId="5810" xr:uid="{00000000-0005-0000-0000-0000AB170000}"/>
    <cellStyle name="40% - Ênfase3 4 2 3 2" xfId="25533" xr:uid="{00000000-0005-0000-0000-0000AC170000}"/>
    <cellStyle name="40% - Ênfase3 4 2 3 2 2" xfId="26823" xr:uid="{00000000-0005-0000-0000-0000AD170000}"/>
    <cellStyle name="40% - Ênfase3 4 2 3 3" xfId="26822" xr:uid="{00000000-0005-0000-0000-0000AE170000}"/>
    <cellStyle name="40% - Ênfase3 4 2 3 4" xfId="25532" xr:uid="{00000000-0005-0000-0000-0000AF170000}"/>
    <cellStyle name="40% - Ênfase3 4 2 4" xfId="5811" xr:uid="{00000000-0005-0000-0000-0000B0170000}"/>
    <cellStyle name="40% - Ênfase3 4 2 4 2" xfId="26824" xr:uid="{00000000-0005-0000-0000-0000B1170000}"/>
    <cellStyle name="40% - Ênfase3 4 2 4 3" xfId="25534" xr:uid="{00000000-0005-0000-0000-0000B2170000}"/>
    <cellStyle name="40% - Ênfase3 4 2 5" xfId="5812" xr:uid="{00000000-0005-0000-0000-0000B3170000}"/>
    <cellStyle name="40% - Ênfase3 4 2 5 2" xfId="5813" xr:uid="{00000000-0005-0000-0000-0000B4170000}"/>
    <cellStyle name="40% - Ênfase3 4 2 6" xfId="5814" xr:uid="{00000000-0005-0000-0000-0000B5170000}"/>
    <cellStyle name="40% - Ênfase3 4 2 6 2" xfId="5815" xr:uid="{00000000-0005-0000-0000-0000B6170000}"/>
    <cellStyle name="40% - Ênfase3 4 2 7" xfId="5816" xr:uid="{00000000-0005-0000-0000-0000B7170000}"/>
    <cellStyle name="40% - Ênfase3 4 2 7 2" xfId="5817" xr:uid="{00000000-0005-0000-0000-0000B8170000}"/>
    <cellStyle name="40% - Ênfase3 4 2 8" xfId="5818" xr:uid="{00000000-0005-0000-0000-0000B9170000}"/>
    <cellStyle name="40% - Ênfase3 4 2 8 2" xfId="5819" xr:uid="{00000000-0005-0000-0000-0000BA170000}"/>
    <cellStyle name="40% - Ênfase3 4 2 9" xfId="5820" xr:uid="{00000000-0005-0000-0000-0000BB170000}"/>
    <cellStyle name="40% - Ênfase3 4 2 9 2" xfId="5821" xr:uid="{00000000-0005-0000-0000-0000BC170000}"/>
    <cellStyle name="40% - Ênfase3 4 3" xfId="5822" xr:uid="{00000000-0005-0000-0000-0000BD170000}"/>
    <cellStyle name="40% - Ênfase3 4 3 2" xfId="25536" xr:uid="{00000000-0005-0000-0000-0000BE170000}"/>
    <cellStyle name="40% - Ênfase3 4 3 2 2" xfId="25537" xr:uid="{00000000-0005-0000-0000-0000BF170000}"/>
    <cellStyle name="40% - Ênfase3 4 3 2 2 2" xfId="26827" xr:uid="{00000000-0005-0000-0000-0000C0170000}"/>
    <cellStyle name="40% - Ênfase3 4 3 2 3" xfId="26826" xr:uid="{00000000-0005-0000-0000-0000C1170000}"/>
    <cellStyle name="40% - Ênfase3 4 3 3" xfId="25538" xr:uid="{00000000-0005-0000-0000-0000C2170000}"/>
    <cellStyle name="40% - Ênfase3 4 3 3 2" xfId="26828" xr:uid="{00000000-0005-0000-0000-0000C3170000}"/>
    <cellStyle name="40% - Ênfase3 4 3 4" xfId="26825" xr:uid="{00000000-0005-0000-0000-0000C4170000}"/>
    <cellStyle name="40% - Ênfase3 4 3 5" xfId="25535" xr:uid="{00000000-0005-0000-0000-0000C5170000}"/>
    <cellStyle name="40% - Ênfase3 4 4" xfId="5823" xr:uid="{00000000-0005-0000-0000-0000C6170000}"/>
    <cellStyle name="40% - Ênfase3 4 4 2" xfId="26829" xr:uid="{00000000-0005-0000-0000-0000C7170000}"/>
    <cellStyle name="40% - Ênfase3 4 5" xfId="5824" xr:uid="{00000000-0005-0000-0000-0000C8170000}"/>
    <cellStyle name="40% - Ênfase3 4 5 10" xfId="5825" xr:uid="{00000000-0005-0000-0000-0000C9170000}"/>
    <cellStyle name="40% - Ênfase3 4 5 10 2" xfId="5826" xr:uid="{00000000-0005-0000-0000-0000CA170000}"/>
    <cellStyle name="40% - Ênfase3 4 5 2" xfId="5827" xr:uid="{00000000-0005-0000-0000-0000CB170000}"/>
    <cellStyle name="40% - Ênfase3 4 5 2 2" xfId="5828" xr:uid="{00000000-0005-0000-0000-0000CC170000}"/>
    <cellStyle name="40% - Ênfase3 4 5 3" xfId="5829" xr:uid="{00000000-0005-0000-0000-0000CD170000}"/>
    <cellStyle name="40% - Ênfase3 4 5 3 2" xfId="5830" xr:uid="{00000000-0005-0000-0000-0000CE170000}"/>
    <cellStyle name="40% - Ênfase3 4 5 4" xfId="5831" xr:uid="{00000000-0005-0000-0000-0000CF170000}"/>
    <cellStyle name="40% - Ênfase3 4 5 4 2" xfId="5832" xr:uid="{00000000-0005-0000-0000-0000D0170000}"/>
    <cellStyle name="40% - Ênfase3 4 5 5" xfId="5833" xr:uid="{00000000-0005-0000-0000-0000D1170000}"/>
    <cellStyle name="40% - Ênfase3 4 5 5 2" xfId="5834" xr:uid="{00000000-0005-0000-0000-0000D2170000}"/>
    <cellStyle name="40% - Ênfase3 4 5 6" xfId="5835" xr:uid="{00000000-0005-0000-0000-0000D3170000}"/>
    <cellStyle name="40% - Ênfase3 4 5 6 2" xfId="5836" xr:uid="{00000000-0005-0000-0000-0000D4170000}"/>
    <cellStyle name="40% - Ênfase3 4 5 7" xfId="5837" xr:uid="{00000000-0005-0000-0000-0000D5170000}"/>
    <cellStyle name="40% - Ênfase3 4 5 7 2" xfId="5838" xr:uid="{00000000-0005-0000-0000-0000D6170000}"/>
    <cellStyle name="40% - Ênfase3 4 5 8" xfId="5839" xr:uid="{00000000-0005-0000-0000-0000D7170000}"/>
    <cellStyle name="40% - Ênfase3 4 5 8 2" xfId="5840" xr:uid="{00000000-0005-0000-0000-0000D8170000}"/>
    <cellStyle name="40% - Ênfase3 4 5 9" xfId="5841" xr:uid="{00000000-0005-0000-0000-0000D9170000}"/>
    <cellStyle name="40% - Ênfase3 4 5 9 2" xfId="5842" xr:uid="{00000000-0005-0000-0000-0000DA170000}"/>
    <cellStyle name="40% - Ênfase3 4 6" xfId="5843" xr:uid="{00000000-0005-0000-0000-0000DB170000}"/>
    <cellStyle name="40% - Ênfase3 4 6 2" xfId="5844" xr:uid="{00000000-0005-0000-0000-0000DC170000}"/>
    <cellStyle name="40% - Ênfase3 4 6 2 2" xfId="5845" xr:uid="{00000000-0005-0000-0000-0000DD170000}"/>
    <cellStyle name="40% - Ênfase3 4 6 3" xfId="5846" xr:uid="{00000000-0005-0000-0000-0000DE170000}"/>
    <cellStyle name="40% - Ênfase3 4 6 3 2" xfId="5847" xr:uid="{00000000-0005-0000-0000-0000DF170000}"/>
    <cellStyle name="40% - Ênfase3 4 6 4" xfId="5848" xr:uid="{00000000-0005-0000-0000-0000E0170000}"/>
    <cellStyle name="40% - Ênfase3 4 6 4 2" xfId="5849" xr:uid="{00000000-0005-0000-0000-0000E1170000}"/>
    <cellStyle name="40% - Ênfase3 4 6 5" xfId="5850" xr:uid="{00000000-0005-0000-0000-0000E2170000}"/>
    <cellStyle name="40% - Ênfase3 4 6 5 2" xfId="5851" xr:uid="{00000000-0005-0000-0000-0000E3170000}"/>
    <cellStyle name="40% - Ênfase3 4 6 6" xfId="5852" xr:uid="{00000000-0005-0000-0000-0000E4170000}"/>
    <cellStyle name="40% - Ênfase3 4 7" xfId="26817" xr:uid="{00000000-0005-0000-0000-0000E5170000}"/>
    <cellStyle name="40% - Ênfase3 40" xfId="5853" xr:uid="{00000000-0005-0000-0000-0000E6170000}"/>
    <cellStyle name="40% - Ênfase3 40 2" xfId="5854" xr:uid="{00000000-0005-0000-0000-0000E7170000}"/>
    <cellStyle name="40% - Ênfase3 41" xfId="5855" xr:uid="{00000000-0005-0000-0000-0000E8170000}"/>
    <cellStyle name="40% - Ênfase3 41 2" xfId="5856" xr:uid="{00000000-0005-0000-0000-0000E9170000}"/>
    <cellStyle name="40% - Ênfase3 42" xfId="5857" xr:uid="{00000000-0005-0000-0000-0000EA170000}"/>
    <cellStyle name="40% - Ênfase3 42 2" xfId="5858" xr:uid="{00000000-0005-0000-0000-0000EB170000}"/>
    <cellStyle name="40% - Ênfase3 43" xfId="5859" xr:uid="{00000000-0005-0000-0000-0000EC170000}"/>
    <cellStyle name="40% - Ênfase3 43 2" xfId="5860" xr:uid="{00000000-0005-0000-0000-0000ED170000}"/>
    <cellStyle name="40% - Ênfase3 44" xfId="5861" xr:uid="{00000000-0005-0000-0000-0000EE170000}"/>
    <cellStyle name="40% - Ênfase3 44 2" xfId="5862" xr:uid="{00000000-0005-0000-0000-0000EF170000}"/>
    <cellStyle name="40% - Ênfase3 45" xfId="5863" xr:uid="{00000000-0005-0000-0000-0000F0170000}"/>
    <cellStyle name="40% - Ênfase3 45 2" xfId="5864" xr:uid="{00000000-0005-0000-0000-0000F1170000}"/>
    <cellStyle name="40% - Ênfase3 46" xfId="5865" xr:uid="{00000000-0005-0000-0000-0000F2170000}"/>
    <cellStyle name="40% - Ênfase3 46 2" xfId="5866" xr:uid="{00000000-0005-0000-0000-0000F3170000}"/>
    <cellStyle name="40% - Ênfase3 47" xfId="5867" xr:uid="{00000000-0005-0000-0000-0000F4170000}"/>
    <cellStyle name="40% - Ênfase3 47 2" xfId="5868" xr:uid="{00000000-0005-0000-0000-0000F5170000}"/>
    <cellStyle name="40% - Ênfase3 48" xfId="5869" xr:uid="{00000000-0005-0000-0000-0000F6170000}"/>
    <cellStyle name="40% - Ênfase3 48 2" xfId="5870" xr:uid="{00000000-0005-0000-0000-0000F7170000}"/>
    <cellStyle name="40% - Ênfase3 49" xfId="5871" xr:uid="{00000000-0005-0000-0000-0000F8170000}"/>
    <cellStyle name="40% - Ênfase3 49 2" xfId="5872" xr:uid="{00000000-0005-0000-0000-0000F9170000}"/>
    <cellStyle name="40% - Ênfase3 5" xfId="5873" xr:uid="{00000000-0005-0000-0000-0000FA170000}"/>
    <cellStyle name="40% - Ênfase3 5 2" xfId="5874" xr:uid="{00000000-0005-0000-0000-0000FB170000}"/>
    <cellStyle name="40% - Ênfase3 5 2 2" xfId="5875" xr:uid="{00000000-0005-0000-0000-0000FC170000}"/>
    <cellStyle name="40% - Ênfase3 5 2 2 2" xfId="25540" xr:uid="{00000000-0005-0000-0000-0000FD170000}"/>
    <cellStyle name="40% - Ênfase3 5 2 2 2 2" xfId="25541" xr:uid="{00000000-0005-0000-0000-0000FE170000}"/>
    <cellStyle name="40% - Ênfase3 5 2 2 2 2 2" xfId="26832" xr:uid="{00000000-0005-0000-0000-0000FF170000}"/>
    <cellStyle name="40% - Ênfase3 5 2 2 2 3" xfId="26831" xr:uid="{00000000-0005-0000-0000-000000180000}"/>
    <cellStyle name="40% - Ênfase3 5 2 2 3" xfId="25542" xr:uid="{00000000-0005-0000-0000-000001180000}"/>
    <cellStyle name="40% - Ênfase3 5 2 2 3 2" xfId="26833" xr:uid="{00000000-0005-0000-0000-000002180000}"/>
    <cellStyle name="40% - Ênfase3 5 2 2 4" xfId="26830" xr:uid="{00000000-0005-0000-0000-000003180000}"/>
    <cellStyle name="40% - Ênfase3 5 2 2 5" xfId="25539" xr:uid="{00000000-0005-0000-0000-000004180000}"/>
    <cellStyle name="40% - Ênfase3 5 2 3" xfId="5876" xr:uid="{00000000-0005-0000-0000-000005180000}"/>
    <cellStyle name="40% - Ênfase3 5 2 3 2" xfId="25544" xr:uid="{00000000-0005-0000-0000-000006180000}"/>
    <cellStyle name="40% - Ênfase3 5 2 3 2 2" xfId="26835" xr:uid="{00000000-0005-0000-0000-000007180000}"/>
    <cellStyle name="40% - Ênfase3 5 2 3 3" xfId="26834" xr:uid="{00000000-0005-0000-0000-000008180000}"/>
    <cellStyle name="40% - Ênfase3 5 2 3 4" xfId="25543" xr:uid="{00000000-0005-0000-0000-000009180000}"/>
    <cellStyle name="40% - Ênfase3 5 2 4" xfId="5877" xr:uid="{00000000-0005-0000-0000-00000A180000}"/>
    <cellStyle name="40% - Ênfase3 5 2 4 2" xfId="26836" xr:uid="{00000000-0005-0000-0000-00000B180000}"/>
    <cellStyle name="40% - Ênfase3 5 2 4 3" xfId="25545" xr:uid="{00000000-0005-0000-0000-00000C180000}"/>
    <cellStyle name="40% - Ênfase3 5 2 5" xfId="5878" xr:uid="{00000000-0005-0000-0000-00000D180000}"/>
    <cellStyle name="40% - Ênfase3 5 2 5 2" xfId="5879" xr:uid="{00000000-0005-0000-0000-00000E180000}"/>
    <cellStyle name="40% - Ênfase3 5 2 6" xfId="5880" xr:uid="{00000000-0005-0000-0000-00000F180000}"/>
    <cellStyle name="40% - Ênfase3 5 2 6 2" xfId="5881" xr:uid="{00000000-0005-0000-0000-000010180000}"/>
    <cellStyle name="40% - Ênfase3 5 2 7" xfId="5882" xr:uid="{00000000-0005-0000-0000-000011180000}"/>
    <cellStyle name="40% - Ênfase3 5 2 7 2" xfId="5883" xr:uid="{00000000-0005-0000-0000-000012180000}"/>
    <cellStyle name="40% - Ênfase3 5 2 8" xfId="5884" xr:uid="{00000000-0005-0000-0000-000013180000}"/>
    <cellStyle name="40% - Ênfase3 5 2 8 2" xfId="5885" xr:uid="{00000000-0005-0000-0000-000014180000}"/>
    <cellStyle name="40% - Ênfase3 5 2 9" xfId="5886" xr:uid="{00000000-0005-0000-0000-000015180000}"/>
    <cellStyle name="40% - Ênfase3 5 3" xfId="5887" xr:uid="{00000000-0005-0000-0000-000016180000}"/>
    <cellStyle name="40% - Ênfase3 5 3 2" xfId="25547" xr:uid="{00000000-0005-0000-0000-000017180000}"/>
    <cellStyle name="40% - Ênfase3 5 3 2 2" xfId="25548" xr:uid="{00000000-0005-0000-0000-000018180000}"/>
    <cellStyle name="40% - Ênfase3 5 3 2 2 2" xfId="26839" xr:uid="{00000000-0005-0000-0000-000019180000}"/>
    <cellStyle name="40% - Ênfase3 5 3 2 3" xfId="26838" xr:uid="{00000000-0005-0000-0000-00001A180000}"/>
    <cellStyle name="40% - Ênfase3 5 3 3" xfId="25549" xr:uid="{00000000-0005-0000-0000-00001B180000}"/>
    <cellStyle name="40% - Ênfase3 5 3 3 2" xfId="26840" xr:uid="{00000000-0005-0000-0000-00001C180000}"/>
    <cellStyle name="40% - Ênfase3 5 3 4" xfId="26837" xr:uid="{00000000-0005-0000-0000-00001D180000}"/>
    <cellStyle name="40% - Ênfase3 5 3 5" xfId="25546" xr:uid="{00000000-0005-0000-0000-00001E180000}"/>
    <cellStyle name="40% - Ênfase3 5 4" xfId="5888" xr:uid="{00000000-0005-0000-0000-00001F180000}"/>
    <cellStyle name="40% - Ênfase3 5 4 2" xfId="25551" xr:uid="{00000000-0005-0000-0000-000020180000}"/>
    <cellStyle name="40% - Ênfase3 5 4 2 2" xfId="26842" xr:uid="{00000000-0005-0000-0000-000021180000}"/>
    <cellStyle name="40% - Ênfase3 5 4 3" xfId="26841" xr:uid="{00000000-0005-0000-0000-000022180000}"/>
    <cellStyle name="40% - Ênfase3 5 4 4" xfId="25550" xr:uid="{00000000-0005-0000-0000-000023180000}"/>
    <cellStyle name="40% - Ênfase3 5 5" xfId="5889" xr:uid="{00000000-0005-0000-0000-000024180000}"/>
    <cellStyle name="40% - Ênfase3 5 5 2" xfId="5890" xr:uid="{00000000-0005-0000-0000-000025180000}"/>
    <cellStyle name="40% - Ênfase3 5 5 2 2" xfId="5891" xr:uid="{00000000-0005-0000-0000-000026180000}"/>
    <cellStyle name="40% - Ênfase3 5 5 3" xfId="5892" xr:uid="{00000000-0005-0000-0000-000027180000}"/>
    <cellStyle name="40% - Ênfase3 5 5 3 2" xfId="5893" xr:uid="{00000000-0005-0000-0000-000028180000}"/>
    <cellStyle name="40% - Ênfase3 5 5 4" xfId="5894" xr:uid="{00000000-0005-0000-0000-000029180000}"/>
    <cellStyle name="40% - Ênfase3 5 5 4 2" xfId="5895" xr:uid="{00000000-0005-0000-0000-00002A180000}"/>
    <cellStyle name="40% - Ênfase3 5 5 5" xfId="5896" xr:uid="{00000000-0005-0000-0000-00002B180000}"/>
    <cellStyle name="40% - Ênfase3 5 5 5 2" xfId="5897" xr:uid="{00000000-0005-0000-0000-00002C180000}"/>
    <cellStyle name="40% - Ênfase3 5 5 6" xfId="5898" xr:uid="{00000000-0005-0000-0000-00002D180000}"/>
    <cellStyle name="40% - Ênfase3 5 6" xfId="5899" xr:uid="{00000000-0005-0000-0000-00002E180000}"/>
    <cellStyle name="40% - Ênfase3 5 6 2" xfId="5900" xr:uid="{00000000-0005-0000-0000-00002F180000}"/>
    <cellStyle name="40% - Ênfase3 5 6 2 2" xfId="5901" xr:uid="{00000000-0005-0000-0000-000030180000}"/>
    <cellStyle name="40% - Ênfase3 5 6 3" xfId="5902" xr:uid="{00000000-0005-0000-0000-000031180000}"/>
    <cellStyle name="40% - Ênfase3 5 6 3 2" xfId="5903" xr:uid="{00000000-0005-0000-0000-000032180000}"/>
    <cellStyle name="40% - Ênfase3 5 6 4" xfId="5904" xr:uid="{00000000-0005-0000-0000-000033180000}"/>
    <cellStyle name="40% - Ênfase3 5 6 4 2" xfId="5905" xr:uid="{00000000-0005-0000-0000-000034180000}"/>
    <cellStyle name="40% - Ênfase3 5 6 5" xfId="5906" xr:uid="{00000000-0005-0000-0000-000035180000}"/>
    <cellStyle name="40% - Ênfase3 5 6 5 2" xfId="5907" xr:uid="{00000000-0005-0000-0000-000036180000}"/>
    <cellStyle name="40% - Ênfase3 5 6 6" xfId="5908" xr:uid="{00000000-0005-0000-0000-000037180000}"/>
    <cellStyle name="40% - Ênfase3 50" xfId="5909" xr:uid="{00000000-0005-0000-0000-000038180000}"/>
    <cellStyle name="40% - Ênfase3 50 2" xfId="5910" xr:uid="{00000000-0005-0000-0000-000039180000}"/>
    <cellStyle name="40% - Ênfase3 51" xfId="5911" xr:uid="{00000000-0005-0000-0000-00003A180000}"/>
    <cellStyle name="40% - Ênfase3 51 2" xfId="5912" xr:uid="{00000000-0005-0000-0000-00003B180000}"/>
    <cellStyle name="40% - Ênfase3 52" xfId="5913" xr:uid="{00000000-0005-0000-0000-00003C180000}"/>
    <cellStyle name="40% - Ênfase3 52 2" xfId="5914" xr:uid="{00000000-0005-0000-0000-00003D180000}"/>
    <cellStyle name="40% - Ênfase3 53" xfId="5915" xr:uid="{00000000-0005-0000-0000-00003E180000}"/>
    <cellStyle name="40% - Ênfase3 53 2" xfId="5916" xr:uid="{00000000-0005-0000-0000-00003F180000}"/>
    <cellStyle name="40% - Ênfase3 54" xfId="5917" xr:uid="{00000000-0005-0000-0000-000040180000}"/>
    <cellStyle name="40% - Ênfase3 54 2" xfId="5918" xr:uid="{00000000-0005-0000-0000-000041180000}"/>
    <cellStyle name="40% - Ênfase3 55" xfId="5919" xr:uid="{00000000-0005-0000-0000-000042180000}"/>
    <cellStyle name="40% - Ênfase3 55 2" xfId="5920" xr:uid="{00000000-0005-0000-0000-000043180000}"/>
    <cellStyle name="40% - Ênfase3 6" xfId="5921" xr:uid="{00000000-0005-0000-0000-000044180000}"/>
    <cellStyle name="40% - Ênfase3 6 10" xfId="5922" xr:uid="{00000000-0005-0000-0000-000045180000}"/>
    <cellStyle name="40% - Ênfase3 6 10 2" xfId="5923" xr:uid="{00000000-0005-0000-0000-000046180000}"/>
    <cellStyle name="40% - Ênfase3 6 11" xfId="5924" xr:uid="{00000000-0005-0000-0000-000047180000}"/>
    <cellStyle name="40% - Ênfase3 6 11 2" xfId="5925" xr:uid="{00000000-0005-0000-0000-000048180000}"/>
    <cellStyle name="40% - Ênfase3 6 12" xfId="5926" xr:uid="{00000000-0005-0000-0000-000049180000}"/>
    <cellStyle name="40% - Ênfase3 6 12 2" xfId="5927" xr:uid="{00000000-0005-0000-0000-00004A180000}"/>
    <cellStyle name="40% - Ênfase3 6 13" xfId="5928" xr:uid="{00000000-0005-0000-0000-00004B180000}"/>
    <cellStyle name="40% - Ênfase3 6 13 2" xfId="5929" xr:uid="{00000000-0005-0000-0000-00004C180000}"/>
    <cellStyle name="40% - Ênfase3 6 14" xfId="5930" xr:uid="{00000000-0005-0000-0000-00004D180000}"/>
    <cellStyle name="40% - Ênfase3 6 14 2" xfId="5931" xr:uid="{00000000-0005-0000-0000-00004E180000}"/>
    <cellStyle name="40% - Ênfase3 6 15" xfId="5932" xr:uid="{00000000-0005-0000-0000-00004F180000}"/>
    <cellStyle name="40% - Ênfase3 6 15 2" xfId="5933" xr:uid="{00000000-0005-0000-0000-000050180000}"/>
    <cellStyle name="40% - Ênfase3 6 16" xfId="5934" xr:uid="{00000000-0005-0000-0000-000051180000}"/>
    <cellStyle name="40% - Ênfase3 6 16 2" xfId="5935" xr:uid="{00000000-0005-0000-0000-000052180000}"/>
    <cellStyle name="40% - Ênfase3 6 17" xfId="5936" xr:uid="{00000000-0005-0000-0000-000053180000}"/>
    <cellStyle name="40% - Ênfase3 6 17 2" xfId="5937" xr:uid="{00000000-0005-0000-0000-000054180000}"/>
    <cellStyle name="40% - Ênfase3 6 18" xfId="5938" xr:uid="{00000000-0005-0000-0000-000055180000}"/>
    <cellStyle name="40% - Ênfase3 6 18 2" xfId="5939" xr:uid="{00000000-0005-0000-0000-000056180000}"/>
    <cellStyle name="40% - Ênfase3 6 19" xfId="5940" xr:uid="{00000000-0005-0000-0000-000057180000}"/>
    <cellStyle name="40% - Ênfase3 6 19 2" xfId="5941" xr:uid="{00000000-0005-0000-0000-000058180000}"/>
    <cellStyle name="40% - Ênfase3 6 2" xfId="5942" xr:uid="{00000000-0005-0000-0000-000059180000}"/>
    <cellStyle name="40% - Ênfase3 6 2 2" xfId="5943" xr:uid="{00000000-0005-0000-0000-00005A180000}"/>
    <cellStyle name="40% - Ênfase3 6 2 2 2" xfId="5944" xr:uid="{00000000-0005-0000-0000-00005B180000}"/>
    <cellStyle name="40% - Ênfase3 6 2 2 2 2" xfId="26844" xr:uid="{00000000-0005-0000-0000-00005C180000}"/>
    <cellStyle name="40% - Ênfase3 6 2 2 3" xfId="26843" xr:uid="{00000000-0005-0000-0000-00005D180000}"/>
    <cellStyle name="40% - Ênfase3 6 2 3" xfId="5945" xr:uid="{00000000-0005-0000-0000-00005E180000}"/>
    <cellStyle name="40% - Ênfase3 6 2 3 2" xfId="5946" xr:uid="{00000000-0005-0000-0000-00005F180000}"/>
    <cellStyle name="40% - Ênfase3 6 2 4" xfId="5947" xr:uid="{00000000-0005-0000-0000-000060180000}"/>
    <cellStyle name="40% - Ênfase3 6 2 4 2" xfId="5948" xr:uid="{00000000-0005-0000-0000-000061180000}"/>
    <cellStyle name="40% - Ênfase3 6 2 5" xfId="5949" xr:uid="{00000000-0005-0000-0000-000062180000}"/>
    <cellStyle name="40% - Ênfase3 6 2 5 2" xfId="5950" xr:uid="{00000000-0005-0000-0000-000063180000}"/>
    <cellStyle name="40% - Ênfase3 6 2 6" xfId="5951" xr:uid="{00000000-0005-0000-0000-000064180000}"/>
    <cellStyle name="40% - Ênfase3 6 20" xfId="5952" xr:uid="{00000000-0005-0000-0000-000065180000}"/>
    <cellStyle name="40% - Ênfase3 6 20 2" xfId="5953" xr:uid="{00000000-0005-0000-0000-000066180000}"/>
    <cellStyle name="40% - Ênfase3 6 21" xfId="5954" xr:uid="{00000000-0005-0000-0000-000067180000}"/>
    <cellStyle name="40% - Ênfase3 6 21 2" xfId="5955" xr:uid="{00000000-0005-0000-0000-000068180000}"/>
    <cellStyle name="40% - Ênfase3 6 22" xfId="5956" xr:uid="{00000000-0005-0000-0000-000069180000}"/>
    <cellStyle name="40% - Ênfase3 6 22 2" xfId="5957" xr:uid="{00000000-0005-0000-0000-00006A180000}"/>
    <cellStyle name="40% - Ênfase3 6 23" xfId="5958" xr:uid="{00000000-0005-0000-0000-00006B180000}"/>
    <cellStyle name="40% - Ênfase3 6 23 2" xfId="5959" xr:uid="{00000000-0005-0000-0000-00006C180000}"/>
    <cellStyle name="40% - Ênfase3 6 24" xfId="5960" xr:uid="{00000000-0005-0000-0000-00006D180000}"/>
    <cellStyle name="40% - Ênfase3 6 24 2" xfId="5961" xr:uid="{00000000-0005-0000-0000-00006E180000}"/>
    <cellStyle name="40% - Ênfase3 6 25" xfId="5962" xr:uid="{00000000-0005-0000-0000-00006F180000}"/>
    <cellStyle name="40% - Ênfase3 6 25 2" xfId="5963" xr:uid="{00000000-0005-0000-0000-000070180000}"/>
    <cellStyle name="40% - Ênfase3 6 26" xfId="5964" xr:uid="{00000000-0005-0000-0000-000071180000}"/>
    <cellStyle name="40% - Ênfase3 6 26 2" xfId="5965" xr:uid="{00000000-0005-0000-0000-000072180000}"/>
    <cellStyle name="40% - Ênfase3 6 27" xfId="5966" xr:uid="{00000000-0005-0000-0000-000073180000}"/>
    <cellStyle name="40% - Ênfase3 6 27 2" xfId="5967" xr:uid="{00000000-0005-0000-0000-000074180000}"/>
    <cellStyle name="40% - Ênfase3 6 28" xfId="5968" xr:uid="{00000000-0005-0000-0000-000075180000}"/>
    <cellStyle name="40% - Ênfase3 6 28 2" xfId="5969" xr:uid="{00000000-0005-0000-0000-000076180000}"/>
    <cellStyle name="40% - Ênfase3 6 29" xfId="5970" xr:uid="{00000000-0005-0000-0000-000077180000}"/>
    <cellStyle name="40% - Ênfase3 6 29 2" xfId="5971" xr:uid="{00000000-0005-0000-0000-000078180000}"/>
    <cellStyle name="40% - Ênfase3 6 3" xfId="5972" xr:uid="{00000000-0005-0000-0000-000079180000}"/>
    <cellStyle name="40% - Ênfase3 6 3 2" xfId="5973" xr:uid="{00000000-0005-0000-0000-00007A180000}"/>
    <cellStyle name="40% - Ênfase3 6 3 2 2" xfId="5974" xr:uid="{00000000-0005-0000-0000-00007B180000}"/>
    <cellStyle name="40% - Ênfase3 6 3 3" xfId="5975" xr:uid="{00000000-0005-0000-0000-00007C180000}"/>
    <cellStyle name="40% - Ênfase3 6 3 3 2" xfId="5976" xr:uid="{00000000-0005-0000-0000-00007D180000}"/>
    <cellStyle name="40% - Ênfase3 6 3 4" xfId="5977" xr:uid="{00000000-0005-0000-0000-00007E180000}"/>
    <cellStyle name="40% - Ênfase3 6 3 4 2" xfId="5978" xr:uid="{00000000-0005-0000-0000-00007F180000}"/>
    <cellStyle name="40% - Ênfase3 6 3 5" xfId="5979" xr:uid="{00000000-0005-0000-0000-000080180000}"/>
    <cellStyle name="40% - Ênfase3 6 3 5 2" xfId="5980" xr:uid="{00000000-0005-0000-0000-000081180000}"/>
    <cellStyle name="40% - Ênfase3 6 3 6" xfId="5981" xr:uid="{00000000-0005-0000-0000-000082180000}"/>
    <cellStyle name="40% - Ênfase3 6 30" xfId="5982" xr:uid="{00000000-0005-0000-0000-000083180000}"/>
    <cellStyle name="40% - Ênfase3 6 30 2" xfId="5983" xr:uid="{00000000-0005-0000-0000-000084180000}"/>
    <cellStyle name="40% - Ênfase3 6 31" xfId="5984" xr:uid="{00000000-0005-0000-0000-000085180000}"/>
    <cellStyle name="40% - Ênfase3 6 31 2" xfId="5985" xr:uid="{00000000-0005-0000-0000-000086180000}"/>
    <cellStyle name="40% - Ênfase3 6 32" xfId="5986" xr:uid="{00000000-0005-0000-0000-000087180000}"/>
    <cellStyle name="40% - Ênfase3 6 32 2" xfId="5987" xr:uid="{00000000-0005-0000-0000-000088180000}"/>
    <cellStyle name="40% - Ênfase3 6 33" xfId="5988" xr:uid="{00000000-0005-0000-0000-000089180000}"/>
    <cellStyle name="40% - Ênfase3 6 33 2" xfId="5989" xr:uid="{00000000-0005-0000-0000-00008A180000}"/>
    <cellStyle name="40% - Ênfase3 6 34" xfId="5990" xr:uid="{00000000-0005-0000-0000-00008B180000}"/>
    <cellStyle name="40% - Ênfase3 6 34 2" xfId="5991" xr:uid="{00000000-0005-0000-0000-00008C180000}"/>
    <cellStyle name="40% - Ênfase3 6 35" xfId="5992" xr:uid="{00000000-0005-0000-0000-00008D180000}"/>
    <cellStyle name="40% - Ênfase3 6 35 2" xfId="5993" xr:uid="{00000000-0005-0000-0000-00008E180000}"/>
    <cellStyle name="40% - Ênfase3 6 36" xfId="5994" xr:uid="{00000000-0005-0000-0000-00008F180000}"/>
    <cellStyle name="40% - Ênfase3 6 36 2" xfId="5995" xr:uid="{00000000-0005-0000-0000-000090180000}"/>
    <cellStyle name="40% - Ênfase3 6 37" xfId="5996" xr:uid="{00000000-0005-0000-0000-000091180000}"/>
    <cellStyle name="40% - Ênfase3 6 4" xfId="5997" xr:uid="{00000000-0005-0000-0000-000092180000}"/>
    <cellStyle name="40% - Ênfase3 6 4 2" xfId="5998" xr:uid="{00000000-0005-0000-0000-000093180000}"/>
    <cellStyle name="40% - Ênfase3 6 4 2 2" xfId="5999" xr:uid="{00000000-0005-0000-0000-000094180000}"/>
    <cellStyle name="40% - Ênfase3 6 4 3" xfId="6000" xr:uid="{00000000-0005-0000-0000-000095180000}"/>
    <cellStyle name="40% - Ênfase3 6 4 3 2" xfId="6001" xr:uid="{00000000-0005-0000-0000-000096180000}"/>
    <cellStyle name="40% - Ênfase3 6 4 4" xfId="6002" xr:uid="{00000000-0005-0000-0000-000097180000}"/>
    <cellStyle name="40% - Ênfase3 6 4 4 2" xfId="6003" xr:uid="{00000000-0005-0000-0000-000098180000}"/>
    <cellStyle name="40% - Ênfase3 6 4 5" xfId="6004" xr:uid="{00000000-0005-0000-0000-000099180000}"/>
    <cellStyle name="40% - Ênfase3 6 4 5 2" xfId="6005" xr:uid="{00000000-0005-0000-0000-00009A180000}"/>
    <cellStyle name="40% - Ênfase3 6 4 6" xfId="6006" xr:uid="{00000000-0005-0000-0000-00009B180000}"/>
    <cellStyle name="40% - Ênfase3 6 5" xfId="6007" xr:uid="{00000000-0005-0000-0000-00009C180000}"/>
    <cellStyle name="40% - Ênfase3 6 5 2" xfId="6008" xr:uid="{00000000-0005-0000-0000-00009D180000}"/>
    <cellStyle name="40% - Ênfase3 6 6" xfId="6009" xr:uid="{00000000-0005-0000-0000-00009E180000}"/>
    <cellStyle name="40% - Ênfase3 6 6 2" xfId="6010" xr:uid="{00000000-0005-0000-0000-00009F180000}"/>
    <cellStyle name="40% - Ênfase3 6 7" xfId="6011" xr:uid="{00000000-0005-0000-0000-0000A0180000}"/>
    <cellStyle name="40% - Ênfase3 6 7 2" xfId="6012" xr:uid="{00000000-0005-0000-0000-0000A1180000}"/>
    <cellStyle name="40% - Ênfase3 6 8" xfId="6013" xr:uid="{00000000-0005-0000-0000-0000A2180000}"/>
    <cellStyle name="40% - Ênfase3 6 8 2" xfId="6014" xr:uid="{00000000-0005-0000-0000-0000A3180000}"/>
    <cellStyle name="40% - Ênfase3 6 9" xfId="6015" xr:uid="{00000000-0005-0000-0000-0000A4180000}"/>
    <cellStyle name="40% - Ênfase3 6 9 2" xfId="6016" xr:uid="{00000000-0005-0000-0000-0000A5180000}"/>
    <cellStyle name="40% - Ênfase3 7" xfId="6017" xr:uid="{00000000-0005-0000-0000-0000A6180000}"/>
    <cellStyle name="40% - Ênfase3 7 10" xfId="6018" xr:uid="{00000000-0005-0000-0000-0000A7180000}"/>
    <cellStyle name="40% - Ênfase3 7 10 2" xfId="6019" xr:uid="{00000000-0005-0000-0000-0000A8180000}"/>
    <cellStyle name="40% - Ênfase3 7 11" xfId="6020" xr:uid="{00000000-0005-0000-0000-0000A9180000}"/>
    <cellStyle name="40% - Ênfase3 7 11 2" xfId="6021" xr:uid="{00000000-0005-0000-0000-0000AA180000}"/>
    <cellStyle name="40% - Ênfase3 7 12" xfId="6022" xr:uid="{00000000-0005-0000-0000-0000AB180000}"/>
    <cellStyle name="40% - Ênfase3 7 12 2" xfId="6023" xr:uid="{00000000-0005-0000-0000-0000AC180000}"/>
    <cellStyle name="40% - Ênfase3 7 13" xfId="6024" xr:uid="{00000000-0005-0000-0000-0000AD180000}"/>
    <cellStyle name="40% - Ênfase3 7 13 2" xfId="6025" xr:uid="{00000000-0005-0000-0000-0000AE180000}"/>
    <cellStyle name="40% - Ênfase3 7 14" xfId="6026" xr:uid="{00000000-0005-0000-0000-0000AF180000}"/>
    <cellStyle name="40% - Ênfase3 7 14 2" xfId="6027" xr:uid="{00000000-0005-0000-0000-0000B0180000}"/>
    <cellStyle name="40% - Ênfase3 7 15" xfId="6028" xr:uid="{00000000-0005-0000-0000-0000B1180000}"/>
    <cellStyle name="40% - Ênfase3 7 15 2" xfId="6029" xr:uid="{00000000-0005-0000-0000-0000B2180000}"/>
    <cellStyle name="40% - Ênfase3 7 16" xfId="6030" xr:uid="{00000000-0005-0000-0000-0000B3180000}"/>
    <cellStyle name="40% - Ênfase3 7 16 2" xfId="6031" xr:uid="{00000000-0005-0000-0000-0000B4180000}"/>
    <cellStyle name="40% - Ênfase3 7 17" xfId="6032" xr:uid="{00000000-0005-0000-0000-0000B5180000}"/>
    <cellStyle name="40% - Ênfase3 7 17 2" xfId="6033" xr:uid="{00000000-0005-0000-0000-0000B6180000}"/>
    <cellStyle name="40% - Ênfase3 7 18" xfId="6034" xr:uid="{00000000-0005-0000-0000-0000B7180000}"/>
    <cellStyle name="40% - Ênfase3 7 18 2" xfId="6035" xr:uid="{00000000-0005-0000-0000-0000B8180000}"/>
    <cellStyle name="40% - Ênfase3 7 19" xfId="6036" xr:uid="{00000000-0005-0000-0000-0000B9180000}"/>
    <cellStyle name="40% - Ênfase3 7 19 2" xfId="6037" xr:uid="{00000000-0005-0000-0000-0000BA180000}"/>
    <cellStyle name="40% - Ênfase3 7 2" xfId="6038" xr:uid="{00000000-0005-0000-0000-0000BB180000}"/>
    <cellStyle name="40% - Ênfase3 7 2 2" xfId="6039" xr:uid="{00000000-0005-0000-0000-0000BC180000}"/>
    <cellStyle name="40% - Ênfase3 7 2 2 2" xfId="6040" xr:uid="{00000000-0005-0000-0000-0000BD180000}"/>
    <cellStyle name="40% - Ênfase3 7 2 2 2 2" xfId="26846" xr:uid="{00000000-0005-0000-0000-0000BE180000}"/>
    <cellStyle name="40% - Ênfase3 7 2 2 3" xfId="26845" xr:uid="{00000000-0005-0000-0000-0000BF180000}"/>
    <cellStyle name="40% - Ênfase3 7 2 3" xfId="6041" xr:uid="{00000000-0005-0000-0000-0000C0180000}"/>
    <cellStyle name="40% - Ênfase3 7 2 3 2" xfId="6042" xr:uid="{00000000-0005-0000-0000-0000C1180000}"/>
    <cellStyle name="40% - Ênfase3 7 2 4" xfId="6043" xr:uid="{00000000-0005-0000-0000-0000C2180000}"/>
    <cellStyle name="40% - Ênfase3 7 2 4 2" xfId="6044" xr:uid="{00000000-0005-0000-0000-0000C3180000}"/>
    <cellStyle name="40% - Ênfase3 7 2 5" xfId="6045" xr:uid="{00000000-0005-0000-0000-0000C4180000}"/>
    <cellStyle name="40% - Ênfase3 7 2 5 2" xfId="6046" xr:uid="{00000000-0005-0000-0000-0000C5180000}"/>
    <cellStyle name="40% - Ênfase3 7 2 6" xfId="6047" xr:uid="{00000000-0005-0000-0000-0000C6180000}"/>
    <cellStyle name="40% - Ênfase3 7 20" xfId="6048" xr:uid="{00000000-0005-0000-0000-0000C7180000}"/>
    <cellStyle name="40% - Ênfase3 7 20 2" xfId="6049" xr:uid="{00000000-0005-0000-0000-0000C8180000}"/>
    <cellStyle name="40% - Ênfase3 7 21" xfId="6050" xr:uid="{00000000-0005-0000-0000-0000C9180000}"/>
    <cellStyle name="40% - Ênfase3 7 21 2" xfId="6051" xr:uid="{00000000-0005-0000-0000-0000CA180000}"/>
    <cellStyle name="40% - Ênfase3 7 22" xfId="6052" xr:uid="{00000000-0005-0000-0000-0000CB180000}"/>
    <cellStyle name="40% - Ênfase3 7 22 2" xfId="6053" xr:uid="{00000000-0005-0000-0000-0000CC180000}"/>
    <cellStyle name="40% - Ênfase3 7 23" xfId="6054" xr:uid="{00000000-0005-0000-0000-0000CD180000}"/>
    <cellStyle name="40% - Ênfase3 7 23 2" xfId="6055" xr:uid="{00000000-0005-0000-0000-0000CE180000}"/>
    <cellStyle name="40% - Ênfase3 7 24" xfId="6056" xr:uid="{00000000-0005-0000-0000-0000CF180000}"/>
    <cellStyle name="40% - Ênfase3 7 24 2" xfId="6057" xr:uid="{00000000-0005-0000-0000-0000D0180000}"/>
    <cellStyle name="40% - Ênfase3 7 25" xfId="6058" xr:uid="{00000000-0005-0000-0000-0000D1180000}"/>
    <cellStyle name="40% - Ênfase3 7 25 2" xfId="6059" xr:uid="{00000000-0005-0000-0000-0000D2180000}"/>
    <cellStyle name="40% - Ênfase3 7 26" xfId="6060" xr:uid="{00000000-0005-0000-0000-0000D3180000}"/>
    <cellStyle name="40% - Ênfase3 7 26 2" xfId="6061" xr:uid="{00000000-0005-0000-0000-0000D4180000}"/>
    <cellStyle name="40% - Ênfase3 7 27" xfId="6062" xr:uid="{00000000-0005-0000-0000-0000D5180000}"/>
    <cellStyle name="40% - Ênfase3 7 27 2" xfId="6063" xr:uid="{00000000-0005-0000-0000-0000D6180000}"/>
    <cellStyle name="40% - Ênfase3 7 28" xfId="6064" xr:uid="{00000000-0005-0000-0000-0000D7180000}"/>
    <cellStyle name="40% - Ênfase3 7 28 2" xfId="6065" xr:uid="{00000000-0005-0000-0000-0000D8180000}"/>
    <cellStyle name="40% - Ênfase3 7 29" xfId="6066" xr:uid="{00000000-0005-0000-0000-0000D9180000}"/>
    <cellStyle name="40% - Ênfase3 7 29 2" xfId="6067" xr:uid="{00000000-0005-0000-0000-0000DA180000}"/>
    <cellStyle name="40% - Ênfase3 7 3" xfId="6068" xr:uid="{00000000-0005-0000-0000-0000DB180000}"/>
    <cellStyle name="40% - Ênfase3 7 3 2" xfId="6069" xr:uid="{00000000-0005-0000-0000-0000DC180000}"/>
    <cellStyle name="40% - Ênfase3 7 3 2 2" xfId="6070" xr:uid="{00000000-0005-0000-0000-0000DD180000}"/>
    <cellStyle name="40% - Ênfase3 7 3 3" xfId="6071" xr:uid="{00000000-0005-0000-0000-0000DE180000}"/>
    <cellStyle name="40% - Ênfase3 7 3 3 2" xfId="6072" xr:uid="{00000000-0005-0000-0000-0000DF180000}"/>
    <cellStyle name="40% - Ênfase3 7 3 4" xfId="6073" xr:uid="{00000000-0005-0000-0000-0000E0180000}"/>
    <cellStyle name="40% - Ênfase3 7 3 4 2" xfId="6074" xr:uid="{00000000-0005-0000-0000-0000E1180000}"/>
    <cellStyle name="40% - Ênfase3 7 3 5" xfId="6075" xr:uid="{00000000-0005-0000-0000-0000E2180000}"/>
    <cellStyle name="40% - Ênfase3 7 3 5 2" xfId="6076" xr:uid="{00000000-0005-0000-0000-0000E3180000}"/>
    <cellStyle name="40% - Ênfase3 7 3 6" xfId="6077" xr:uid="{00000000-0005-0000-0000-0000E4180000}"/>
    <cellStyle name="40% - Ênfase3 7 30" xfId="6078" xr:uid="{00000000-0005-0000-0000-0000E5180000}"/>
    <cellStyle name="40% - Ênfase3 7 30 2" xfId="6079" xr:uid="{00000000-0005-0000-0000-0000E6180000}"/>
    <cellStyle name="40% - Ênfase3 7 31" xfId="6080" xr:uid="{00000000-0005-0000-0000-0000E7180000}"/>
    <cellStyle name="40% - Ênfase3 7 31 2" xfId="6081" xr:uid="{00000000-0005-0000-0000-0000E8180000}"/>
    <cellStyle name="40% - Ênfase3 7 32" xfId="6082" xr:uid="{00000000-0005-0000-0000-0000E9180000}"/>
    <cellStyle name="40% - Ênfase3 7 32 2" xfId="6083" xr:uid="{00000000-0005-0000-0000-0000EA180000}"/>
    <cellStyle name="40% - Ênfase3 7 33" xfId="6084" xr:uid="{00000000-0005-0000-0000-0000EB180000}"/>
    <cellStyle name="40% - Ênfase3 7 33 2" xfId="6085" xr:uid="{00000000-0005-0000-0000-0000EC180000}"/>
    <cellStyle name="40% - Ênfase3 7 34" xfId="6086" xr:uid="{00000000-0005-0000-0000-0000ED180000}"/>
    <cellStyle name="40% - Ênfase3 7 34 2" xfId="6087" xr:uid="{00000000-0005-0000-0000-0000EE180000}"/>
    <cellStyle name="40% - Ênfase3 7 35" xfId="6088" xr:uid="{00000000-0005-0000-0000-0000EF180000}"/>
    <cellStyle name="40% - Ênfase3 7 35 2" xfId="6089" xr:uid="{00000000-0005-0000-0000-0000F0180000}"/>
    <cellStyle name="40% - Ênfase3 7 36" xfId="6090" xr:uid="{00000000-0005-0000-0000-0000F1180000}"/>
    <cellStyle name="40% - Ênfase3 7 36 2" xfId="6091" xr:uid="{00000000-0005-0000-0000-0000F2180000}"/>
    <cellStyle name="40% - Ênfase3 7 37" xfId="6092" xr:uid="{00000000-0005-0000-0000-0000F3180000}"/>
    <cellStyle name="40% - Ênfase3 7 4" xfId="6093" xr:uid="{00000000-0005-0000-0000-0000F4180000}"/>
    <cellStyle name="40% - Ênfase3 7 4 2" xfId="6094" xr:uid="{00000000-0005-0000-0000-0000F5180000}"/>
    <cellStyle name="40% - Ênfase3 7 4 2 2" xfId="6095" xr:uid="{00000000-0005-0000-0000-0000F6180000}"/>
    <cellStyle name="40% - Ênfase3 7 4 3" xfId="6096" xr:uid="{00000000-0005-0000-0000-0000F7180000}"/>
    <cellStyle name="40% - Ênfase3 7 4 3 2" xfId="6097" xr:uid="{00000000-0005-0000-0000-0000F8180000}"/>
    <cellStyle name="40% - Ênfase3 7 4 4" xfId="6098" xr:uid="{00000000-0005-0000-0000-0000F9180000}"/>
    <cellStyle name="40% - Ênfase3 7 4 4 2" xfId="6099" xr:uid="{00000000-0005-0000-0000-0000FA180000}"/>
    <cellStyle name="40% - Ênfase3 7 4 5" xfId="6100" xr:uid="{00000000-0005-0000-0000-0000FB180000}"/>
    <cellStyle name="40% - Ênfase3 7 4 5 2" xfId="6101" xr:uid="{00000000-0005-0000-0000-0000FC180000}"/>
    <cellStyle name="40% - Ênfase3 7 4 6" xfId="6102" xr:uid="{00000000-0005-0000-0000-0000FD180000}"/>
    <cellStyle name="40% - Ênfase3 7 5" xfId="6103" xr:uid="{00000000-0005-0000-0000-0000FE180000}"/>
    <cellStyle name="40% - Ênfase3 7 5 2" xfId="6104" xr:uid="{00000000-0005-0000-0000-0000FF180000}"/>
    <cellStyle name="40% - Ênfase3 7 6" xfId="6105" xr:uid="{00000000-0005-0000-0000-000000190000}"/>
    <cellStyle name="40% - Ênfase3 7 6 2" xfId="6106" xr:uid="{00000000-0005-0000-0000-000001190000}"/>
    <cellStyle name="40% - Ênfase3 7 7" xfId="6107" xr:uid="{00000000-0005-0000-0000-000002190000}"/>
    <cellStyle name="40% - Ênfase3 7 7 2" xfId="6108" xr:uid="{00000000-0005-0000-0000-000003190000}"/>
    <cellStyle name="40% - Ênfase3 7 8" xfId="6109" xr:uid="{00000000-0005-0000-0000-000004190000}"/>
    <cellStyle name="40% - Ênfase3 7 8 2" xfId="6110" xr:uid="{00000000-0005-0000-0000-000005190000}"/>
    <cellStyle name="40% - Ênfase3 7 9" xfId="6111" xr:uid="{00000000-0005-0000-0000-000006190000}"/>
    <cellStyle name="40% - Ênfase3 7 9 2" xfId="6112" xr:uid="{00000000-0005-0000-0000-000007190000}"/>
    <cellStyle name="40% - Ênfase3 8" xfId="6113" xr:uid="{00000000-0005-0000-0000-000008190000}"/>
    <cellStyle name="40% - Ênfase3 8 10" xfId="6114" xr:uid="{00000000-0005-0000-0000-000009190000}"/>
    <cellStyle name="40% - Ênfase3 8 10 2" xfId="6115" xr:uid="{00000000-0005-0000-0000-00000A190000}"/>
    <cellStyle name="40% - Ênfase3 8 2" xfId="6116" xr:uid="{00000000-0005-0000-0000-00000B190000}"/>
    <cellStyle name="40% - Ênfase3 8 2 2" xfId="6117" xr:uid="{00000000-0005-0000-0000-00000C190000}"/>
    <cellStyle name="40% - Ênfase3 8 2 2 2" xfId="25552" xr:uid="{00000000-0005-0000-0000-00000D190000}"/>
    <cellStyle name="40% - Ênfase3 8 2 2 2 2" xfId="26849" xr:uid="{00000000-0005-0000-0000-00000E190000}"/>
    <cellStyle name="40% - Ênfase3 8 2 2 3" xfId="26848" xr:uid="{00000000-0005-0000-0000-00000F190000}"/>
    <cellStyle name="40% - Ênfase3 8 2 3" xfId="25553" xr:uid="{00000000-0005-0000-0000-000010190000}"/>
    <cellStyle name="40% - Ênfase3 8 2 3 2" xfId="26850" xr:uid="{00000000-0005-0000-0000-000011190000}"/>
    <cellStyle name="40% - Ênfase3 8 2 4" xfId="26847" xr:uid="{00000000-0005-0000-0000-000012190000}"/>
    <cellStyle name="40% - Ênfase3 8 3" xfId="6118" xr:uid="{00000000-0005-0000-0000-000013190000}"/>
    <cellStyle name="40% - Ênfase3 8 3 2" xfId="6119" xr:uid="{00000000-0005-0000-0000-000014190000}"/>
    <cellStyle name="40% - Ênfase3 8 3 2 2" xfId="26852" xr:uid="{00000000-0005-0000-0000-000015190000}"/>
    <cellStyle name="40% - Ênfase3 8 3 3" xfId="26851" xr:uid="{00000000-0005-0000-0000-000016190000}"/>
    <cellStyle name="40% - Ênfase3 8 4" xfId="6120" xr:uid="{00000000-0005-0000-0000-000017190000}"/>
    <cellStyle name="40% - Ênfase3 8 4 2" xfId="6121" xr:uid="{00000000-0005-0000-0000-000018190000}"/>
    <cellStyle name="40% - Ênfase3 8 5" xfId="6122" xr:uid="{00000000-0005-0000-0000-000019190000}"/>
    <cellStyle name="40% - Ênfase3 8 5 2" xfId="6123" xr:uid="{00000000-0005-0000-0000-00001A190000}"/>
    <cellStyle name="40% - Ênfase3 8 6" xfId="6124" xr:uid="{00000000-0005-0000-0000-00001B190000}"/>
    <cellStyle name="40% - Ênfase3 8 6 2" xfId="6125" xr:uid="{00000000-0005-0000-0000-00001C190000}"/>
    <cellStyle name="40% - Ênfase3 8 7" xfId="6126" xr:uid="{00000000-0005-0000-0000-00001D190000}"/>
    <cellStyle name="40% - Ênfase3 8 7 2" xfId="6127" xr:uid="{00000000-0005-0000-0000-00001E190000}"/>
    <cellStyle name="40% - Ênfase3 8 8" xfId="6128" xr:uid="{00000000-0005-0000-0000-00001F190000}"/>
    <cellStyle name="40% - Ênfase3 8 8 2" xfId="6129" xr:uid="{00000000-0005-0000-0000-000020190000}"/>
    <cellStyle name="40% - Ênfase3 8 9" xfId="6130" xr:uid="{00000000-0005-0000-0000-000021190000}"/>
    <cellStyle name="40% - Ênfase3 8 9 2" xfId="6131" xr:uid="{00000000-0005-0000-0000-000022190000}"/>
    <cellStyle name="40% - Ênfase3 9" xfId="6132" xr:uid="{00000000-0005-0000-0000-000023190000}"/>
    <cellStyle name="40% - Ênfase3 9 10" xfId="6133" xr:uid="{00000000-0005-0000-0000-000024190000}"/>
    <cellStyle name="40% - Ênfase3 9 10 2" xfId="6134" xr:uid="{00000000-0005-0000-0000-000025190000}"/>
    <cellStyle name="40% - Ênfase3 9 11" xfId="6135" xr:uid="{00000000-0005-0000-0000-000026190000}"/>
    <cellStyle name="40% - Ênfase3 9 12" xfId="6136" xr:uid="{00000000-0005-0000-0000-000027190000}"/>
    <cellStyle name="40% - Ênfase3 9 2" xfId="6137" xr:uid="{00000000-0005-0000-0000-000028190000}"/>
    <cellStyle name="40% - Ênfase3 9 2 2" xfId="6138" xr:uid="{00000000-0005-0000-0000-000029190000}"/>
    <cellStyle name="40% - Ênfase3 9 2 2 2" xfId="26854" xr:uid="{00000000-0005-0000-0000-00002A190000}"/>
    <cellStyle name="40% - Ênfase3 9 2 3" xfId="26853" xr:uid="{00000000-0005-0000-0000-00002B190000}"/>
    <cellStyle name="40% - Ênfase3 9 3" xfId="6139" xr:uid="{00000000-0005-0000-0000-00002C190000}"/>
    <cellStyle name="40% - Ênfase3 9 3 2" xfId="6140" xr:uid="{00000000-0005-0000-0000-00002D190000}"/>
    <cellStyle name="40% - Ênfase3 9 4" xfId="6141" xr:uid="{00000000-0005-0000-0000-00002E190000}"/>
    <cellStyle name="40% - Ênfase3 9 4 2" xfId="6142" xr:uid="{00000000-0005-0000-0000-00002F190000}"/>
    <cellStyle name="40% - Ênfase3 9 5" xfId="6143" xr:uid="{00000000-0005-0000-0000-000030190000}"/>
    <cellStyle name="40% - Ênfase3 9 5 2" xfId="6144" xr:uid="{00000000-0005-0000-0000-000031190000}"/>
    <cellStyle name="40% - Ênfase3 9 6" xfId="6145" xr:uid="{00000000-0005-0000-0000-000032190000}"/>
    <cellStyle name="40% - Ênfase3 9 6 2" xfId="6146" xr:uid="{00000000-0005-0000-0000-000033190000}"/>
    <cellStyle name="40% - Ênfase3 9 7" xfId="6147" xr:uid="{00000000-0005-0000-0000-000034190000}"/>
    <cellStyle name="40% - Ênfase3 9 7 2" xfId="6148" xr:uid="{00000000-0005-0000-0000-000035190000}"/>
    <cellStyle name="40% - Ênfase3 9 8" xfId="6149" xr:uid="{00000000-0005-0000-0000-000036190000}"/>
    <cellStyle name="40% - Ênfase3 9 8 2" xfId="6150" xr:uid="{00000000-0005-0000-0000-000037190000}"/>
    <cellStyle name="40% - Ênfase3 9 9" xfId="6151" xr:uid="{00000000-0005-0000-0000-000038190000}"/>
    <cellStyle name="40% - Ênfase3 9 9 2" xfId="6152" xr:uid="{00000000-0005-0000-0000-000039190000}"/>
    <cellStyle name="40% - Ênfase4" xfId="36" builtinId="43" customBuiltin="1"/>
    <cellStyle name="40% - Ênfase4 10" xfId="6153" xr:uid="{00000000-0005-0000-0000-00003B190000}"/>
    <cellStyle name="40% - Ênfase4 10 2" xfId="6154" xr:uid="{00000000-0005-0000-0000-00003C190000}"/>
    <cellStyle name="40% - Ênfase4 10 2 2" xfId="6155" xr:uid="{00000000-0005-0000-0000-00003D190000}"/>
    <cellStyle name="40% - Ênfase4 10 2 2 2" xfId="26856" xr:uid="{00000000-0005-0000-0000-00003E190000}"/>
    <cellStyle name="40% - Ênfase4 10 2 3" xfId="26855" xr:uid="{00000000-0005-0000-0000-00003F190000}"/>
    <cellStyle name="40% - Ênfase4 10 3" xfId="6156" xr:uid="{00000000-0005-0000-0000-000040190000}"/>
    <cellStyle name="40% - Ênfase4 10 3 2" xfId="6157" xr:uid="{00000000-0005-0000-0000-000041190000}"/>
    <cellStyle name="40% - Ênfase4 10 4" xfId="6158" xr:uid="{00000000-0005-0000-0000-000042190000}"/>
    <cellStyle name="40% - Ênfase4 10 4 2" xfId="6159" xr:uid="{00000000-0005-0000-0000-000043190000}"/>
    <cellStyle name="40% - Ênfase4 10 5" xfId="6160" xr:uid="{00000000-0005-0000-0000-000044190000}"/>
    <cellStyle name="40% - Ênfase4 10 5 2" xfId="6161" xr:uid="{00000000-0005-0000-0000-000045190000}"/>
    <cellStyle name="40% - Ênfase4 10 6" xfId="6162" xr:uid="{00000000-0005-0000-0000-000046190000}"/>
    <cellStyle name="40% - Ênfase4 11" xfId="6163" xr:uid="{00000000-0005-0000-0000-000047190000}"/>
    <cellStyle name="40% - Ênfase4 11 2" xfId="6164" xr:uid="{00000000-0005-0000-0000-000048190000}"/>
    <cellStyle name="40% - Ênfase4 11 2 2" xfId="6165" xr:uid="{00000000-0005-0000-0000-000049190000}"/>
    <cellStyle name="40% - Ênfase4 11 2 3" xfId="26857" xr:uid="{00000000-0005-0000-0000-00004A190000}"/>
    <cellStyle name="40% - Ênfase4 11 3" xfId="6166" xr:uid="{00000000-0005-0000-0000-00004B190000}"/>
    <cellStyle name="40% - Ênfase4 11 3 2" xfId="6167" xr:uid="{00000000-0005-0000-0000-00004C190000}"/>
    <cellStyle name="40% - Ênfase4 11 4" xfId="6168" xr:uid="{00000000-0005-0000-0000-00004D190000}"/>
    <cellStyle name="40% - Ênfase4 11 4 2" xfId="6169" xr:uid="{00000000-0005-0000-0000-00004E190000}"/>
    <cellStyle name="40% - Ênfase4 11 5" xfId="6170" xr:uid="{00000000-0005-0000-0000-00004F190000}"/>
    <cellStyle name="40% - Ênfase4 11 5 2" xfId="6171" xr:uid="{00000000-0005-0000-0000-000050190000}"/>
    <cellStyle name="40% - Ênfase4 11 6" xfId="6172" xr:uid="{00000000-0005-0000-0000-000051190000}"/>
    <cellStyle name="40% - Ênfase4 11 7" xfId="25554" xr:uid="{00000000-0005-0000-0000-000052190000}"/>
    <cellStyle name="40% - Ênfase4 12" xfId="6173" xr:uid="{00000000-0005-0000-0000-000053190000}"/>
    <cellStyle name="40% - Ênfase4 12 2" xfId="6174" xr:uid="{00000000-0005-0000-0000-000054190000}"/>
    <cellStyle name="40% - Ênfase4 12 2 2" xfId="6175" xr:uid="{00000000-0005-0000-0000-000055190000}"/>
    <cellStyle name="40% - Ênfase4 12 2 2 2" xfId="26859" xr:uid="{00000000-0005-0000-0000-000056190000}"/>
    <cellStyle name="40% - Ênfase4 12 2 3" xfId="26858" xr:uid="{00000000-0005-0000-0000-000057190000}"/>
    <cellStyle name="40% - Ênfase4 12 3" xfId="6176" xr:uid="{00000000-0005-0000-0000-000058190000}"/>
    <cellStyle name="40% - Ênfase4 12 3 2" xfId="6177" xr:uid="{00000000-0005-0000-0000-000059190000}"/>
    <cellStyle name="40% - Ênfase4 12 4" xfId="6178" xr:uid="{00000000-0005-0000-0000-00005A190000}"/>
    <cellStyle name="40% - Ênfase4 12 4 2" xfId="6179" xr:uid="{00000000-0005-0000-0000-00005B190000}"/>
    <cellStyle name="40% - Ênfase4 12 5" xfId="6180" xr:uid="{00000000-0005-0000-0000-00005C190000}"/>
    <cellStyle name="40% - Ênfase4 12 5 2" xfId="6181" xr:uid="{00000000-0005-0000-0000-00005D190000}"/>
    <cellStyle name="40% - Ênfase4 12 6" xfId="6182" xr:uid="{00000000-0005-0000-0000-00005E190000}"/>
    <cellStyle name="40% - Ênfase4 13" xfId="6183" xr:uid="{00000000-0005-0000-0000-00005F190000}"/>
    <cellStyle name="40% - Ênfase4 13 2" xfId="6184" xr:uid="{00000000-0005-0000-0000-000060190000}"/>
    <cellStyle name="40% - Ênfase4 14" xfId="6185" xr:uid="{00000000-0005-0000-0000-000061190000}"/>
    <cellStyle name="40% - Ênfase4 14 2" xfId="6186" xr:uid="{00000000-0005-0000-0000-000062190000}"/>
    <cellStyle name="40% - Ênfase4 15" xfId="6187" xr:uid="{00000000-0005-0000-0000-000063190000}"/>
    <cellStyle name="40% - Ênfase4 15 2" xfId="6188" xr:uid="{00000000-0005-0000-0000-000064190000}"/>
    <cellStyle name="40% - Ênfase4 16" xfId="6189" xr:uid="{00000000-0005-0000-0000-000065190000}"/>
    <cellStyle name="40% - Ênfase4 16 2" xfId="6190" xr:uid="{00000000-0005-0000-0000-000066190000}"/>
    <cellStyle name="40% - Ênfase4 17" xfId="6191" xr:uid="{00000000-0005-0000-0000-000067190000}"/>
    <cellStyle name="40% - Ênfase4 17 2" xfId="6192" xr:uid="{00000000-0005-0000-0000-000068190000}"/>
    <cellStyle name="40% - Ênfase4 18" xfId="6193" xr:uid="{00000000-0005-0000-0000-000069190000}"/>
    <cellStyle name="40% - Ênfase4 18 2" xfId="6194" xr:uid="{00000000-0005-0000-0000-00006A190000}"/>
    <cellStyle name="40% - Ênfase4 19" xfId="6195" xr:uid="{00000000-0005-0000-0000-00006B190000}"/>
    <cellStyle name="40% - Ênfase4 19 2" xfId="6196" xr:uid="{00000000-0005-0000-0000-00006C190000}"/>
    <cellStyle name="40% - Ênfase4 2" xfId="6197" xr:uid="{00000000-0005-0000-0000-00006D190000}"/>
    <cellStyle name="40% - Ênfase4 2 2" xfId="6198" xr:uid="{00000000-0005-0000-0000-00006E190000}"/>
    <cellStyle name="40% - Ênfase4 2 2 10" xfId="6199" xr:uid="{00000000-0005-0000-0000-00006F190000}"/>
    <cellStyle name="40% - Ênfase4 2 2 10 2" xfId="6200" xr:uid="{00000000-0005-0000-0000-000070190000}"/>
    <cellStyle name="40% - Ênfase4 2 2 11" xfId="6201" xr:uid="{00000000-0005-0000-0000-000071190000}"/>
    <cellStyle name="40% - Ênfase4 2 2 11 2" xfId="6202" xr:uid="{00000000-0005-0000-0000-000072190000}"/>
    <cellStyle name="40% - Ênfase4 2 2 12" xfId="6203" xr:uid="{00000000-0005-0000-0000-000073190000}"/>
    <cellStyle name="40% - Ênfase4 2 2 12 2" xfId="6204" xr:uid="{00000000-0005-0000-0000-000074190000}"/>
    <cellStyle name="40% - Ênfase4 2 2 13" xfId="25555" xr:uid="{00000000-0005-0000-0000-000075190000}"/>
    <cellStyle name="40% - Ênfase4 2 2 2" xfId="6205" xr:uid="{00000000-0005-0000-0000-000076190000}"/>
    <cellStyle name="40% - Ênfase4 2 2 2 10" xfId="6206" xr:uid="{00000000-0005-0000-0000-000077190000}"/>
    <cellStyle name="40% - Ênfase4 2 2 2 11" xfId="6207" xr:uid="{00000000-0005-0000-0000-000078190000}"/>
    <cellStyle name="40% - Ênfase4 2 2 2 2" xfId="6208" xr:uid="{00000000-0005-0000-0000-000079190000}"/>
    <cellStyle name="40% - Ênfase4 2 2 2 2 2" xfId="25557" xr:uid="{00000000-0005-0000-0000-00007A190000}"/>
    <cellStyle name="40% - Ênfase4 2 2 2 2 2 2" xfId="26864" xr:uid="{00000000-0005-0000-0000-00007B190000}"/>
    <cellStyle name="40% - Ênfase4 2 2 2 2 3" xfId="26863" xr:uid="{00000000-0005-0000-0000-00007C190000}"/>
    <cellStyle name="40% - Ênfase4 2 2 2 2 4" xfId="25556" xr:uid="{00000000-0005-0000-0000-00007D190000}"/>
    <cellStyle name="40% - Ênfase4 2 2 2 3" xfId="6209" xr:uid="{00000000-0005-0000-0000-00007E190000}"/>
    <cellStyle name="40% - Ênfase4 2 2 2 3 2" xfId="26865" xr:uid="{00000000-0005-0000-0000-00007F190000}"/>
    <cellStyle name="40% - Ênfase4 2 2 2 3 3" xfId="25558" xr:uid="{00000000-0005-0000-0000-000080190000}"/>
    <cellStyle name="40% - Ênfase4 2 2 2 4" xfId="6210" xr:uid="{00000000-0005-0000-0000-000081190000}"/>
    <cellStyle name="40% - Ênfase4 2 2 2 4 2" xfId="26862" xr:uid="{00000000-0005-0000-0000-000082190000}"/>
    <cellStyle name="40% - Ênfase4 2 2 2 5" xfId="6211" xr:uid="{00000000-0005-0000-0000-000083190000}"/>
    <cellStyle name="40% - Ênfase4 2 2 2 6" xfId="6212" xr:uid="{00000000-0005-0000-0000-000084190000}"/>
    <cellStyle name="40% - Ênfase4 2 2 2 7" xfId="6213" xr:uid="{00000000-0005-0000-0000-000085190000}"/>
    <cellStyle name="40% - Ênfase4 2 2 2 8" xfId="6214" xr:uid="{00000000-0005-0000-0000-000086190000}"/>
    <cellStyle name="40% - Ênfase4 2 2 2 9" xfId="6215" xr:uid="{00000000-0005-0000-0000-000087190000}"/>
    <cellStyle name="40% - Ênfase4 2 2 3" xfId="6216" xr:uid="{00000000-0005-0000-0000-000088190000}"/>
    <cellStyle name="40% - Ênfase4 2 2 3 2" xfId="25560" xr:uid="{00000000-0005-0000-0000-000089190000}"/>
    <cellStyle name="40% - Ênfase4 2 2 3 2 2" xfId="25561" xr:uid="{00000000-0005-0000-0000-00008A190000}"/>
    <cellStyle name="40% - Ênfase4 2 2 3 2 2 2" xfId="26868" xr:uid="{00000000-0005-0000-0000-00008B190000}"/>
    <cellStyle name="40% - Ênfase4 2 2 3 2 3" xfId="26867" xr:uid="{00000000-0005-0000-0000-00008C190000}"/>
    <cellStyle name="40% - Ênfase4 2 2 3 3" xfId="25562" xr:uid="{00000000-0005-0000-0000-00008D190000}"/>
    <cellStyle name="40% - Ênfase4 2 2 3 3 2" xfId="26869" xr:uid="{00000000-0005-0000-0000-00008E190000}"/>
    <cellStyle name="40% - Ênfase4 2 2 3 4" xfId="26866" xr:uid="{00000000-0005-0000-0000-00008F190000}"/>
    <cellStyle name="40% - Ênfase4 2 2 3 5" xfId="25559" xr:uid="{00000000-0005-0000-0000-000090190000}"/>
    <cellStyle name="40% - Ênfase4 2 2 4" xfId="6217" xr:uid="{00000000-0005-0000-0000-000091190000}"/>
    <cellStyle name="40% - Ênfase4 2 2 4 2" xfId="26870" xr:uid="{00000000-0005-0000-0000-000092190000}"/>
    <cellStyle name="40% - Ênfase4 2 2 4 3" xfId="25563" xr:uid="{00000000-0005-0000-0000-000093190000}"/>
    <cellStyle name="40% - Ênfase4 2 2 5" xfId="6218" xr:uid="{00000000-0005-0000-0000-000094190000}"/>
    <cellStyle name="40% - Ênfase4 2 2 5 2" xfId="6219" xr:uid="{00000000-0005-0000-0000-000095190000}"/>
    <cellStyle name="40% - Ênfase4 2 2 5 3" xfId="26861" xr:uid="{00000000-0005-0000-0000-000096190000}"/>
    <cellStyle name="40% - Ênfase4 2 2 6" xfId="6220" xr:uid="{00000000-0005-0000-0000-000097190000}"/>
    <cellStyle name="40% - Ênfase4 2 2 6 2" xfId="6221" xr:uid="{00000000-0005-0000-0000-000098190000}"/>
    <cellStyle name="40% - Ênfase4 2 2 7" xfId="6222" xr:uid="{00000000-0005-0000-0000-000099190000}"/>
    <cellStyle name="40% - Ênfase4 2 2 7 2" xfId="6223" xr:uid="{00000000-0005-0000-0000-00009A190000}"/>
    <cellStyle name="40% - Ênfase4 2 2 8" xfId="6224" xr:uid="{00000000-0005-0000-0000-00009B190000}"/>
    <cellStyle name="40% - Ênfase4 2 2 8 2" xfId="6225" xr:uid="{00000000-0005-0000-0000-00009C190000}"/>
    <cellStyle name="40% - Ênfase4 2 2 9" xfId="6226" xr:uid="{00000000-0005-0000-0000-00009D190000}"/>
    <cellStyle name="40% - Ênfase4 2 2 9 2" xfId="6227" xr:uid="{00000000-0005-0000-0000-00009E190000}"/>
    <cellStyle name="40% - Ênfase4 2 3" xfId="6228" xr:uid="{00000000-0005-0000-0000-00009F190000}"/>
    <cellStyle name="40% - Ênfase4 2 3 2" xfId="25565" xr:uid="{00000000-0005-0000-0000-0000A0190000}"/>
    <cellStyle name="40% - Ênfase4 2 3 2 2" xfId="25566" xr:uid="{00000000-0005-0000-0000-0000A1190000}"/>
    <cellStyle name="40% - Ênfase4 2 3 2 2 2" xfId="26873" xr:uid="{00000000-0005-0000-0000-0000A2190000}"/>
    <cellStyle name="40% - Ênfase4 2 3 2 3" xfId="26872" xr:uid="{00000000-0005-0000-0000-0000A3190000}"/>
    <cellStyle name="40% - Ênfase4 2 3 3" xfId="25567" xr:uid="{00000000-0005-0000-0000-0000A4190000}"/>
    <cellStyle name="40% - Ênfase4 2 3 3 2" xfId="26874" xr:uid="{00000000-0005-0000-0000-0000A5190000}"/>
    <cellStyle name="40% - Ênfase4 2 3 4" xfId="26871" xr:uid="{00000000-0005-0000-0000-0000A6190000}"/>
    <cellStyle name="40% - Ênfase4 2 3 5" xfId="25564" xr:uid="{00000000-0005-0000-0000-0000A7190000}"/>
    <cellStyle name="40% - Ênfase4 2 4" xfId="6229" xr:uid="{00000000-0005-0000-0000-0000A8190000}"/>
    <cellStyle name="40% - Ênfase4 2 4 2" xfId="25569" xr:uid="{00000000-0005-0000-0000-0000A9190000}"/>
    <cellStyle name="40% - Ênfase4 2 4 2 2" xfId="25570" xr:uid="{00000000-0005-0000-0000-0000AA190000}"/>
    <cellStyle name="40% - Ênfase4 2 4 2 2 2" xfId="26877" xr:uid="{00000000-0005-0000-0000-0000AB190000}"/>
    <cellStyle name="40% - Ênfase4 2 4 2 3" xfId="26876" xr:uid="{00000000-0005-0000-0000-0000AC190000}"/>
    <cellStyle name="40% - Ênfase4 2 4 3" xfId="25571" xr:uid="{00000000-0005-0000-0000-0000AD190000}"/>
    <cellStyle name="40% - Ênfase4 2 4 3 2" xfId="26878" xr:uid="{00000000-0005-0000-0000-0000AE190000}"/>
    <cellStyle name="40% - Ênfase4 2 4 4" xfId="26875" xr:uid="{00000000-0005-0000-0000-0000AF190000}"/>
    <cellStyle name="40% - Ênfase4 2 4 5" xfId="25568" xr:uid="{00000000-0005-0000-0000-0000B0190000}"/>
    <cellStyle name="40% - Ênfase4 2 5" xfId="6230" xr:uid="{00000000-0005-0000-0000-0000B1190000}"/>
    <cellStyle name="40% - Ênfase4 2 5 10" xfId="6231" xr:uid="{00000000-0005-0000-0000-0000B2190000}"/>
    <cellStyle name="40% - Ênfase4 2 5 10 2" xfId="6232" xr:uid="{00000000-0005-0000-0000-0000B3190000}"/>
    <cellStyle name="40% - Ênfase4 2 5 2" xfId="6233" xr:uid="{00000000-0005-0000-0000-0000B4190000}"/>
    <cellStyle name="40% - Ênfase4 2 5 2 2" xfId="6234" xr:uid="{00000000-0005-0000-0000-0000B5190000}"/>
    <cellStyle name="40% - Ênfase4 2 5 3" xfId="6235" xr:uid="{00000000-0005-0000-0000-0000B6190000}"/>
    <cellStyle name="40% - Ênfase4 2 5 3 2" xfId="6236" xr:uid="{00000000-0005-0000-0000-0000B7190000}"/>
    <cellStyle name="40% - Ênfase4 2 5 4" xfId="6237" xr:uid="{00000000-0005-0000-0000-0000B8190000}"/>
    <cellStyle name="40% - Ênfase4 2 5 4 2" xfId="6238" xr:uid="{00000000-0005-0000-0000-0000B9190000}"/>
    <cellStyle name="40% - Ênfase4 2 5 5" xfId="6239" xr:uid="{00000000-0005-0000-0000-0000BA190000}"/>
    <cellStyle name="40% - Ênfase4 2 5 5 2" xfId="6240" xr:uid="{00000000-0005-0000-0000-0000BB190000}"/>
    <cellStyle name="40% - Ênfase4 2 5 6" xfId="6241" xr:uid="{00000000-0005-0000-0000-0000BC190000}"/>
    <cellStyle name="40% - Ênfase4 2 5 6 2" xfId="6242" xr:uid="{00000000-0005-0000-0000-0000BD190000}"/>
    <cellStyle name="40% - Ênfase4 2 5 7" xfId="6243" xr:uid="{00000000-0005-0000-0000-0000BE190000}"/>
    <cellStyle name="40% - Ênfase4 2 5 7 2" xfId="6244" xr:uid="{00000000-0005-0000-0000-0000BF190000}"/>
    <cellStyle name="40% - Ênfase4 2 5 8" xfId="6245" xr:uid="{00000000-0005-0000-0000-0000C0190000}"/>
    <cellStyle name="40% - Ênfase4 2 5 8 2" xfId="6246" xr:uid="{00000000-0005-0000-0000-0000C1190000}"/>
    <cellStyle name="40% - Ênfase4 2 5 9" xfId="6247" xr:uid="{00000000-0005-0000-0000-0000C2190000}"/>
    <cellStyle name="40% - Ênfase4 2 5 9 2" xfId="6248" xr:uid="{00000000-0005-0000-0000-0000C3190000}"/>
    <cellStyle name="40% - Ênfase4 2 6" xfId="6249" xr:uid="{00000000-0005-0000-0000-0000C4190000}"/>
    <cellStyle name="40% - Ênfase4 2 6 2" xfId="6250" xr:uid="{00000000-0005-0000-0000-0000C5190000}"/>
    <cellStyle name="40% - Ênfase4 2 6 2 2" xfId="6251" xr:uid="{00000000-0005-0000-0000-0000C6190000}"/>
    <cellStyle name="40% - Ênfase4 2 6 3" xfId="6252" xr:uid="{00000000-0005-0000-0000-0000C7190000}"/>
    <cellStyle name="40% - Ênfase4 2 6 3 2" xfId="6253" xr:uid="{00000000-0005-0000-0000-0000C8190000}"/>
    <cellStyle name="40% - Ênfase4 2 6 4" xfId="6254" xr:uid="{00000000-0005-0000-0000-0000C9190000}"/>
    <cellStyle name="40% - Ênfase4 2 6 4 2" xfId="6255" xr:uid="{00000000-0005-0000-0000-0000CA190000}"/>
    <cellStyle name="40% - Ênfase4 2 6 5" xfId="6256" xr:uid="{00000000-0005-0000-0000-0000CB190000}"/>
    <cellStyle name="40% - Ênfase4 2 6 5 2" xfId="6257" xr:uid="{00000000-0005-0000-0000-0000CC190000}"/>
    <cellStyle name="40% - Ênfase4 2 6 6" xfId="6258" xr:uid="{00000000-0005-0000-0000-0000CD190000}"/>
    <cellStyle name="40% - Ênfase4 2 7" xfId="26860" xr:uid="{00000000-0005-0000-0000-0000CE190000}"/>
    <cellStyle name="40% - Ênfase4 20" xfId="6259" xr:uid="{00000000-0005-0000-0000-0000CF190000}"/>
    <cellStyle name="40% - Ênfase4 20 2" xfId="6260" xr:uid="{00000000-0005-0000-0000-0000D0190000}"/>
    <cellStyle name="40% - Ênfase4 21" xfId="6261" xr:uid="{00000000-0005-0000-0000-0000D1190000}"/>
    <cellStyle name="40% - Ênfase4 21 2" xfId="6262" xr:uid="{00000000-0005-0000-0000-0000D2190000}"/>
    <cellStyle name="40% - Ênfase4 22" xfId="6263" xr:uid="{00000000-0005-0000-0000-0000D3190000}"/>
    <cellStyle name="40% - Ênfase4 22 2" xfId="6264" xr:uid="{00000000-0005-0000-0000-0000D4190000}"/>
    <cellStyle name="40% - Ênfase4 23" xfId="6265" xr:uid="{00000000-0005-0000-0000-0000D5190000}"/>
    <cellStyle name="40% - Ênfase4 23 2" xfId="6266" xr:uid="{00000000-0005-0000-0000-0000D6190000}"/>
    <cellStyle name="40% - Ênfase4 24" xfId="6267" xr:uid="{00000000-0005-0000-0000-0000D7190000}"/>
    <cellStyle name="40% - Ênfase4 24 2" xfId="6268" xr:uid="{00000000-0005-0000-0000-0000D8190000}"/>
    <cellStyle name="40% - Ênfase4 25" xfId="6269" xr:uid="{00000000-0005-0000-0000-0000D9190000}"/>
    <cellStyle name="40% - Ênfase4 25 2" xfId="6270" xr:uid="{00000000-0005-0000-0000-0000DA190000}"/>
    <cellStyle name="40% - Ênfase4 26" xfId="6271" xr:uid="{00000000-0005-0000-0000-0000DB190000}"/>
    <cellStyle name="40% - Ênfase4 26 2" xfId="6272" xr:uid="{00000000-0005-0000-0000-0000DC190000}"/>
    <cellStyle name="40% - Ênfase4 27" xfId="6273" xr:uid="{00000000-0005-0000-0000-0000DD190000}"/>
    <cellStyle name="40% - Ênfase4 27 2" xfId="6274" xr:uid="{00000000-0005-0000-0000-0000DE190000}"/>
    <cellStyle name="40% - Ênfase4 28" xfId="6275" xr:uid="{00000000-0005-0000-0000-0000DF190000}"/>
    <cellStyle name="40% - Ênfase4 28 2" xfId="6276" xr:uid="{00000000-0005-0000-0000-0000E0190000}"/>
    <cellStyle name="40% - Ênfase4 29" xfId="6277" xr:uid="{00000000-0005-0000-0000-0000E1190000}"/>
    <cellStyle name="40% - Ênfase4 29 2" xfId="6278" xr:uid="{00000000-0005-0000-0000-0000E2190000}"/>
    <cellStyle name="40% - Ênfase4 3" xfId="6279" xr:uid="{00000000-0005-0000-0000-0000E3190000}"/>
    <cellStyle name="40% - Ênfase4 3 2" xfId="6280" xr:uid="{00000000-0005-0000-0000-0000E4190000}"/>
    <cellStyle name="40% - Ênfase4 3 2 10" xfId="6281" xr:uid="{00000000-0005-0000-0000-0000E5190000}"/>
    <cellStyle name="40% - Ênfase4 3 2 10 2" xfId="6282" xr:uid="{00000000-0005-0000-0000-0000E6190000}"/>
    <cellStyle name="40% - Ênfase4 3 2 11" xfId="6283" xr:uid="{00000000-0005-0000-0000-0000E7190000}"/>
    <cellStyle name="40% - Ênfase4 3 2 11 2" xfId="6284" xr:uid="{00000000-0005-0000-0000-0000E8190000}"/>
    <cellStyle name="40% - Ênfase4 3 2 12" xfId="6285" xr:uid="{00000000-0005-0000-0000-0000E9190000}"/>
    <cellStyle name="40% - Ênfase4 3 2 12 2" xfId="6286" xr:uid="{00000000-0005-0000-0000-0000EA190000}"/>
    <cellStyle name="40% - Ênfase4 3 2 2" xfId="6287" xr:uid="{00000000-0005-0000-0000-0000EB190000}"/>
    <cellStyle name="40% - Ênfase4 3 2 2 10" xfId="6288" xr:uid="{00000000-0005-0000-0000-0000EC190000}"/>
    <cellStyle name="40% - Ênfase4 3 2 2 11" xfId="6289" xr:uid="{00000000-0005-0000-0000-0000ED190000}"/>
    <cellStyle name="40% - Ênfase4 3 2 2 2" xfId="6290" xr:uid="{00000000-0005-0000-0000-0000EE190000}"/>
    <cellStyle name="40% - Ênfase4 3 2 2 2 2" xfId="25573" xr:uid="{00000000-0005-0000-0000-0000EF190000}"/>
    <cellStyle name="40% - Ênfase4 3 2 2 2 2 2" xfId="26882" xr:uid="{00000000-0005-0000-0000-0000F0190000}"/>
    <cellStyle name="40% - Ênfase4 3 2 2 2 3" xfId="26881" xr:uid="{00000000-0005-0000-0000-0000F1190000}"/>
    <cellStyle name="40% - Ênfase4 3 2 2 2 4" xfId="25572" xr:uid="{00000000-0005-0000-0000-0000F2190000}"/>
    <cellStyle name="40% - Ênfase4 3 2 2 3" xfId="6291" xr:uid="{00000000-0005-0000-0000-0000F3190000}"/>
    <cellStyle name="40% - Ênfase4 3 2 2 3 2" xfId="26883" xr:uid="{00000000-0005-0000-0000-0000F4190000}"/>
    <cellStyle name="40% - Ênfase4 3 2 2 3 3" xfId="25574" xr:uid="{00000000-0005-0000-0000-0000F5190000}"/>
    <cellStyle name="40% - Ênfase4 3 2 2 4" xfId="6292" xr:uid="{00000000-0005-0000-0000-0000F6190000}"/>
    <cellStyle name="40% - Ênfase4 3 2 2 4 2" xfId="26880" xr:uid="{00000000-0005-0000-0000-0000F7190000}"/>
    <cellStyle name="40% - Ênfase4 3 2 2 5" xfId="6293" xr:uid="{00000000-0005-0000-0000-0000F8190000}"/>
    <cellStyle name="40% - Ênfase4 3 2 2 6" xfId="6294" xr:uid="{00000000-0005-0000-0000-0000F9190000}"/>
    <cellStyle name="40% - Ênfase4 3 2 2 7" xfId="6295" xr:uid="{00000000-0005-0000-0000-0000FA190000}"/>
    <cellStyle name="40% - Ênfase4 3 2 2 8" xfId="6296" xr:uid="{00000000-0005-0000-0000-0000FB190000}"/>
    <cellStyle name="40% - Ênfase4 3 2 2 9" xfId="6297" xr:uid="{00000000-0005-0000-0000-0000FC190000}"/>
    <cellStyle name="40% - Ênfase4 3 2 3" xfId="6298" xr:uid="{00000000-0005-0000-0000-0000FD190000}"/>
    <cellStyle name="40% - Ênfase4 3 2 3 2" xfId="25576" xr:uid="{00000000-0005-0000-0000-0000FE190000}"/>
    <cellStyle name="40% - Ênfase4 3 2 3 2 2" xfId="26885" xr:uid="{00000000-0005-0000-0000-0000FF190000}"/>
    <cellStyle name="40% - Ênfase4 3 2 3 3" xfId="26884" xr:uid="{00000000-0005-0000-0000-0000001A0000}"/>
    <cellStyle name="40% - Ênfase4 3 2 3 4" xfId="25575" xr:uid="{00000000-0005-0000-0000-0000011A0000}"/>
    <cellStyle name="40% - Ênfase4 3 2 4" xfId="6299" xr:uid="{00000000-0005-0000-0000-0000021A0000}"/>
    <cellStyle name="40% - Ênfase4 3 2 4 2" xfId="26886" xr:uid="{00000000-0005-0000-0000-0000031A0000}"/>
    <cellStyle name="40% - Ênfase4 3 2 4 3" xfId="25577" xr:uid="{00000000-0005-0000-0000-0000041A0000}"/>
    <cellStyle name="40% - Ênfase4 3 2 5" xfId="6300" xr:uid="{00000000-0005-0000-0000-0000051A0000}"/>
    <cellStyle name="40% - Ênfase4 3 2 5 2" xfId="6301" xr:uid="{00000000-0005-0000-0000-0000061A0000}"/>
    <cellStyle name="40% - Ênfase4 3 2 6" xfId="6302" xr:uid="{00000000-0005-0000-0000-0000071A0000}"/>
    <cellStyle name="40% - Ênfase4 3 2 6 2" xfId="6303" xr:uid="{00000000-0005-0000-0000-0000081A0000}"/>
    <cellStyle name="40% - Ênfase4 3 2 7" xfId="6304" xr:uid="{00000000-0005-0000-0000-0000091A0000}"/>
    <cellStyle name="40% - Ênfase4 3 2 7 2" xfId="6305" xr:uid="{00000000-0005-0000-0000-00000A1A0000}"/>
    <cellStyle name="40% - Ênfase4 3 2 8" xfId="6306" xr:uid="{00000000-0005-0000-0000-00000B1A0000}"/>
    <cellStyle name="40% - Ênfase4 3 2 8 2" xfId="6307" xr:uid="{00000000-0005-0000-0000-00000C1A0000}"/>
    <cellStyle name="40% - Ênfase4 3 2 9" xfId="6308" xr:uid="{00000000-0005-0000-0000-00000D1A0000}"/>
    <cellStyle name="40% - Ênfase4 3 2 9 2" xfId="6309" xr:uid="{00000000-0005-0000-0000-00000E1A0000}"/>
    <cellStyle name="40% - Ênfase4 3 3" xfId="6310" xr:uid="{00000000-0005-0000-0000-00000F1A0000}"/>
    <cellStyle name="40% - Ênfase4 3 3 2" xfId="25579" xr:uid="{00000000-0005-0000-0000-0000101A0000}"/>
    <cellStyle name="40% - Ênfase4 3 3 2 2" xfId="25580" xr:uid="{00000000-0005-0000-0000-0000111A0000}"/>
    <cellStyle name="40% - Ênfase4 3 3 2 2 2" xfId="26889" xr:uid="{00000000-0005-0000-0000-0000121A0000}"/>
    <cellStyle name="40% - Ênfase4 3 3 2 3" xfId="26888" xr:uid="{00000000-0005-0000-0000-0000131A0000}"/>
    <cellStyle name="40% - Ênfase4 3 3 3" xfId="25581" xr:uid="{00000000-0005-0000-0000-0000141A0000}"/>
    <cellStyle name="40% - Ênfase4 3 3 3 2" xfId="26890" xr:uid="{00000000-0005-0000-0000-0000151A0000}"/>
    <cellStyle name="40% - Ênfase4 3 3 4" xfId="26887" xr:uid="{00000000-0005-0000-0000-0000161A0000}"/>
    <cellStyle name="40% - Ênfase4 3 3 5" xfId="25578" xr:uid="{00000000-0005-0000-0000-0000171A0000}"/>
    <cellStyle name="40% - Ênfase4 3 4" xfId="6311" xr:uid="{00000000-0005-0000-0000-0000181A0000}"/>
    <cellStyle name="40% - Ênfase4 3 4 2" xfId="26891" xr:uid="{00000000-0005-0000-0000-0000191A0000}"/>
    <cellStyle name="40% - Ênfase4 3 5" xfId="6312" xr:uid="{00000000-0005-0000-0000-00001A1A0000}"/>
    <cellStyle name="40% - Ênfase4 3 5 10" xfId="6313" xr:uid="{00000000-0005-0000-0000-00001B1A0000}"/>
    <cellStyle name="40% - Ênfase4 3 5 10 2" xfId="6314" xr:uid="{00000000-0005-0000-0000-00001C1A0000}"/>
    <cellStyle name="40% - Ênfase4 3 5 2" xfId="6315" xr:uid="{00000000-0005-0000-0000-00001D1A0000}"/>
    <cellStyle name="40% - Ênfase4 3 5 2 2" xfId="6316" xr:uid="{00000000-0005-0000-0000-00001E1A0000}"/>
    <cellStyle name="40% - Ênfase4 3 5 3" xfId="6317" xr:uid="{00000000-0005-0000-0000-00001F1A0000}"/>
    <cellStyle name="40% - Ênfase4 3 5 3 2" xfId="6318" xr:uid="{00000000-0005-0000-0000-0000201A0000}"/>
    <cellStyle name="40% - Ênfase4 3 5 4" xfId="6319" xr:uid="{00000000-0005-0000-0000-0000211A0000}"/>
    <cellStyle name="40% - Ênfase4 3 5 4 2" xfId="6320" xr:uid="{00000000-0005-0000-0000-0000221A0000}"/>
    <cellStyle name="40% - Ênfase4 3 5 5" xfId="6321" xr:uid="{00000000-0005-0000-0000-0000231A0000}"/>
    <cellStyle name="40% - Ênfase4 3 5 5 2" xfId="6322" xr:uid="{00000000-0005-0000-0000-0000241A0000}"/>
    <cellStyle name="40% - Ênfase4 3 5 6" xfId="6323" xr:uid="{00000000-0005-0000-0000-0000251A0000}"/>
    <cellStyle name="40% - Ênfase4 3 5 6 2" xfId="6324" xr:uid="{00000000-0005-0000-0000-0000261A0000}"/>
    <cellStyle name="40% - Ênfase4 3 5 7" xfId="6325" xr:uid="{00000000-0005-0000-0000-0000271A0000}"/>
    <cellStyle name="40% - Ênfase4 3 5 7 2" xfId="6326" xr:uid="{00000000-0005-0000-0000-0000281A0000}"/>
    <cellStyle name="40% - Ênfase4 3 5 8" xfId="6327" xr:uid="{00000000-0005-0000-0000-0000291A0000}"/>
    <cellStyle name="40% - Ênfase4 3 5 8 2" xfId="6328" xr:uid="{00000000-0005-0000-0000-00002A1A0000}"/>
    <cellStyle name="40% - Ênfase4 3 5 9" xfId="6329" xr:uid="{00000000-0005-0000-0000-00002B1A0000}"/>
    <cellStyle name="40% - Ênfase4 3 5 9 2" xfId="6330" xr:uid="{00000000-0005-0000-0000-00002C1A0000}"/>
    <cellStyle name="40% - Ênfase4 3 6" xfId="6331" xr:uid="{00000000-0005-0000-0000-00002D1A0000}"/>
    <cellStyle name="40% - Ênfase4 3 6 2" xfId="6332" xr:uid="{00000000-0005-0000-0000-00002E1A0000}"/>
    <cellStyle name="40% - Ênfase4 3 6 2 2" xfId="6333" xr:uid="{00000000-0005-0000-0000-00002F1A0000}"/>
    <cellStyle name="40% - Ênfase4 3 6 3" xfId="6334" xr:uid="{00000000-0005-0000-0000-0000301A0000}"/>
    <cellStyle name="40% - Ênfase4 3 6 3 2" xfId="6335" xr:uid="{00000000-0005-0000-0000-0000311A0000}"/>
    <cellStyle name="40% - Ênfase4 3 6 4" xfId="6336" xr:uid="{00000000-0005-0000-0000-0000321A0000}"/>
    <cellStyle name="40% - Ênfase4 3 6 4 2" xfId="6337" xr:uid="{00000000-0005-0000-0000-0000331A0000}"/>
    <cellStyle name="40% - Ênfase4 3 6 5" xfId="6338" xr:uid="{00000000-0005-0000-0000-0000341A0000}"/>
    <cellStyle name="40% - Ênfase4 3 6 5 2" xfId="6339" xr:uid="{00000000-0005-0000-0000-0000351A0000}"/>
    <cellStyle name="40% - Ênfase4 3 6 6" xfId="6340" xr:uid="{00000000-0005-0000-0000-0000361A0000}"/>
    <cellStyle name="40% - Ênfase4 3 7" xfId="25582" xr:uid="{00000000-0005-0000-0000-0000371A0000}"/>
    <cellStyle name="40% - Ênfase4 3 7 2" xfId="26892" xr:uid="{00000000-0005-0000-0000-0000381A0000}"/>
    <cellStyle name="40% - Ênfase4 3 8" xfId="26879" xr:uid="{00000000-0005-0000-0000-0000391A0000}"/>
    <cellStyle name="40% - Ênfase4 30" xfId="6341" xr:uid="{00000000-0005-0000-0000-00003A1A0000}"/>
    <cellStyle name="40% - Ênfase4 30 2" xfId="6342" xr:uid="{00000000-0005-0000-0000-00003B1A0000}"/>
    <cellStyle name="40% - Ênfase4 31" xfId="6343" xr:uid="{00000000-0005-0000-0000-00003C1A0000}"/>
    <cellStyle name="40% - Ênfase4 31 2" xfId="6344" xr:uid="{00000000-0005-0000-0000-00003D1A0000}"/>
    <cellStyle name="40% - Ênfase4 32" xfId="6345" xr:uid="{00000000-0005-0000-0000-00003E1A0000}"/>
    <cellStyle name="40% - Ênfase4 32 2" xfId="6346" xr:uid="{00000000-0005-0000-0000-00003F1A0000}"/>
    <cellStyle name="40% - Ênfase4 33" xfId="6347" xr:uid="{00000000-0005-0000-0000-0000401A0000}"/>
    <cellStyle name="40% - Ênfase4 33 2" xfId="6348" xr:uid="{00000000-0005-0000-0000-0000411A0000}"/>
    <cellStyle name="40% - Ênfase4 34" xfId="6349" xr:uid="{00000000-0005-0000-0000-0000421A0000}"/>
    <cellStyle name="40% - Ênfase4 34 2" xfId="6350" xr:uid="{00000000-0005-0000-0000-0000431A0000}"/>
    <cellStyle name="40% - Ênfase4 35" xfId="6351" xr:uid="{00000000-0005-0000-0000-0000441A0000}"/>
    <cellStyle name="40% - Ênfase4 35 2" xfId="6352" xr:uid="{00000000-0005-0000-0000-0000451A0000}"/>
    <cellStyle name="40% - Ênfase4 36" xfId="6353" xr:uid="{00000000-0005-0000-0000-0000461A0000}"/>
    <cellStyle name="40% - Ênfase4 36 2" xfId="6354" xr:uid="{00000000-0005-0000-0000-0000471A0000}"/>
    <cellStyle name="40% - Ênfase4 37" xfId="6355" xr:uid="{00000000-0005-0000-0000-0000481A0000}"/>
    <cellStyle name="40% - Ênfase4 37 2" xfId="6356" xr:uid="{00000000-0005-0000-0000-0000491A0000}"/>
    <cellStyle name="40% - Ênfase4 38" xfId="6357" xr:uid="{00000000-0005-0000-0000-00004A1A0000}"/>
    <cellStyle name="40% - Ênfase4 38 2" xfId="6358" xr:uid="{00000000-0005-0000-0000-00004B1A0000}"/>
    <cellStyle name="40% - Ênfase4 39" xfId="6359" xr:uid="{00000000-0005-0000-0000-00004C1A0000}"/>
    <cellStyle name="40% - Ênfase4 39 2" xfId="6360" xr:uid="{00000000-0005-0000-0000-00004D1A0000}"/>
    <cellStyle name="40% - Ênfase4 4" xfId="6361" xr:uid="{00000000-0005-0000-0000-00004E1A0000}"/>
    <cellStyle name="40% - Ênfase4 4 2" xfId="6362" xr:uid="{00000000-0005-0000-0000-00004F1A0000}"/>
    <cellStyle name="40% - Ênfase4 4 2 10" xfId="6363" xr:uid="{00000000-0005-0000-0000-0000501A0000}"/>
    <cellStyle name="40% - Ênfase4 4 2 10 2" xfId="6364" xr:uid="{00000000-0005-0000-0000-0000511A0000}"/>
    <cellStyle name="40% - Ênfase4 4 2 11" xfId="6365" xr:uid="{00000000-0005-0000-0000-0000521A0000}"/>
    <cellStyle name="40% - Ênfase4 4 2 11 2" xfId="6366" xr:uid="{00000000-0005-0000-0000-0000531A0000}"/>
    <cellStyle name="40% - Ênfase4 4 2 12" xfId="6367" xr:uid="{00000000-0005-0000-0000-0000541A0000}"/>
    <cellStyle name="40% - Ênfase4 4 2 12 2" xfId="6368" xr:uid="{00000000-0005-0000-0000-0000551A0000}"/>
    <cellStyle name="40% - Ênfase4 4 2 2" xfId="6369" xr:uid="{00000000-0005-0000-0000-0000561A0000}"/>
    <cellStyle name="40% - Ênfase4 4 2 2 10" xfId="6370" xr:uid="{00000000-0005-0000-0000-0000571A0000}"/>
    <cellStyle name="40% - Ênfase4 4 2 2 11" xfId="6371" xr:uid="{00000000-0005-0000-0000-0000581A0000}"/>
    <cellStyle name="40% - Ênfase4 4 2 2 2" xfId="6372" xr:uid="{00000000-0005-0000-0000-0000591A0000}"/>
    <cellStyle name="40% - Ênfase4 4 2 2 2 2" xfId="25584" xr:uid="{00000000-0005-0000-0000-00005A1A0000}"/>
    <cellStyle name="40% - Ênfase4 4 2 2 2 2 2" xfId="26896" xr:uid="{00000000-0005-0000-0000-00005B1A0000}"/>
    <cellStyle name="40% - Ênfase4 4 2 2 2 3" xfId="26895" xr:uid="{00000000-0005-0000-0000-00005C1A0000}"/>
    <cellStyle name="40% - Ênfase4 4 2 2 2 4" xfId="25583" xr:uid="{00000000-0005-0000-0000-00005D1A0000}"/>
    <cellStyle name="40% - Ênfase4 4 2 2 3" xfId="6373" xr:uid="{00000000-0005-0000-0000-00005E1A0000}"/>
    <cellStyle name="40% - Ênfase4 4 2 2 3 2" xfId="26897" xr:uid="{00000000-0005-0000-0000-00005F1A0000}"/>
    <cellStyle name="40% - Ênfase4 4 2 2 3 3" xfId="25585" xr:uid="{00000000-0005-0000-0000-0000601A0000}"/>
    <cellStyle name="40% - Ênfase4 4 2 2 4" xfId="6374" xr:uid="{00000000-0005-0000-0000-0000611A0000}"/>
    <cellStyle name="40% - Ênfase4 4 2 2 4 2" xfId="26894" xr:uid="{00000000-0005-0000-0000-0000621A0000}"/>
    <cellStyle name="40% - Ênfase4 4 2 2 5" xfId="6375" xr:uid="{00000000-0005-0000-0000-0000631A0000}"/>
    <cellStyle name="40% - Ênfase4 4 2 2 6" xfId="6376" xr:uid="{00000000-0005-0000-0000-0000641A0000}"/>
    <cellStyle name="40% - Ênfase4 4 2 2 7" xfId="6377" xr:uid="{00000000-0005-0000-0000-0000651A0000}"/>
    <cellStyle name="40% - Ênfase4 4 2 2 8" xfId="6378" xr:uid="{00000000-0005-0000-0000-0000661A0000}"/>
    <cellStyle name="40% - Ênfase4 4 2 2 9" xfId="6379" xr:uid="{00000000-0005-0000-0000-0000671A0000}"/>
    <cellStyle name="40% - Ênfase4 4 2 3" xfId="6380" xr:uid="{00000000-0005-0000-0000-0000681A0000}"/>
    <cellStyle name="40% - Ênfase4 4 2 3 2" xfId="25587" xr:uid="{00000000-0005-0000-0000-0000691A0000}"/>
    <cellStyle name="40% - Ênfase4 4 2 3 2 2" xfId="26899" xr:uid="{00000000-0005-0000-0000-00006A1A0000}"/>
    <cellStyle name="40% - Ênfase4 4 2 3 3" xfId="26898" xr:uid="{00000000-0005-0000-0000-00006B1A0000}"/>
    <cellStyle name="40% - Ênfase4 4 2 3 4" xfId="25586" xr:uid="{00000000-0005-0000-0000-00006C1A0000}"/>
    <cellStyle name="40% - Ênfase4 4 2 4" xfId="6381" xr:uid="{00000000-0005-0000-0000-00006D1A0000}"/>
    <cellStyle name="40% - Ênfase4 4 2 4 2" xfId="26900" xr:uid="{00000000-0005-0000-0000-00006E1A0000}"/>
    <cellStyle name="40% - Ênfase4 4 2 4 3" xfId="25588" xr:uid="{00000000-0005-0000-0000-00006F1A0000}"/>
    <cellStyle name="40% - Ênfase4 4 2 5" xfId="6382" xr:uid="{00000000-0005-0000-0000-0000701A0000}"/>
    <cellStyle name="40% - Ênfase4 4 2 5 2" xfId="6383" xr:uid="{00000000-0005-0000-0000-0000711A0000}"/>
    <cellStyle name="40% - Ênfase4 4 2 6" xfId="6384" xr:uid="{00000000-0005-0000-0000-0000721A0000}"/>
    <cellStyle name="40% - Ênfase4 4 2 6 2" xfId="6385" xr:uid="{00000000-0005-0000-0000-0000731A0000}"/>
    <cellStyle name="40% - Ênfase4 4 2 7" xfId="6386" xr:uid="{00000000-0005-0000-0000-0000741A0000}"/>
    <cellStyle name="40% - Ênfase4 4 2 7 2" xfId="6387" xr:uid="{00000000-0005-0000-0000-0000751A0000}"/>
    <cellStyle name="40% - Ênfase4 4 2 8" xfId="6388" xr:uid="{00000000-0005-0000-0000-0000761A0000}"/>
    <cellStyle name="40% - Ênfase4 4 2 8 2" xfId="6389" xr:uid="{00000000-0005-0000-0000-0000771A0000}"/>
    <cellStyle name="40% - Ênfase4 4 2 9" xfId="6390" xr:uid="{00000000-0005-0000-0000-0000781A0000}"/>
    <cellStyle name="40% - Ênfase4 4 2 9 2" xfId="6391" xr:uid="{00000000-0005-0000-0000-0000791A0000}"/>
    <cellStyle name="40% - Ênfase4 4 3" xfId="6392" xr:uid="{00000000-0005-0000-0000-00007A1A0000}"/>
    <cellStyle name="40% - Ênfase4 4 3 2" xfId="25590" xr:uid="{00000000-0005-0000-0000-00007B1A0000}"/>
    <cellStyle name="40% - Ênfase4 4 3 2 2" xfId="25591" xr:uid="{00000000-0005-0000-0000-00007C1A0000}"/>
    <cellStyle name="40% - Ênfase4 4 3 2 2 2" xfId="26903" xr:uid="{00000000-0005-0000-0000-00007D1A0000}"/>
    <cellStyle name="40% - Ênfase4 4 3 2 3" xfId="26902" xr:uid="{00000000-0005-0000-0000-00007E1A0000}"/>
    <cellStyle name="40% - Ênfase4 4 3 3" xfId="25592" xr:uid="{00000000-0005-0000-0000-00007F1A0000}"/>
    <cellStyle name="40% - Ênfase4 4 3 3 2" xfId="26904" xr:uid="{00000000-0005-0000-0000-0000801A0000}"/>
    <cellStyle name="40% - Ênfase4 4 3 4" xfId="26901" xr:uid="{00000000-0005-0000-0000-0000811A0000}"/>
    <cellStyle name="40% - Ênfase4 4 3 5" xfId="25589" xr:uid="{00000000-0005-0000-0000-0000821A0000}"/>
    <cellStyle name="40% - Ênfase4 4 4" xfId="6393" xr:uid="{00000000-0005-0000-0000-0000831A0000}"/>
    <cellStyle name="40% - Ênfase4 4 4 2" xfId="26905" xr:uid="{00000000-0005-0000-0000-0000841A0000}"/>
    <cellStyle name="40% - Ênfase4 4 5" xfId="6394" xr:uid="{00000000-0005-0000-0000-0000851A0000}"/>
    <cellStyle name="40% - Ênfase4 4 5 10" xfId="6395" xr:uid="{00000000-0005-0000-0000-0000861A0000}"/>
    <cellStyle name="40% - Ênfase4 4 5 10 2" xfId="6396" xr:uid="{00000000-0005-0000-0000-0000871A0000}"/>
    <cellStyle name="40% - Ênfase4 4 5 2" xfId="6397" xr:uid="{00000000-0005-0000-0000-0000881A0000}"/>
    <cellStyle name="40% - Ênfase4 4 5 2 2" xfId="6398" xr:uid="{00000000-0005-0000-0000-0000891A0000}"/>
    <cellStyle name="40% - Ênfase4 4 5 3" xfId="6399" xr:uid="{00000000-0005-0000-0000-00008A1A0000}"/>
    <cellStyle name="40% - Ênfase4 4 5 3 2" xfId="6400" xr:uid="{00000000-0005-0000-0000-00008B1A0000}"/>
    <cellStyle name="40% - Ênfase4 4 5 4" xfId="6401" xr:uid="{00000000-0005-0000-0000-00008C1A0000}"/>
    <cellStyle name="40% - Ênfase4 4 5 4 2" xfId="6402" xr:uid="{00000000-0005-0000-0000-00008D1A0000}"/>
    <cellStyle name="40% - Ênfase4 4 5 5" xfId="6403" xr:uid="{00000000-0005-0000-0000-00008E1A0000}"/>
    <cellStyle name="40% - Ênfase4 4 5 5 2" xfId="6404" xr:uid="{00000000-0005-0000-0000-00008F1A0000}"/>
    <cellStyle name="40% - Ênfase4 4 5 6" xfId="6405" xr:uid="{00000000-0005-0000-0000-0000901A0000}"/>
    <cellStyle name="40% - Ênfase4 4 5 6 2" xfId="6406" xr:uid="{00000000-0005-0000-0000-0000911A0000}"/>
    <cellStyle name="40% - Ênfase4 4 5 7" xfId="6407" xr:uid="{00000000-0005-0000-0000-0000921A0000}"/>
    <cellStyle name="40% - Ênfase4 4 5 7 2" xfId="6408" xr:uid="{00000000-0005-0000-0000-0000931A0000}"/>
    <cellStyle name="40% - Ênfase4 4 5 8" xfId="6409" xr:uid="{00000000-0005-0000-0000-0000941A0000}"/>
    <cellStyle name="40% - Ênfase4 4 5 8 2" xfId="6410" xr:uid="{00000000-0005-0000-0000-0000951A0000}"/>
    <cellStyle name="40% - Ênfase4 4 5 9" xfId="6411" xr:uid="{00000000-0005-0000-0000-0000961A0000}"/>
    <cellStyle name="40% - Ênfase4 4 5 9 2" xfId="6412" xr:uid="{00000000-0005-0000-0000-0000971A0000}"/>
    <cellStyle name="40% - Ênfase4 4 6" xfId="6413" xr:uid="{00000000-0005-0000-0000-0000981A0000}"/>
    <cellStyle name="40% - Ênfase4 4 6 2" xfId="6414" xr:uid="{00000000-0005-0000-0000-0000991A0000}"/>
    <cellStyle name="40% - Ênfase4 4 6 2 2" xfId="6415" xr:uid="{00000000-0005-0000-0000-00009A1A0000}"/>
    <cellStyle name="40% - Ênfase4 4 6 3" xfId="6416" xr:uid="{00000000-0005-0000-0000-00009B1A0000}"/>
    <cellStyle name="40% - Ênfase4 4 6 3 2" xfId="6417" xr:uid="{00000000-0005-0000-0000-00009C1A0000}"/>
    <cellStyle name="40% - Ênfase4 4 6 4" xfId="6418" xr:uid="{00000000-0005-0000-0000-00009D1A0000}"/>
    <cellStyle name="40% - Ênfase4 4 6 4 2" xfId="6419" xr:uid="{00000000-0005-0000-0000-00009E1A0000}"/>
    <cellStyle name="40% - Ênfase4 4 6 5" xfId="6420" xr:uid="{00000000-0005-0000-0000-00009F1A0000}"/>
    <cellStyle name="40% - Ênfase4 4 6 5 2" xfId="6421" xr:uid="{00000000-0005-0000-0000-0000A01A0000}"/>
    <cellStyle name="40% - Ênfase4 4 6 6" xfId="6422" xr:uid="{00000000-0005-0000-0000-0000A11A0000}"/>
    <cellStyle name="40% - Ênfase4 4 7" xfId="26893" xr:uid="{00000000-0005-0000-0000-0000A21A0000}"/>
    <cellStyle name="40% - Ênfase4 40" xfId="6423" xr:uid="{00000000-0005-0000-0000-0000A31A0000}"/>
    <cellStyle name="40% - Ênfase4 40 2" xfId="6424" xr:uid="{00000000-0005-0000-0000-0000A41A0000}"/>
    <cellStyle name="40% - Ênfase4 41" xfId="6425" xr:uid="{00000000-0005-0000-0000-0000A51A0000}"/>
    <cellStyle name="40% - Ênfase4 41 2" xfId="6426" xr:uid="{00000000-0005-0000-0000-0000A61A0000}"/>
    <cellStyle name="40% - Ênfase4 42" xfId="6427" xr:uid="{00000000-0005-0000-0000-0000A71A0000}"/>
    <cellStyle name="40% - Ênfase4 42 2" xfId="6428" xr:uid="{00000000-0005-0000-0000-0000A81A0000}"/>
    <cellStyle name="40% - Ênfase4 43" xfId="6429" xr:uid="{00000000-0005-0000-0000-0000A91A0000}"/>
    <cellStyle name="40% - Ênfase4 43 2" xfId="6430" xr:uid="{00000000-0005-0000-0000-0000AA1A0000}"/>
    <cellStyle name="40% - Ênfase4 44" xfId="6431" xr:uid="{00000000-0005-0000-0000-0000AB1A0000}"/>
    <cellStyle name="40% - Ênfase4 44 2" xfId="6432" xr:uid="{00000000-0005-0000-0000-0000AC1A0000}"/>
    <cellStyle name="40% - Ênfase4 45" xfId="6433" xr:uid="{00000000-0005-0000-0000-0000AD1A0000}"/>
    <cellStyle name="40% - Ênfase4 45 2" xfId="6434" xr:uid="{00000000-0005-0000-0000-0000AE1A0000}"/>
    <cellStyle name="40% - Ênfase4 46" xfId="6435" xr:uid="{00000000-0005-0000-0000-0000AF1A0000}"/>
    <cellStyle name="40% - Ênfase4 46 2" xfId="6436" xr:uid="{00000000-0005-0000-0000-0000B01A0000}"/>
    <cellStyle name="40% - Ênfase4 47" xfId="6437" xr:uid="{00000000-0005-0000-0000-0000B11A0000}"/>
    <cellStyle name="40% - Ênfase4 47 2" xfId="6438" xr:uid="{00000000-0005-0000-0000-0000B21A0000}"/>
    <cellStyle name="40% - Ênfase4 48" xfId="6439" xr:uid="{00000000-0005-0000-0000-0000B31A0000}"/>
    <cellStyle name="40% - Ênfase4 48 2" xfId="6440" xr:uid="{00000000-0005-0000-0000-0000B41A0000}"/>
    <cellStyle name="40% - Ênfase4 49" xfId="6441" xr:uid="{00000000-0005-0000-0000-0000B51A0000}"/>
    <cellStyle name="40% - Ênfase4 49 2" xfId="6442" xr:uid="{00000000-0005-0000-0000-0000B61A0000}"/>
    <cellStyle name="40% - Ênfase4 5" xfId="6443" xr:uid="{00000000-0005-0000-0000-0000B71A0000}"/>
    <cellStyle name="40% - Ênfase4 5 2" xfId="6444" xr:uid="{00000000-0005-0000-0000-0000B81A0000}"/>
    <cellStyle name="40% - Ênfase4 5 2 2" xfId="6445" xr:uid="{00000000-0005-0000-0000-0000B91A0000}"/>
    <cellStyle name="40% - Ênfase4 5 2 2 2" xfId="25594" xr:uid="{00000000-0005-0000-0000-0000BA1A0000}"/>
    <cellStyle name="40% - Ênfase4 5 2 2 2 2" xfId="25595" xr:uid="{00000000-0005-0000-0000-0000BB1A0000}"/>
    <cellStyle name="40% - Ênfase4 5 2 2 2 2 2" xfId="26908" xr:uid="{00000000-0005-0000-0000-0000BC1A0000}"/>
    <cellStyle name="40% - Ênfase4 5 2 2 2 3" xfId="26907" xr:uid="{00000000-0005-0000-0000-0000BD1A0000}"/>
    <cellStyle name="40% - Ênfase4 5 2 2 3" xfId="25596" xr:uid="{00000000-0005-0000-0000-0000BE1A0000}"/>
    <cellStyle name="40% - Ênfase4 5 2 2 3 2" xfId="26909" xr:uid="{00000000-0005-0000-0000-0000BF1A0000}"/>
    <cellStyle name="40% - Ênfase4 5 2 2 4" xfId="26906" xr:uid="{00000000-0005-0000-0000-0000C01A0000}"/>
    <cellStyle name="40% - Ênfase4 5 2 2 5" xfId="25593" xr:uid="{00000000-0005-0000-0000-0000C11A0000}"/>
    <cellStyle name="40% - Ênfase4 5 2 3" xfId="6446" xr:uid="{00000000-0005-0000-0000-0000C21A0000}"/>
    <cellStyle name="40% - Ênfase4 5 2 3 2" xfId="25598" xr:uid="{00000000-0005-0000-0000-0000C31A0000}"/>
    <cellStyle name="40% - Ênfase4 5 2 3 2 2" xfId="26911" xr:uid="{00000000-0005-0000-0000-0000C41A0000}"/>
    <cellStyle name="40% - Ênfase4 5 2 3 3" xfId="26910" xr:uid="{00000000-0005-0000-0000-0000C51A0000}"/>
    <cellStyle name="40% - Ênfase4 5 2 3 4" xfId="25597" xr:uid="{00000000-0005-0000-0000-0000C61A0000}"/>
    <cellStyle name="40% - Ênfase4 5 2 4" xfId="6447" xr:uid="{00000000-0005-0000-0000-0000C71A0000}"/>
    <cellStyle name="40% - Ênfase4 5 2 4 2" xfId="26912" xr:uid="{00000000-0005-0000-0000-0000C81A0000}"/>
    <cellStyle name="40% - Ênfase4 5 2 4 3" xfId="25599" xr:uid="{00000000-0005-0000-0000-0000C91A0000}"/>
    <cellStyle name="40% - Ênfase4 5 2 5" xfId="6448" xr:uid="{00000000-0005-0000-0000-0000CA1A0000}"/>
    <cellStyle name="40% - Ênfase4 5 2 5 2" xfId="6449" xr:uid="{00000000-0005-0000-0000-0000CB1A0000}"/>
    <cellStyle name="40% - Ênfase4 5 2 6" xfId="6450" xr:uid="{00000000-0005-0000-0000-0000CC1A0000}"/>
    <cellStyle name="40% - Ênfase4 5 2 6 2" xfId="6451" xr:uid="{00000000-0005-0000-0000-0000CD1A0000}"/>
    <cellStyle name="40% - Ênfase4 5 2 7" xfId="6452" xr:uid="{00000000-0005-0000-0000-0000CE1A0000}"/>
    <cellStyle name="40% - Ênfase4 5 2 7 2" xfId="6453" xr:uid="{00000000-0005-0000-0000-0000CF1A0000}"/>
    <cellStyle name="40% - Ênfase4 5 2 8" xfId="6454" xr:uid="{00000000-0005-0000-0000-0000D01A0000}"/>
    <cellStyle name="40% - Ênfase4 5 2 8 2" xfId="6455" xr:uid="{00000000-0005-0000-0000-0000D11A0000}"/>
    <cellStyle name="40% - Ênfase4 5 2 9" xfId="6456" xr:uid="{00000000-0005-0000-0000-0000D21A0000}"/>
    <cellStyle name="40% - Ênfase4 5 3" xfId="6457" xr:uid="{00000000-0005-0000-0000-0000D31A0000}"/>
    <cellStyle name="40% - Ênfase4 5 3 2" xfId="25601" xr:uid="{00000000-0005-0000-0000-0000D41A0000}"/>
    <cellStyle name="40% - Ênfase4 5 3 2 2" xfId="25602" xr:uid="{00000000-0005-0000-0000-0000D51A0000}"/>
    <cellStyle name="40% - Ênfase4 5 3 2 2 2" xfId="26915" xr:uid="{00000000-0005-0000-0000-0000D61A0000}"/>
    <cellStyle name="40% - Ênfase4 5 3 2 3" xfId="26914" xr:uid="{00000000-0005-0000-0000-0000D71A0000}"/>
    <cellStyle name="40% - Ênfase4 5 3 3" xfId="25603" xr:uid="{00000000-0005-0000-0000-0000D81A0000}"/>
    <cellStyle name="40% - Ênfase4 5 3 3 2" xfId="26916" xr:uid="{00000000-0005-0000-0000-0000D91A0000}"/>
    <cellStyle name="40% - Ênfase4 5 3 4" xfId="26913" xr:uid="{00000000-0005-0000-0000-0000DA1A0000}"/>
    <cellStyle name="40% - Ênfase4 5 3 5" xfId="25600" xr:uid="{00000000-0005-0000-0000-0000DB1A0000}"/>
    <cellStyle name="40% - Ênfase4 5 4" xfId="6458" xr:uid="{00000000-0005-0000-0000-0000DC1A0000}"/>
    <cellStyle name="40% - Ênfase4 5 4 2" xfId="25605" xr:uid="{00000000-0005-0000-0000-0000DD1A0000}"/>
    <cellStyle name="40% - Ênfase4 5 4 2 2" xfId="26918" xr:uid="{00000000-0005-0000-0000-0000DE1A0000}"/>
    <cellStyle name="40% - Ênfase4 5 4 3" xfId="26917" xr:uid="{00000000-0005-0000-0000-0000DF1A0000}"/>
    <cellStyle name="40% - Ênfase4 5 4 4" xfId="25604" xr:uid="{00000000-0005-0000-0000-0000E01A0000}"/>
    <cellStyle name="40% - Ênfase4 5 5" xfId="6459" xr:uid="{00000000-0005-0000-0000-0000E11A0000}"/>
    <cellStyle name="40% - Ênfase4 5 5 2" xfId="6460" xr:uid="{00000000-0005-0000-0000-0000E21A0000}"/>
    <cellStyle name="40% - Ênfase4 5 5 2 2" xfId="6461" xr:uid="{00000000-0005-0000-0000-0000E31A0000}"/>
    <cellStyle name="40% - Ênfase4 5 5 3" xfId="6462" xr:uid="{00000000-0005-0000-0000-0000E41A0000}"/>
    <cellStyle name="40% - Ênfase4 5 5 3 2" xfId="6463" xr:uid="{00000000-0005-0000-0000-0000E51A0000}"/>
    <cellStyle name="40% - Ênfase4 5 5 4" xfId="6464" xr:uid="{00000000-0005-0000-0000-0000E61A0000}"/>
    <cellStyle name="40% - Ênfase4 5 5 4 2" xfId="6465" xr:uid="{00000000-0005-0000-0000-0000E71A0000}"/>
    <cellStyle name="40% - Ênfase4 5 5 5" xfId="6466" xr:uid="{00000000-0005-0000-0000-0000E81A0000}"/>
    <cellStyle name="40% - Ênfase4 5 5 5 2" xfId="6467" xr:uid="{00000000-0005-0000-0000-0000E91A0000}"/>
    <cellStyle name="40% - Ênfase4 5 5 6" xfId="6468" xr:uid="{00000000-0005-0000-0000-0000EA1A0000}"/>
    <cellStyle name="40% - Ênfase4 5 6" xfId="6469" xr:uid="{00000000-0005-0000-0000-0000EB1A0000}"/>
    <cellStyle name="40% - Ênfase4 5 6 2" xfId="6470" xr:uid="{00000000-0005-0000-0000-0000EC1A0000}"/>
    <cellStyle name="40% - Ênfase4 5 6 2 2" xfId="6471" xr:uid="{00000000-0005-0000-0000-0000ED1A0000}"/>
    <cellStyle name="40% - Ênfase4 5 6 3" xfId="6472" xr:uid="{00000000-0005-0000-0000-0000EE1A0000}"/>
    <cellStyle name="40% - Ênfase4 5 6 3 2" xfId="6473" xr:uid="{00000000-0005-0000-0000-0000EF1A0000}"/>
    <cellStyle name="40% - Ênfase4 5 6 4" xfId="6474" xr:uid="{00000000-0005-0000-0000-0000F01A0000}"/>
    <cellStyle name="40% - Ênfase4 5 6 4 2" xfId="6475" xr:uid="{00000000-0005-0000-0000-0000F11A0000}"/>
    <cellStyle name="40% - Ênfase4 5 6 5" xfId="6476" xr:uid="{00000000-0005-0000-0000-0000F21A0000}"/>
    <cellStyle name="40% - Ênfase4 5 6 5 2" xfId="6477" xr:uid="{00000000-0005-0000-0000-0000F31A0000}"/>
    <cellStyle name="40% - Ênfase4 5 6 6" xfId="6478" xr:uid="{00000000-0005-0000-0000-0000F41A0000}"/>
    <cellStyle name="40% - Ênfase4 50" xfId="6479" xr:uid="{00000000-0005-0000-0000-0000F51A0000}"/>
    <cellStyle name="40% - Ênfase4 50 2" xfId="6480" xr:uid="{00000000-0005-0000-0000-0000F61A0000}"/>
    <cellStyle name="40% - Ênfase4 51" xfId="6481" xr:uid="{00000000-0005-0000-0000-0000F71A0000}"/>
    <cellStyle name="40% - Ênfase4 51 2" xfId="6482" xr:uid="{00000000-0005-0000-0000-0000F81A0000}"/>
    <cellStyle name="40% - Ênfase4 52" xfId="6483" xr:uid="{00000000-0005-0000-0000-0000F91A0000}"/>
    <cellStyle name="40% - Ênfase4 52 2" xfId="6484" xr:uid="{00000000-0005-0000-0000-0000FA1A0000}"/>
    <cellStyle name="40% - Ênfase4 53" xfId="6485" xr:uid="{00000000-0005-0000-0000-0000FB1A0000}"/>
    <cellStyle name="40% - Ênfase4 53 2" xfId="6486" xr:uid="{00000000-0005-0000-0000-0000FC1A0000}"/>
    <cellStyle name="40% - Ênfase4 54" xfId="6487" xr:uid="{00000000-0005-0000-0000-0000FD1A0000}"/>
    <cellStyle name="40% - Ênfase4 54 2" xfId="6488" xr:uid="{00000000-0005-0000-0000-0000FE1A0000}"/>
    <cellStyle name="40% - Ênfase4 55" xfId="6489" xr:uid="{00000000-0005-0000-0000-0000FF1A0000}"/>
    <cellStyle name="40% - Ênfase4 55 2" xfId="6490" xr:uid="{00000000-0005-0000-0000-0000001B0000}"/>
    <cellStyle name="40% - Ênfase4 6" xfId="6491" xr:uid="{00000000-0005-0000-0000-0000011B0000}"/>
    <cellStyle name="40% - Ênfase4 6 10" xfId="6492" xr:uid="{00000000-0005-0000-0000-0000021B0000}"/>
    <cellStyle name="40% - Ênfase4 6 10 2" xfId="6493" xr:uid="{00000000-0005-0000-0000-0000031B0000}"/>
    <cellStyle name="40% - Ênfase4 6 11" xfId="6494" xr:uid="{00000000-0005-0000-0000-0000041B0000}"/>
    <cellStyle name="40% - Ênfase4 6 11 2" xfId="6495" xr:uid="{00000000-0005-0000-0000-0000051B0000}"/>
    <cellStyle name="40% - Ênfase4 6 12" xfId="6496" xr:uid="{00000000-0005-0000-0000-0000061B0000}"/>
    <cellStyle name="40% - Ênfase4 6 12 2" xfId="6497" xr:uid="{00000000-0005-0000-0000-0000071B0000}"/>
    <cellStyle name="40% - Ênfase4 6 13" xfId="6498" xr:uid="{00000000-0005-0000-0000-0000081B0000}"/>
    <cellStyle name="40% - Ênfase4 6 13 2" xfId="6499" xr:uid="{00000000-0005-0000-0000-0000091B0000}"/>
    <cellStyle name="40% - Ênfase4 6 14" xfId="6500" xr:uid="{00000000-0005-0000-0000-00000A1B0000}"/>
    <cellStyle name="40% - Ênfase4 6 14 2" xfId="6501" xr:uid="{00000000-0005-0000-0000-00000B1B0000}"/>
    <cellStyle name="40% - Ênfase4 6 15" xfId="6502" xr:uid="{00000000-0005-0000-0000-00000C1B0000}"/>
    <cellStyle name="40% - Ênfase4 6 15 2" xfId="6503" xr:uid="{00000000-0005-0000-0000-00000D1B0000}"/>
    <cellStyle name="40% - Ênfase4 6 16" xfId="6504" xr:uid="{00000000-0005-0000-0000-00000E1B0000}"/>
    <cellStyle name="40% - Ênfase4 6 16 2" xfId="6505" xr:uid="{00000000-0005-0000-0000-00000F1B0000}"/>
    <cellStyle name="40% - Ênfase4 6 17" xfId="6506" xr:uid="{00000000-0005-0000-0000-0000101B0000}"/>
    <cellStyle name="40% - Ênfase4 6 17 2" xfId="6507" xr:uid="{00000000-0005-0000-0000-0000111B0000}"/>
    <cellStyle name="40% - Ênfase4 6 18" xfId="6508" xr:uid="{00000000-0005-0000-0000-0000121B0000}"/>
    <cellStyle name="40% - Ênfase4 6 18 2" xfId="6509" xr:uid="{00000000-0005-0000-0000-0000131B0000}"/>
    <cellStyle name="40% - Ênfase4 6 19" xfId="6510" xr:uid="{00000000-0005-0000-0000-0000141B0000}"/>
    <cellStyle name="40% - Ênfase4 6 19 2" xfId="6511" xr:uid="{00000000-0005-0000-0000-0000151B0000}"/>
    <cellStyle name="40% - Ênfase4 6 2" xfId="6512" xr:uid="{00000000-0005-0000-0000-0000161B0000}"/>
    <cellStyle name="40% - Ênfase4 6 2 2" xfId="6513" xr:uid="{00000000-0005-0000-0000-0000171B0000}"/>
    <cellStyle name="40% - Ênfase4 6 2 2 2" xfId="6514" xr:uid="{00000000-0005-0000-0000-0000181B0000}"/>
    <cellStyle name="40% - Ênfase4 6 2 2 2 2" xfId="26920" xr:uid="{00000000-0005-0000-0000-0000191B0000}"/>
    <cellStyle name="40% - Ênfase4 6 2 2 3" xfId="26919" xr:uid="{00000000-0005-0000-0000-00001A1B0000}"/>
    <cellStyle name="40% - Ênfase4 6 2 3" xfId="6515" xr:uid="{00000000-0005-0000-0000-00001B1B0000}"/>
    <cellStyle name="40% - Ênfase4 6 2 3 2" xfId="6516" xr:uid="{00000000-0005-0000-0000-00001C1B0000}"/>
    <cellStyle name="40% - Ênfase4 6 2 4" xfId="6517" xr:uid="{00000000-0005-0000-0000-00001D1B0000}"/>
    <cellStyle name="40% - Ênfase4 6 2 4 2" xfId="6518" xr:uid="{00000000-0005-0000-0000-00001E1B0000}"/>
    <cellStyle name="40% - Ênfase4 6 2 5" xfId="6519" xr:uid="{00000000-0005-0000-0000-00001F1B0000}"/>
    <cellStyle name="40% - Ênfase4 6 2 5 2" xfId="6520" xr:uid="{00000000-0005-0000-0000-0000201B0000}"/>
    <cellStyle name="40% - Ênfase4 6 2 6" xfId="6521" xr:uid="{00000000-0005-0000-0000-0000211B0000}"/>
    <cellStyle name="40% - Ênfase4 6 20" xfId="6522" xr:uid="{00000000-0005-0000-0000-0000221B0000}"/>
    <cellStyle name="40% - Ênfase4 6 20 2" xfId="6523" xr:uid="{00000000-0005-0000-0000-0000231B0000}"/>
    <cellStyle name="40% - Ênfase4 6 21" xfId="6524" xr:uid="{00000000-0005-0000-0000-0000241B0000}"/>
    <cellStyle name="40% - Ênfase4 6 21 2" xfId="6525" xr:uid="{00000000-0005-0000-0000-0000251B0000}"/>
    <cellStyle name="40% - Ênfase4 6 22" xfId="6526" xr:uid="{00000000-0005-0000-0000-0000261B0000}"/>
    <cellStyle name="40% - Ênfase4 6 22 2" xfId="6527" xr:uid="{00000000-0005-0000-0000-0000271B0000}"/>
    <cellStyle name="40% - Ênfase4 6 23" xfId="6528" xr:uid="{00000000-0005-0000-0000-0000281B0000}"/>
    <cellStyle name="40% - Ênfase4 6 23 2" xfId="6529" xr:uid="{00000000-0005-0000-0000-0000291B0000}"/>
    <cellStyle name="40% - Ênfase4 6 24" xfId="6530" xr:uid="{00000000-0005-0000-0000-00002A1B0000}"/>
    <cellStyle name="40% - Ênfase4 6 24 2" xfId="6531" xr:uid="{00000000-0005-0000-0000-00002B1B0000}"/>
    <cellStyle name="40% - Ênfase4 6 25" xfId="6532" xr:uid="{00000000-0005-0000-0000-00002C1B0000}"/>
    <cellStyle name="40% - Ênfase4 6 25 2" xfId="6533" xr:uid="{00000000-0005-0000-0000-00002D1B0000}"/>
    <cellStyle name="40% - Ênfase4 6 26" xfId="6534" xr:uid="{00000000-0005-0000-0000-00002E1B0000}"/>
    <cellStyle name="40% - Ênfase4 6 26 2" xfId="6535" xr:uid="{00000000-0005-0000-0000-00002F1B0000}"/>
    <cellStyle name="40% - Ênfase4 6 27" xfId="6536" xr:uid="{00000000-0005-0000-0000-0000301B0000}"/>
    <cellStyle name="40% - Ênfase4 6 27 2" xfId="6537" xr:uid="{00000000-0005-0000-0000-0000311B0000}"/>
    <cellStyle name="40% - Ênfase4 6 28" xfId="6538" xr:uid="{00000000-0005-0000-0000-0000321B0000}"/>
    <cellStyle name="40% - Ênfase4 6 28 2" xfId="6539" xr:uid="{00000000-0005-0000-0000-0000331B0000}"/>
    <cellStyle name="40% - Ênfase4 6 29" xfId="6540" xr:uid="{00000000-0005-0000-0000-0000341B0000}"/>
    <cellStyle name="40% - Ênfase4 6 29 2" xfId="6541" xr:uid="{00000000-0005-0000-0000-0000351B0000}"/>
    <cellStyle name="40% - Ênfase4 6 3" xfId="6542" xr:uid="{00000000-0005-0000-0000-0000361B0000}"/>
    <cellStyle name="40% - Ênfase4 6 3 2" xfId="6543" xr:uid="{00000000-0005-0000-0000-0000371B0000}"/>
    <cellStyle name="40% - Ênfase4 6 3 2 2" xfId="6544" xr:uid="{00000000-0005-0000-0000-0000381B0000}"/>
    <cellStyle name="40% - Ênfase4 6 3 3" xfId="6545" xr:uid="{00000000-0005-0000-0000-0000391B0000}"/>
    <cellStyle name="40% - Ênfase4 6 3 3 2" xfId="6546" xr:uid="{00000000-0005-0000-0000-00003A1B0000}"/>
    <cellStyle name="40% - Ênfase4 6 3 4" xfId="6547" xr:uid="{00000000-0005-0000-0000-00003B1B0000}"/>
    <cellStyle name="40% - Ênfase4 6 3 4 2" xfId="6548" xr:uid="{00000000-0005-0000-0000-00003C1B0000}"/>
    <cellStyle name="40% - Ênfase4 6 3 5" xfId="6549" xr:uid="{00000000-0005-0000-0000-00003D1B0000}"/>
    <cellStyle name="40% - Ênfase4 6 3 5 2" xfId="6550" xr:uid="{00000000-0005-0000-0000-00003E1B0000}"/>
    <cellStyle name="40% - Ênfase4 6 3 6" xfId="6551" xr:uid="{00000000-0005-0000-0000-00003F1B0000}"/>
    <cellStyle name="40% - Ênfase4 6 30" xfId="6552" xr:uid="{00000000-0005-0000-0000-0000401B0000}"/>
    <cellStyle name="40% - Ênfase4 6 30 2" xfId="6553" xr:uid="{00000000-0005-0000-0000-0000411B0000}"/>
    <cellStyle name="40% - Ênfase4 6 31" xfId="6554" xr:uid="{00000000-0005-0000-0000-0000421B0000}"/>
    <cellStyle name="40% - Ênfase4 6 31 2" xfId="6555" xr:uid="{00000000-0005-0000-0000-0000431B0000}"/>
    <cellStyle name="40% - Ênfase4 6 32" xfId="6556" xr:uid="{00000000-0005-0000-0000-0000441B0000}"/>
    <cellStyle name="40% - Ênfase4 6 32 2" xfId="6557" xr:uid="{00000000-0005-0000-0000-0000451B0000}"/>
    <cellStyle name="40% - Ênfase4 6 33" xfId="6558" xr:uid="{00000000-0005-0000-0000-0000461B0000}"/>
    <cellStyle name="40% - Ênfase4 6 33 2" xfId="6559" xr:uid="{00000000-0005-0000-0000-0000471B0000}"/>
    <cellStyle name="40% - Ênfase4 6 34" xfId="6560" xr:uid="{00000000-0005-0000-0000-0000481B0000}"/>
    <cellStyle name="40% - Ênfase4 6 34 2" xfId="6561" xr:uid="{00000000-0005-0000-0000-0000491B0000}"/>
    <cellStyle name="40% - Ênfase4 6 35" xfId="6562" xr:uid="{00000000-0005-0000-0000-00004A1B0000}"/>
    <cellStyle name="40% - Ênfase4 6 35 2" xfId="6563" xr:uid="{00000000-0005-0000-0000-00004B1B0000}"/>
    <cellStyle name="40% - Ênfase4 6 36" xfId="6564" xr:uid="{00000000-0005-0000-0000-00004C1B0000}"/>
    <cellStyle name="40% - Ênfase4 6 36 2" xfId="6565" xr:uid="{00000000-0005-0000-0000-00004D1B0000}"/>
    <cellStyle name="40% - Ênfase4 6 37" xfId="6566" xr:uid="{00000000-0005-0000-0000-00004E1B0000}"/>
    <cellStyle name="40% - Ênfase4 6 4" xfId="6567" xr:uid="{00000000-0005-0000-0000-00004F1B0000}"/>
    <cellStyle name="40% - Ênfase4 6 4 2" xfId="6568" xr:uid="{00000000-0005-0000-0000-0000501B0000}"/>
    <cellStyle name="40% - Ênfase4 6 4 2 2" xfId="6569" xr:uid="{00000000-0005-0000-0000-0000511B0000}"/>
    <cellStyle name="40% - Ênfase4 6 4 3" xfId="6570" xr:uid="{00000000-0005-0000-0000-0000521B0000}"/>
    <cellStyle name="40% - Ênfase4 6 4 3 2" xfId="6571" xr:uid="{00000000-0005-0000-0000-0000531B0000}"/>
    <cellStyle name="40% - Ênfase4 6 4 4" xfId="6572" xr:uid="{00000000-0005-0000-0000-0000541B0000}"/>
    <cellStyle name="40% - Ênfase4 6 4 4 2" xfId="6573" xr:uid="{00000000-0005-0000-0000-0000551B0000}"/>
    <cellStyle name="40% - Ênfase4 6 4 5" xfId="6574" xr:uid="{00000000-0005-0000-0000-0000561B0000}"/>
    <cellStyle name="40% - Ênfase4 6 4 5 2" xfId="6575" xr:uid="{00000000-0005-0000-0000-0000571B0000}"/>
    <cellStyle name="40% - Ênfase4 6 4 6" xfId="6576" xr:uid="{00000000-0005-0000-0000-0000581B0000}"/>
    <cellStyle name="40% - Ênfase4 6 5" xfId="6577" xr:uid="{00000000-0005-0000-0000-0000591B0000}"/>
    <cellStyle name="40% - Ênfase4 6 5 2" xfId="6578" xr:uid="{00000000-0005-0000-0000-00005A1B0000}"/>
    <cellStyle name="40% - Ênfase4 6 6" xfId="6579" xr:uid="{00000000-0005-0000-0000-00005B1B0000}"/>
    <cellStyle name="40% - Ênfase4 6 6 2" xfId="6580" xr:uid="{00000000-0005-0000-0000-00005C1B0000}"/>
    <cellStyle name="40% - Ênfase4 6 7" xfId="6581" xr:uid="{00000000-0005-0000-0000-00005D1B0000}"/>
    <cellStyle name="40% - Ênfase4 6 7 2" xfId="6582" xr:uid="{00000000-0005-0000-0000-00005E1B0000}"/>
    <cellStyle name="40% - Ênfase4 6 8" xfId="6583" xr:uid="{00000000-0005-0000-0000-00005F1B0000}"/>
    <cellStyle name="40% - Ênfase4 6 8 2" xfId="6584" xr:uid="{00000000-0005-0000-0000-0000601B0000}"/>
    <cellStyle name="40% - Ênfase4 6 9" xfId="6585" xr:uid="{00000000-0005-0000-0000-0000611B0000}"/>
    <cellStyle name="40% - Ênfase4 6 9 2" xfId="6586" xr:uid="{00000000-0005-0000-0000-0000621B0000}"/>
    <cellStyle name="40% - Ênfase4 7" xfId="6587" xr:uid="{00000000-0005-0000-0000-0000631B0000}"/>
    <cellStyle name="40% - Ênfase4 7 10" xfId="6588" xr:uid="{00000000-0005-0000-0000-0000641B0000}"/>
    <cellStyle name="40% - Ênfase4 7 10 2" xfId="6589" xr:uid="{00000000-0005-0000-0000-0000651B0000}"/>
    <cellStyle name="40% - Ênfase4 7 11" xfId="6590" xr:uid="{00000000-0005-0000-0000-0000661B0000}"/>
    <cellStyle name="40% - Ênfase4 7 11 2" xfId="6591" xr:uid="{00000000-0005-0000-0000-0000671B0000}"/>
    <cellStyle name="40% - Ênfase4 7 12" xfId="6592" xr:uid="{00000000-0005-0000-0000-0000681B0000}"/>
    <cellStyle name="40% - Ênfase4 7 12 2" xfId="6593" xr:uid="{00000000-0005-0000-0000-0000691B0000}"/>
    <cellStyle name="40% - Ênfase4 7 13" xfId="6594" xr:uid="{00000000-0005-0000-0000-00006A1B0000}"/>
    <cellStyle name="40% - Ênfase4 7 13 2" xfId="6595" xr:uid="{00000000-0005-0000-0000-00006B1B0000}"/>
    <cellStyle name="40% - Ênfase4 7 14" xfId="6596" xr:uid="{00000000-0005-0000-0000-00006C1B0000}"/>
    <cellStyle name="40% - Ênfase4 7 14 2" xfId="6597" xr:uid="{00000000-0005-0000-0000-00006D1B0000}"/>
    <cellStyle name="40% - Ênfase4 7 15" xfId="6598" xr:uid="{00000000-0005-0000-0000-00006E1B0000}"/>
    <cellStyle name="40% - Ênfase4 7 15 2" xfId="6599" xr:uid="{00000000-0005-0000-0000-00006F1B0000}"/>
    <cellStyle name="40% - Ênfase4 7 16" xfId="6600" xr:uid="{00000000-0005-0000-0000-0000701B0000}"/>
    <cellStyle name="40% - Ênfase4 7 16 2" xfId="6601" xr:uid="{00000000-0005-0000-0000-0000711B0000}"/>
    <cellStyle name="40% - Ênfase4 7 17" xfId="6602" xr:uid="{00000000-0005-0000-0000-0000721B0000}"/>
    <cellStyle name="40% - Ênfase4 7 17 2" xfId="6603" xr:uid="{00000000-0005-0000-0000-0000731B0000}"/>
    <cellStyle name="40% - Ênfase4 7 18" xfId="6604" xr:uid="{00000000-0005-0000-0000-0000741B0000}"/>
    <cellStyle name="40% - Ênfase4 7 18 2" xfId="6605" xr:uid="{00000000-0005-0000-0000-0000751B0000}"/>
    <cellStyle name="40% - Ênfase4 7 19" xfId="6606" xr:uid="{00000000-0005-0000-0000-0000761B0000}"/>
    <cellStyle name="40% - Ênfase4 7 19 2" xfId="6607" xr:uid="{00000000-0005-0000-0000-0000771B0000}"/>
    <cellStyle name="40% - Ênfase4 7 2" xfId="6608" xr:uid="{00000000-0005-0000-0000-0000781B0000}"/>
    <cellStyle name="40% - Ênfase4 7 2 2" xfId="6609" xr:uid="{00000000-0005-0000-0000-0000791B0000}"/>
    <cellStyle name="40% - Ênfase4 7 2 2 2" xfId="6610" xr:uid="{00000000-0005-0000-0000-00007A1B0000}"/>
    <cellStyle name="40% - Ênfase4 7 2 2 2 2" xfId="26922" xr:uid="{00000000-0005-0000-0000-00007B1B0000}"/>
    <cellStyle name="40% - Ênfase4 7 2 2 3" xfId="26921" xr:uid="{00000000-0005-0000-0000-00007C1B0000}"/>
    <cellStyle name="40% - Ênfase4 7 2 3" xfId="6611" xr:uid="{00000000-0005-0000-0000-00007D1B0000}"/>
    <cellStyle name="40% - Ênfase4 7 2 3 2" xfId="6612" xr:uid="{00000000-0005-0000-0000-00007E1B0000}"/>
    <cellStyle name="40% - Ênfase4 7 2 4" xfId="6613" xr:uid="{00000000-0005-0000-0000-00007F1B0000}"/>
    <cellStyle name="40% - Ênfase4 7 2 4 2" xfId="6614" xr:uid="{00000000-0005-0000-0000-0000801B0000}"/>
    <cellStyle name="40% - Ênfase4 7 2 5" xfId="6615" xr:uid="{00000000-0005-0000-0000-0000811B0000}"/>
    <cellStyle name="40% - Ênfase4 7 2 5 2" xfId="6616" xr:uid="{00000000-0005-0000-0000-0000821B0000}"/>
    <cellStyle name="40% - Ênfase4 7 2 6" xfId="6617" xr:uid="{00000000-0005-0000-0000-0000831B0000}"/>
    <cellStyle name="40% - Ênfase4 7 20" xfId="6618" xr:uid="{00000000-0005-0000-0000-0000841B0000}"/>
    <cellStyle name="40% - Ênfase4 7 20 2" xfId="6619" xr:uid="{00000000-0005-0000-0000-0000851B0000}"/>
    <cellStyle name="40% - Ênfase4 7 21" xfId="6620" xr:uid="{00000000-0005-0000-0000-0000861B0000}"/>
    <cellStyle name="40% - Ênfase4 7 21 2" xfId="6621" xr:uid="{00000000-0005-0000-0000-0000871B0000}"/>
    <cellStyle name="40% - Ênfase4 7 22" xfId="6622" xr:uid="{00000000-0005-0000-0000-0000881B0000}"/>
    <cellStyle name="40% - Ênfase4 7 22 2" xfId="6623" xr:uid="{00000000-0005-0000-0000-0000891B0000}"/>
    <cellStyle name="40% - Ênfase4 7 23" xfId="6624" xr:uid="{00000000-0005-0000-0000-00008A1B0000}"/>
    <cellStyle name="40% - Ênfase4 7 23 2" xfId="6625" xr:uid="{00000000-0005-0000-0000-00008B1B0000}"/>
    <cellStyle name="40% - Ênfase4 7 24" xfId="6626" xr:uid="{00000000-0005-0000-0000-00008C1B0000}"/>
    <cellStyle name="40% - Ênfase4 7 24 2" xfId="6627" xr:uid="{00000000-0005-0000-0000-00008D1B0000}"/>
    <cellStyle name="40% - Ênfase4 7 25" xfId="6628" xr:uid="{00000000-0005-0000-0000-00008E1B0000}"/>
    <cellStyle name="40% - Ênfase4 7 25 2" xfId="6629" xr:uid="{00000000-0005-0000-0000-00008F1B0000}"/>
    <cellStyle name="40% - Ênfase4 7 26" xfId="6630" xr:uid="{00000000-0005-0000-0000-0000901B0000}"/>
    <cellStyle name="40% - Ênfase4 7 26 2" xfId="6631" xr:uid="{00000000-0005-0000-0000-0000911B0000}"/>
    <cellStyle name="40% - Ênfase4 7 27" xfId="6632" xr:uid="{00000000-0005-0000-0000-0000921B0000}"/>
    <cellStyle name="40% - Ênfase4 7 27 2" xfId="6633" xr:uid="{00000000-0005-0000-0000-0000931B0000}"/>
    <cellStyle name="40% - Ênfase4 7 28" xfId="6634" xr:uid="{00000000-0005-0000-0000-0000941B0000}"/>
    <cellStyle name="40% - Ênfase4 7 28 2" xfId="6635" xr:uid="{00000000-0005-0000-0000-0000951B0000}"/>
    <cellStyle name="40% - Ênfase4 7 29" xfId="6636" xr:uid="{00000000-0005-0000-0000-0000961B0000}"/>
    <cellStyle name="40% - Ênfase4 7 29 2" xfId="6637" xr:uid="{00000000-0005-0000-0000-0000971B0000}"/>
    <cellStyle name="40% - Ênfase4 7 3" xfId="6638" xr:uid="{00000000-0005-0000-0000-0000981B0000}"/>
    <cellStyle name="40% - Ênfase4 7 3 2" xfId="6639" xr:uid="{00000000-0005-0000-0000-0000991B0000}"/>
    <cellStyle name="40% - Ênfase4 7 3 2 2" xfId="6640" xr:uid="{00000000-0005-0000-0000-00009A1B0000}"/>
    <cellStyle name="40% - Ênfase4 7 3 3" xfId="6641" xr:uid="{00000000-0005-0000-0000-00009B1B0000}"/>
    <cellStyle name="40% - Ênfase4 7 3 3 2" xfId="6642" xr:uid="{00000000-0005-0000-0000-00009C1B0000}"/>
    <cellStyle name="40% - Ênfase4 7 3 4" xfId="6643" xr:uid="{00000000-0005-0000-0000-00009D1B0000}"/>
    <cellStyle name="40% - Ênfase4 7 3 4 2" xfId="6644" xr:uid="{00000000-0005-0000-0000-00009E1B0000}"/>
    <cellStyle name="40% - Ênfase4 7 3 5" xfId="6645" xr:uid="{00000000-0005-0000-0000-00009F1B0000}"/>
    <cellStyle name="40% - Ênfase4 7 3 5 2" xfId="6646" xr:uid="{00000000-0005-0000-0000-0000A01B0000}"/>
    <cellStyle name="40% - Ênfase4 7 3 6" xfId="6647" xr:uid="{00000000-0005-0000-0000-0000A11B0000}"/>
    <cellStyle name="40% - Ênfase4 7 30" xfId="6648" xr:uid="{00000000-0005-0000-0000-0000A21B0000}"/>
    <cellStyle name="40% - Ênfase4 7 30 2" xfId="6649" xr:uid="{00000000-0005-0000-0000-0000A31B0000}"/>
    <cellStyle name="40% - Ênfase4 7 31" xfId="6650" xr:uid="{00000000-0005-0000-0000-0000A41B0000}"/>
    <cellStyle name="40% - Ênfase4 7 31 2" xfId="6651" xr:uid="{00000000-0005-0000-0000-0000A51B0000}"/>
    <cellStyle name="40% - Ênfase4 7 32" xfId="6652" xr:uid="{00000000-0005-0000-0000-0000A61B0000}"/>
    <cellStyle name="40% - Ênfase4 7 32 2" xfId="6653" xr:uid="{00000000-0005-0000-0000-0000A71B0000}"/>
    <cellStyle name="40% - Ênfase4 7 33" xfId="6654" xr:uid="{00000000-0005-0000-0000-0000A81B0000}"/>
    <cellStyle name="40% - Ênfase4 7 33 2" xfId="6655" xr:uid="{00000000-0005-0000-0000-0000A91B0000}"/>
    <cellStyle name="40% - Ênfase4 7 34" xfId="6656" xr:uid="{00000000-0005-0000-0000-0000AA1B0000}"/>
    <cellStyle name="40% - Ênfase4 7 34 2" xfId="6657" xr:uid="{00000000-0005-0000-0000-0000AB1B0000}"/>
    <cellStyle name="40% - Ênfase4 7 35" xfId="6658" xr:uid="{00000000-0005-0000-0000-0000AC1B0000}"/>
    <cellStyle name="40% - Ênfase4 7 35 2" xfId="6659" xr:uid="{00000000-0005-0000-0000-0000AD1B0000}"/>
    <cellStyle name="40% - Ênfase4 7 36" xfId="6660" xr:uid="{00000000-0005-0000-0000-0000AE1B0000}"/>
    <cellStyle name="40% - Ênfase4 7 36 2" xfId="6661" xr:uid="{00000000-0005-0000-0000-0000AF1B0000}"/>
    <cellStyle name="40% - Ênfase4 7 37" xfId="6662" xr:uid="{00000000-0005-0000-0000-0000B01B0000}"/>
    <cellStyle name="40% - Ênfase4 7 4" xfId="6663" xr:uid="{00000000-0005-0000-0000-0000B11B0000}"/>
    <cellStyle name="40% - Ênfase4 7 4 2" xfId="6664" xr:uid="{00000000-0005-0000-0000-0000B21B0000}"/>
    <cellStyle name="40% - Ênfase4 7 4 2 2" xfId="6665" xr:uid="{00000000-0005-0000-0000-0000B31B0000}"/>
    <cellStyle name="40% - Ênfase4 7 4 3" xfId="6666" xr:uid="{00000000-0005-0000-0000-0000B41B0000}"/>
    <cellStyle name="40% - Ênfase4 7 4 3 2" xfId="6667" xr:uid="{00000000-0005-0000-0000-0000B51B0000}"/>
    <cellStyle name="40% - Ênfase4 7 4 4" xfId="6668" xr:uid="{00000000-0005-0000-0000-0000B61B0000}"/>
    <cellStyle name="40% - Ênfase4 7 4 4 2" xfId="6669" xr:uid="{00000000-0005-0000-0000-0000B71B0000}"/>
    <cellStyle name="40% - Ênfase4 7 4 5" xfId="6670" xr:uid="{00000000-0005-0000-0000-0000B81B0000}"/>
    <cellStyle name="40% - Ênfase4 7 4 5 2" xfId="6671" xr:uid="{00000000-0005-0000-0000-0000B91B0000}"/>
    <cellStyle name="40% - Ênfase4 7 4 6" xfId="6672" xr:uid="{00000000-0005-0000-0000-0000BA1B0000}"/>
    <cellStyle name="40% - Ênfase4 7 5" xfId="6673" xr:uid="{00000000-0005-0000-0000-0000BB1B0000}"/>
    <cellStyle name="40% - Ênfase4 7 5 2" xfId="6674" xr:uid="{00000000-0005-0000-0000-0000BC1B0000}"/>
    <cellStyle name="40% - Ênfase4 7 6" xfId="6675" xr:uid="{00000000-0005-0000-0000-0000BD1B0000}"/>
    <cellStyle name="40% - Ênfase4 7 6 2" xfId="6676" xr:uid="{00000000-0005-0000-0000-0000BE1B0000}"/>
    <cellStyle name="40% - Ênfase4 7 7" xfId="6677" xr:uid="{00000000-0005-0000-0000-0000BF1B0000}"/>
    <cellStyle name="40% - Ênfase4 7 7 2" xfId="6678" xr:uid="{00000000-0005-0000-0000-0000C01B0000}"/>
    <cellStyle name="40% - Ênfase4 7 8" xfId="6679" xr:uid="{00000000-0005-0000-0000-0000C11B0000}"/>
    <cellStyle name="40% - Ênfase4 7 8 2" xfId="6680" xr:uid="{00000000-0005-0000-0000-0000C21B0000}"/>
    <cellStyle name="40% - Ênfase4 7 9" xfId="6681" xr:uid="{00000000-0005-0000-0000-0000C31B0000}"/>
    <cellStyle name="40% - Ênfase4 7 9 2" xfId="6682" xr:uid="{00000000-0005-0000-0000-0000C41B0000}"/>
    <cellStyle name="40% - Ênfase4 8" xfId="6683" xr:uid="{00000000-0005-0000-0000-0000C51B0000}"/>
    <cellStyle name="40% - Ênfase4 8 10" xfId="6684" xr:uid="{00000000-0005-0000-0000-0000C61B0000}"/>
    <cellStyle name="40% - Ênfase4 8 10 2" xfId="6685" xr:uid="{00000000-0005-0000-0000-0000C71B0000}"/>
    <cellStyle name="40% - Ênfase4 8 2" xfId="6686" xr:uid="{00000000-0005-0000-0000-0000C81B0000}"/>
    <cellStyle name="40% - Ênfase4 8 2 2" xfId="6687" xr:uid="{00000000-0005-0000-0000-0000C91B0000}"/>
    <cellStyle name="40% - Ênfase4 8 2 2 2" xfId="25606" xr:uid="{00000000-0005-0000-0000-0000CA1B0000}"/>
    <cellStyle name="40% - Ênfase4 8 2 2 2 2" xfId="26925" xr:uid="{00000000-0005-0000-0000-0000CB1B0000}"/>
    <cellStyle name="40% - Ênfase4 8 2 2 3" xfId="26924" xr:uid="{00000000-0005-0000-0000-0000CC1B0000}"/>
    <cellStyle name="40% - Ênfase4 8 2 3" xfId="25607" xr:uid="{00000000-0005-0000-0000-0000CD1B0000}"/>
    <cellStyle name="40% - Ênfase4 8 2 3 2" xfId="26926" xr:uid="{00000000-0005-0000-0000-0000CE1B0000}"/>
    <cellStyle name="40% - Ênfase4 8 2 4" xfId="26923" xr:uid="{00000000-0005-0000-0000-0000CF1B0000}"/>
    <cellStyle name="40% - Ênfase4 8 3" xfId="6688" xr:uid="{00000000-0005-0000-0000-0000D01B0000}"/>
    <cellStyle name="40% - Ênfase4 8 3 2" xfId="6689" xr:uid="{00000000-0005-0000-0000-0000D11B0000}"/>
    <cellStyle name="40% - Ênfase4 8 3 2 2" xfId="26928" xr:uid="{00000000-0005-0000-0000-0000D21B0000}"/>
    <cellStyle name="40% - Ênfase4 8 3 3" xfId="26927" xr:uid="{00000000-0005-0000-0000-0000D31B0000}"/>
    <cellStyle name="40% - Ênfase4 8 4" xfId="6690" xr:uid="{00000000-0005-0000-0000-0000D41B0000}"/>
    <cellStyle name="40% - Ênfase4 8 4 2" xfId="6691" xr:uid="{00000000-0005-0000-0000-0000D51B0000}"/>
    <cellStyle name="40% - Ênfase4 8 5" xfId="6692" xr:uid="{00000000-0005-0000-0000-0000D61B0000}"/>
    <cellStyle name="40% - Ênfase4 8 5 2" xfId="6693" xr:uid="{00000000-0005-0000-0000-0000D71B0000}"/>
    <cellStyle name="40% - Ênfase4 8 6" xfId="6694" xr:uid="{00000000-0005-0000-0000-0000D81B0000}"/>
    <cellStyle name="40% - Ênfase4 8 6 2" xfId="6695" xr:uid="{00000000-0005-0000-0000-0000D91B0000}"/>
    <cellStyle name="40% - Ênfase4 8 7" xfId="6696" xr:uid="{00000000-0005-0000-0000-0000DA1B0000}"/>
    <cellStyle name="40% - Ênfase4 8 7 2" xfId="6697" xr:uid="{00000000-0005-0000-0000-0000DB1B0000}"/>
    <cellStyle name="40% - Ênfase4 8 8" xfId="6698" xr:uid="{00000000-0005-0000-0000-0000DC1B0000}"/>
    <cellStyle name="40% - Ênfase4 8 8 2" xfId="6699" xr:uid="{00000000-0005-0000-0000-0000DD1B0000}"/>
    <cellStyle name="40% - Ênfase4 8 9" xfId="6700" xr:uid="{00000000-0005-0000-0000-0000DE1B0000}"/>
    <cellStyle name="40% - Ênfase4 8 9 2" xfId="6701" xr:uid="{00000000-0005-0000-0000-0000DF1B0000}"/>
    <cellStyle name="40% - Ênfase4 9" xfId="6702" xr:uid="{00000000-0005-0000-0000-0000E01B0000}"/>
    <cellStyle name="40% - Ênfase4 9 10" xfId="6703" xr:uid="{00000000-0005-0000-0000-0000E11B0000}"/>
    <cellStyle name="40% - Ênfase4 9 10 2" xfId="6704" xr:uid="{00000000-0005-0000-0000-0000E21B0000}"/>
    <cellStyle name="40% - Ênfase4 9 11" xfId="6705" xr:uid="{00000000-0005-0000-0000-0000E31B0000}"/>
    <cellStyle name="40% - Ênfase4 9 12" xfId="6706" xr:uid="{00000000-0005-0000-0000-0000E41B0000}"/>
    <cellStyle name="40% - Ênfase4 9 2" xfId="6707" xr:uid="{00000000-0005-0000-0000-0000E51B0000}"/>
    <cellStyle name="40% - Ênfase4 9 2 2" xfId="6708" xr:uid="{00000000-0005-0000-0000-0000E61B0000}"/>
    <cellStyle name="40% - Ênfase4 9 2 2 2" xfId="26930" xr:uid="{00000000-0005-0000-0000-0000E71B0000}"/>
    <cellStyle name="40% - Ênfase4 9 2 3" xfId="26929" xr:uid="{00000000-0005-0000-0000-0000E81B0000}"/>
    <cellStyle name="40% - Ênfase4 9 3" xfId="6709" xr:uid="{00000000-0005-0000-0000-0000E91B0000}"/>
    <cellStyle name="40% - Ênfase4 9 3 2" xfId="6710" xr:uid="{00000000-0005-0000-0000-0000EA1B0000}"/>
    <cellStyle name="40% - Ênfase4 9 4" xfId="6711" xr:uid="{00000000-0005-0000-0000-0000EB1B0000}"/>
    <cellStyle name="40% - Ênfase4 9 4 2" xfId="6712" xr:uid="{00000000-0005-0000-0000-0000EC1B0000}"/>
    <cellStyle name="40% - Ênfase4 9 5" xfId="6713" xr:uid="{00000000-0005-0000-0000-0000ED1B0000}"/>
    <cellStyle name="40% - Ênfase4 9 5 2" xfId="6714" xr:uid="{00000000-0005-0000-0000-0000EE1B0000}"/>
    <cellStyle name="40% - Ênfase4 9 6" xfId="6715" xr:uid="{00000000-0005-0000-0000-0000EF1B0000}"/>
    <cellStyle name="40% - Ênfase4 9 6 2" xfId="6716" xr:uid="{00000000-0005-0000-0000-0000F01B0000}"/>
    <cellStyle name="40% - Ênfase4 9 7" xfId="6717" xr:uid="{00000000-0005-0000-0000-0000F11B0000}"/>
    <cellStyle name="40% - Ênfase4 9 7 2" xfId="6718" xr:uid="{00000000-0005-0000-0000-0000F21B0000}"/>
    <cellStyle name="40% - Ênfase4 9 8" xfId="6719" xr:uid="{00000000-0005-0000-0000-0000F31B0000}"/>
    <cellStyle name="40% - Ênfase4 9 8 2" xfId="6720" xr:uid="{00000000-0005-0000-0000-0000F41B0000}"/>
    <cellStyle name="40% - Ênfase4 9 9" xfId="6721" xr:uid="{00000000-0005-0000-0000-0000F51B0000}"/>
    <cellStyle name="40% - Ênfase4 9 9 2" xfId="6722" xr:uid="{00000000-0005-0000-0000-0000F61B0000}"/>
    <cellStyle name="40% - Ênfase5" xfId="37" builtinId="47" customBuiltin="1"/>
    <cellStyle name="40% - Ênfase5 10" xfId="6723" xr:uid="{00000000-0005-0000-0000-0000F81B0000}"/>
    <cellStyle name="40% - Ênfase5 10 2" xfId="6724" xr:uid="{00000000-0005-0000-0000-0000F91B0000}"/>
    <cellStyle name="40% - Ênfase5 10 2 2" xfId="6725" xr:uid="{00000000-0005-0000-0000-0000FA1B0000}"/>
    <cellStyle name="40% - Ênfase5 10 2 2 2" xfId="26932" xr:uid="{00000000-0005-0000-0000-0000FB1B0000}"/>
    <cellStyle name="40% - Ênfase5 10 2 3" xfId="26931" xr:uid="{00000000-0005-0000-0000-0000FC1B0000}"/>
    <cellStyle name="40% - Ênfase5 10 3" xfId="6726" xr:uid="{00000000-0005-0000-0000-0000FD1B0000}"/>
    <cellStyle name="40% - Ênfase5 10 3 2" xfId="6727" xr:uid="{00000000-0005-0000-0000-0000FE1B0000}"/>
    <cellStyle name="40% - Ênfase5 10 4" xfId="6728" xr:uid="{00000000-0005-0000-0000-0000FF1B0000}"/>
    <cellStyle name="40% - Ênfase5 10 4 2" xfId="6729" xr:uid="{00000000-0005-0000-0000-0000001C0000}"/>
    <cellStyle name="40% - Ênfase5 10 5" xfId="6730" xr:uid="{00000000-0005-0000-0000-0000011C0000}"/>
    <cellStyle name="40% - Ênfase5 10 5 2" xfId="6731" xr:uid="{00000000-0005-0000-0000-0000021C0000}"/>
    <cellStyle name="40% - Ênfase5 10 6" xfId="6732" xr:uid="{00000000-0005-0000-0000-0000031C0000}"/>
    <cellStyle name="40% - Ênfase5 11" xfId="6733" xr:uid="{00000000-0005-0000-0000-0000041C0000}"/>
    <cellStyle name="40% - Ênfase5 11 2" xfId="6734" xr:uid="{00000000-0005-0000-0000-0000051C0000}"/>
    <cellStyle name="40% - Ênfase5 11 2 2" xfId="6735" xr:uid="{00000000-0005-0000-0000-0000061C0000}"/>
    <cellStyle name="40% - Ênfase5 11 2 3" xfId="26933" xr:uid="{00000000-0005-0000-0000-0000071C0000}"/>
    <cellStyle name="40% - Ênfase5 11 3" xfId="6736" xr:uid="{00000000-0005-0000-0000-0000081C0000}"/>
    <cellStyle name="40% - Ênfase5 11 3 2" xfId="6737" xr:uid="{00000000-0005-0000-0000-0000091C0000}"/>
    <cellStyle name="40% - Ênfase5 11 4" xfId="6738" xr:uid="{00000000-0005-0000-0000-00000A1C0000}"/>
    <cellStyle name="40% - Ênfase5 11 4 2" xfId="6739" xr:uid="{00000000-0005-0000-0000-00000B1C0000}"/>
    <cellStyle name="40% - Ênfase5 11 5" xfId="6740" xr:uid="{00000000-0005-0000-0000-00000C1C0000}"/>
    <cellStyle name="40% - Ênfase5 11 5 2" xfId="6741" xr:uid="{00000000-0005-0000-0000-00000D1C0000}"/>
    <cellStyle name="40% - Ênfase5 11 6" xfId="6742" xr:uid="{00000000-0005-0000-0000-00000E1C0000}"/>
    <cellStyle name="40% - Ênfase5 11 7" xfId="25608" xr:uid="{00000000-0005-0000-0000-00000F1C0000}"/>
    <cellStyle name="40% - Ênfase5 12" xfId="6743" xr:uid="{00000000-0005-0000-0000-0000101C0000}"/>
    <cellStyle name="40% - Ênfase5 12 2" xfId="6744" xr:uid="{00000000-0005-0000-0000-0000111C0000}"/>
    <cellStyle name="40% - Ênfase5 12 2 2" xfId="6745" xr:uid="{00000000-0005-0000-0000-0000121C0000}"/>
    <cellStyle name="40% - Ênfase5 12 2 2 2" xfId="26935" xr:uid="{00000000-0005-0000-0000-0000131C0000}"/>
    <cellStyle name="40% - Ênfase5 12 2 3" xfId="26934" xr:uid="{00000000-0005-0000-0000-0000141C0000}"/>
    <cellStyle name="40% - Ênfase5 12 3" xfId="6746" xr:uid="{00000000-0005-0000-0000-0000151C0000}"/>
    <cellStyle name="40% - Ênfase5 12 3 2" xfId="6747" xr:uid="{00000000-0005-0000-0000-0000161C0000}"/>
    <cellStyle name="40% - Ênfase5 12 4" xfId="6748" xr:uid="{00000000-0005-0000-0000-0000171C0000}"/>
    <cellStyle name="40% - Ênfase5 12 4 2" xfId="6749" xr:uid="{00000000-0005-0000-0000-0000181C0000}"/>
    <cellStyle name="40% - Ênfase5 12 5" xfId="6750" xr:uid="{00000000-0005-0000-0000-0000191C0000}"/>
    <cellStyle name="40% - Ênfase5 12 5 2" xfId="6751" xr:uid="{00000000-0005-0000-0000-00001A1C0000}"/>
    <cellStyle name="40% - Ênfase5 12 6" xfId="6752" xr:uid="{00000000-0005-0000-0000-00001B1C0000}"/>
    <cellStyle name="40% - Ênfase5 13" xfId="6753" xr:uid="{00000000-0005-0000-0000-00001C1C0000}"/>
    <cellStyle name="40% - Ênfase5 13 2" xfId="6754" xr:uid="{00000000-0005-0000-0000-00001D1C0000}"/>
    <cellStyle name="40% - Ênfase5 14" xfId="6755" xr:uid="{00000000-0005-0000-0000-00001E1C0000}"/>
    <cellStyle name="40% - Ênfase5 14 2" xfId="6756" xr:uid="{00000000-0005-0000-0000-00001F1C0000}"/>
    <cellStyle name="40% - Ênfase5 15" xfId="6757" xr:uid="{00000000-0005-0000-0000-0000201C0000}"/>
    <cellStyle name="40% - Ênfase5 15 2" xfId="6758" xr:uid="{00000000-0005-0000-0000-0000211C0000}"/>
    <cellStyle name="40% - Ênfase5 16" xfId="6759" xr:uid="{00000000-0005-0000-0000-0000221C0000}"/>
    <cellStyle name="40% - Ênfase5 16 2" xfId="6760" xr:uid="{00000000-0005-0000-0000-0000231C0000}"/>
    <cellStyle name="40% - Ênfase5 17" xfId="6761" xr:uid="{00000000-0005-0000-0000-0000241C0000}"/>
    <cellStyle name="40% - Ênfase5 17 2" xfId="6762" xr:uid="{00000000-0005-0000-0000-0000251C0000}"/>
    <cellStyle name="40% - Ênfase5 18" xfId="6763" xr:uid="{00000000-0005-0000-0000-0000261C0000}"/>
    <cellStyle name="40% - Ênfase5 18 2" xfId="6764" xr:uid="{00000000-0005-0000-0000-0000271C0000}"/>
    <cellStyle name="40% - Ênfase5 19" xfId="6765" xr:uid="{00000000-0005-0000-0000-0000281C0000}"/>
    <cellStyle name="40% - Ênfase5 19 2" xfId="6766" xr:uid="{00000000-0005-0000-0000-0000291C0000}"/>
    <cellStyle name="40% - Ênfase5 2" xfId="6767" xr:uid="{00000000-0005-0000-0000-00002A1C0000}"/>
    <cellStyle name="40% - Ênfase5 2 2" xfId="6768" xr:uid="{00000000-0005-0000-0000-00002B1C0000}"/>
    <cellStyle name="40% - Ênfase5 2 2 10" xfId="6769" xr:uid="{00000000-0005-0000-0000-00002C1C0000}"/>
    <cellStyle name="40% - Ênfase5 2 2 10 2" xfId="6770" xr:uid="{00000000-0005-0000-0000-00002D1C0000}"/>
    <cellStyle name="40% - Ênfase5 2 2 11" xfId="6771" xr:uid="{00000000-0005-0000-0000-00002E1C0000}"/>
    <cellStyle name="40% - Ênfase5 2 2 11 2" xfId="6772" xr:uid="{00000000-0005-0000-0000-00002F1C0000}"/>
    <cellStyle name="40% - Ênfase5 2 2 12" xfId="6773" xr:uid="{00000000-0005-0000-0000-0000301C0000}"/>
    <cellStyle name="40% - Ênfase5 2 2 12 2" xfId="6774" xr:uid="{00000000-0005-0000-0000-0000311C0000}"/>
    <cellStyle name="40% - Ênfase5 2 2 2" xfId="6775" xr:uid="{00000000-0005-0000-0000-0000321C0000}"/>
    <cellStyle name="40% - Ênfase5 2 2 2 10" xfId="6776" xr:uid="{00000000-0005-0000-0000-0000331C0000}"/>
    <cellStyle name="40% - Ênfase5 2 2 2 11" xfId="6777" xr:uid="{00000000-0005-0000-0000-0000341C0000}"/>
    <cellStyle name="40% - Ênfase5 2 2 2 2" xfId="6778" xr:uid="{00000000-0005-0000-0000-0000351C0000}"/>
    <cellStyle name="40% - Ênfase5 2 2 2 2 2" xfId="25610" xr:uid="{00000000-0005-0000-0000-0000361C0000}"/>
    <cellStyle name="40% - Ênfase5 2 2 2 2 2 2" xfId="26940" xr:uid="{00000000-0005-0000-0000-0000371C0000}"/>
    <cellStyle name="40% - Ênfase5 2 2 2 2 3" xfId="26939" xr:uid="{00000000-0005-0000-0000-0000381C0000}"/>
    <cellStyle name="40% - Ênfase5 2 2 2 2 4" xfId="25609" xr:uid="{00000000-0005-0000-0000-0000391C0000}"/>
    <cellStyle name="40% - Ênfase5 2 2 2 3" xfId="6779" xr:uid="{00000000-0005-0000-0000-00003A1C0000}"/>
    <cellStyle name="40% - Ênfase5 2 2 2 3 2" xfId="26941" xr:uid="{00000000-0005-0000-0000-00003B1C0000}"/>
    <cellStyle name="40% - Ênfase5 2 2 2 3 3" xfId="25611" xr:uid="{00000000-0005-0000-0000-00003C1C0000}"/>
    <cellStyle name="40% - Ênfase5 2 2 2 4" xfId="6780" xr:uid="{00000000-0005-0000-0000-00003D1C0000}"/>
    <cellStyle name="40% - Ênfase5 2 2 2 4 2" xfId="26938" xr:uid="{00000000-0005-0000-0000-00003E1C0000}"/>
    <cellStyle name="40% - Ênfase5 2 2 2 5" xfId="6781" xr:uid="{00000000-0005-0000-0000-00003F1C0000}"/>
    <cellStyle name="40% - Ênfase5 2 2 2 6" xfId="6782" xr:uid="{00000000-0005-0000-0000-0000401C0000}"/>
    <cellStyle name="40% - Ênfase5 2 2 2 7" xfId="6783" xr:uid="{00000000-0005-0000-0000-0000411C0000}"/>
    <cellStyle name="40% - Ênfase5 2 2 2 8" xfId="6784" xr:uid="{00000000-0005-0000-0000-0000421C0000}"/>
    <cellStyle name="40% - Ênfase5 2 2 2 9" xfId="6785" xr:uid="{00000000-0005-0000-0000-0000431C0000}"/>
    <cellStyle name="40% - Ênfase5 2 2 3" xfId="6786" xr:uid="{00000000-0005-0000-0000-0000441C0000}"/>
    <cellStyle name="40% - Ênfase5 2 2 3 2" xfId="25613" xr:uid="{00000000-0005-0000-0000-0000451C0000}"/>
    <cellStyle name="40% - Ênfase5 2 2 3 2 2" xfId="25614" xr:uid="{00000000-0005-0000-0000-0000461C0000}"/>
    <cellStyle name="40% - Ênfase5 2 2 3 2 2 2" xfId="26944" xr:uid="{00000000-0005-0000-0000-0000471C0000}"/>
    <cellStyle name="40% - Ênfase5 2 2 3 2 3" xfId="26943" xr:uid="{00000000-0005-0000-0000-0000481C0000}"/>
    <cellStyle name="40% - Ênfase5 2 2 3 3" xfId="25615" xr:uid="{00000000-0005-0000-0000-0000491C0000}"/>
    <cellStyle name="40% - Ênfase5 2 2 3 3 2" xfId="26945" xr:uid="{00000000-0005-0000-0000-00004A1C0000}"/>
    <cellStyle name="40% - Ênfase5 2 2 3 4" xfId="26942" xr:uid="{00000000-0005-0000-0000-00004B1C0000}"/>
    <cellStyle name="40% - Ênfase5 2 2 3 5" xfId="25612" xr:uid="{00000000-0005-0000-0000-00004C1C0000}"/>
    <cellStyle name="40% - Ênfase5 2 2 4" xfId="6787" xr:uid="{00000000-0005-0000-0000-00004D1C0000}"/>
    <cellStyle name="40% - Ênfase5 2 2 4 2" xfId="26946" xr:uid="{00000000-0005-0000-0000-00004E1C0000}"/>
    <cellStyle name="40% - Ênfase5 2 2 5" xfId="6788" xr:uid="{00000000-0005-0000-0000-00004F1C0000}"/>
    <cellStyle name="40% - Ênfase5 2 2 5 2" xfId="6789" xr:uid="{00000000-0005-0000-0000-0000501C0000}"/>
    <cellStyle name="40% - Ênfase5 2 2 5 3" xfId="26937" xr:uid="{00000000-0005-0000-0000-0000511C0000}"/>
    <cellStyle name="40% - Ênfase5 2 2 6" xfId="6790" xr:uid="{00000000-0005-0000-0000-0000521C0000}"/>
    <cellStyle name="40% - Ênfase5 2 2 6 2" xfId="6791" xr:uid="{00000000-0005-0000-0000-0000531C0000}"/>
    <cellStyle name="40% - Ênfase5 2 2 7" xfId="6792" xr:uid="{00000000-0005-0000-0000-0000541C0000}"/>
    <cellStyle name="40% - Ênfase5 2 2 7 2" xfId="6793" xr:uid="{00000000-0005-0000-0000-0000551C0000}"/>
    <cellStyle name="40% - Ênfase5 2 2 8" xfId="6794" xr:uid="{00000000-0005-0000-0000-0000561C0000}"/>
    <cellStyle name="40% - Ênfase5 2 2 8 2" xfId="6795" xr:uid="{00000000-0005-0000-0000-0000571C0000}"/>
    <cellStyle name="40% - Ênfase5 2 2 9" xfId="6796" xr:uid="{00000000-0005-0000-0000-0000581C0000}"/>
    <cellStyle name="40% - Ênfase5 2 2 9 2" xfId="6797" xr:uid="{00000000-0005-0000-0000-0000591C0000}"/>
    <cellStyle name="40% - Ênfase5 2 3" xfId="6798" xr:uid="{00000000-0005-0000-0000-00005A1C0000}"/>
    <cellStyle name="40% - Ênfase5 2 3 2" xfId="25617" xr:uid="{00000000-0005-0000-0000-00005B1C0000}"/>
    <cellStyle name="40% - Ênfase5 2 3 2 2" xfId="25618" xr:uid="{00000000-0005-0000-0000-00005C1C0000}"/>
    <cellStyle name="40% - Ênfase5 2 3 2 2 2" xfId="26949" xr:uid="{00000000-0005-0000-0000-00005D1C0000}"/>
    <cellStyle name="40% - Ênfase5 2 3 2 3" xfId="26948" xr:uid="{00000000-0005-0000-0000-00005E1C0000}"/>
    <cellStyle name="40% - Ênfase5 2 3 3" xfId="25619" xr:uid="{00000000-0005-0000-0000-00005F1C0000}"/>
    <cellStyle name="40% - Ênfase5 2 3 3 2" xfId="26950" xr:uid="{00000000-0005-0000-0000-0000601C0000}"/>
    <cellStyle name="40% - Ênfase5 2 3 4" xfId="26947" xr:uid="{00000000-0005-0000-0000-0000611C0000}"/>
    <cellStyle name="40% - Ênfase5 2 3 5" xfId="25616" xr:uid="{00000000-0005-0000-0000-0000621C0000}"/>
    <cellStyle name="40% - Ênfase5 2 4" xfId="6799" xr:uid="{00000000-0005-0000-0000-0000631C0000}"/>
    <cellStyle name="40% - Ênfase5 2 4 2" xfId="25621" xr:uid="{00000000-0005-0000-0000-0000641C0000}"/>
    <cellStyle name="40% - Ênfase5 2 4 2 2" xfId="25622" xr:uid="{00000000-0005-0000-0000-0000651C0000}"/>
    <cellStyle name="40% - Ênfase5 2 4 2 2 2" xfId="26953" xr:uid="{00000000-0005-0000-0000-0000661C0000}"/>
    <cellStyle name="40% - Ênfase5 2 4 2 3" xfId="26952" xr:uid="{00000000-0005-0000-0000-0000671C0000}"/>
    <cellStyle name="40% - Ênfase5 2 4 3" xfId="25623" xr:uid="{00000000-0005-0000-0000-0000681C0000}"/>
    <cellStyle name="40% - Ênfase5 2 4 3 2" xfId="26954" xr:uid="{00000000-0005-0000-0000-0000691C0000}"/>
    <cellStyle name="40% - Ênfase5 2 4 4" xfId="26951" xr:uid="{00000000-0005-0000-0000-00006A1C0000}"/>
    <cellStyle name="40% - Ênfase5 2 4 5" xfId="25620" xr:uid="{00000000-0005-0000-0000-00006B1C0000}"/>
    <cellStyle name="40% - Ênfase5 2 5" xfId="6800" xr:uid="{00000000-0005-0000-0000-00006C1C0000}"/>
    <cellStyle name="40% - Ênfase5 2 5 10" xfId="6801" xr:uid="{00000000-0005-0000-0000-00006D1C0000}"/>
    <cellStyle name="40% - Ênfase5 2 5 10 2" xfId="6802" xr:uid="{00000000-0005-0000-0000-00006E1C0000}"/>
    <cellStyle name="40% - Ênfase5 2 5 2" xfId="6803" xr:uid="{00000000-0005-0000-0000-00006F1C0000}"/>
    <cellStyle name="40% - Ênfase5 2 5 2 2" xfId="6804" xr:uid="{00000000-0005-0000-0000-0000701C0000}"/>
    <cellStyle name="40% - Ênfase5 2 5 3" xfId="6805" xr:uid="{00000000-0005-0000-0000-0000711C0000}"/>
    <cellStyle name="40% - Ênfase5 2 5 3 2" xfId="6806" xr:uid="{00000000-0005-0000-0000-0000721C0000}"/>
    <cellStyle name="40% - Ênfase5 2 5 4" xfId="6807" xr:uid="{00000000-0005-0000-0000-0000731C0000}"/>
    <cellStyle name="40% - Ênfase5 2 5 4 2" xfId="6808" xr:uid="{00000000-0005-0000-0000-0000741C0000}"/>
    <cellStyle name="40% - Ênfase5 2 5 5" xfId="6809" xr:uid="{00000000-0005-0000-0000-0000751C0000}"/>
    <cellStyle name="40% - Ênfase5 2 5 5 2" xfId="6810" xr:uid="{00000000-0005-0000-0000-0000761C0000}"/>
    <cellStyle name="40% - Ênfase5 2 5 6" xfId="6811" xr:uid="{00000000-0005-0000-0000-0000771C0000}"/>
    <cellStyle name="40% - Ênfase5 2 5 6 2" xfId="6812" xr:uid="{00000000-0005-0000-0000-0000781C0000}"/>
    <cellStyle name="40% - Ênfase5 2 5 7" xfId="6813" xr:uid="{00000000-0005-0000-0000-0000791C0000}"/>
    <cellStyle name="40% - Ênfase5 2 5 7 2" xfId="6814" xr:uid="{00000000-0005-0000-0000-00007A1C0000}"/>
    <cellStyle name="40% - Ênfase5 2 5 8" xfId="6815" xr:uid="{00000000-0005-0000-0000-00007B1C0000}"/>
    <cellStyle name="40% - Ênfase5 2 5 8 2" xfId="6816" xr:uid="{00000000-0005-0000-0000-00007C1C0000}"/>
    <cellStyle name="40% - Ênfase5 2 5 9" xfId="6817" xr:uid="{00000000-0005-0000-0000-00007D1C0000}"/>
    <cellStyle name="40% - Ênfase5 2 5 9 2" xfId="6818" xr:uid="{00000000-0005-0000-0000-00007E1C0000}"/>
    <cellStyle name="40% - Ênfase5 2 6" xfId="6819" xr:uid="{00000000-0005-0000-0000-00007F1C0000}"/>
    <cellStyle name="40% - Ênfase5 2 6 2" xfId="6820" xr:uid="{00000000-0005-0000-0000-0000801C0000}"/>
    <cellStyle name="40% - Ênfase5 2 6 2 2" xfId="6821" xr:uid="{00000000-0005-0000-0000-0000811C0000}"/>
    <cellStyle name="40% - Ênfase5 2 6 3" xfId="6822" xr:uid="{00000000-0005-0000-0000-0000821C0000}"/>
    <cellStyle name="40% - Ênfase5 2 6 3 2" xfId="6823" xr:uid="{00000000-0005-0000-0000-0000831C0000}"/>
    <cellStyle name="40% - Ênfase5 2 6 4" xfId="6824" xr:uid="{00000000-0005-0000-0000-0000841C0000}"/>
    <cellStyle name="40% - Ênfase5 2 6 4 2" xfId="6825" xr:uid="{00000000-0005-0000-0000-0000851C0000}"/>
    <cellStyle name="40% - Ênfase5 2 6 5" xfId="6826" xr:uid="{00000000-0005-0000-0000-0000861C0000}"/>
    <cellStyle name="40% - Ênfase5 2 6 5 2" xfId="6827" xr:uid="{00000000-0005-0000-0000-0000871C0000}"/>
    <cellStyle name="40% - Ênfase5 2 6 6" xfId="6828" xr:uid="{00000000-0005-0000-0000-0000881C0000}"/>
    <cellStyle name="40% - Ênfase5 2 7" xfId="26936" xr:uid="{00000000-0005-0000-0000-0000891C0000}"/>
    <cellStyle name="40% - Ênfase5 20" xfId="6829" xr:uid="{00000000-0005-0000-0000-00008A1C0000}"/>
    <cellStyle name="40% - Ênfase5 20 2" xfId="6830" xr:uid="{00000000-0005-0000-0000-00008B1C0000}"/>
    <cellStyle name="40% - Ênfase5 21" xfId="6831" xr:uid="{00000000-0005-0000-0000-00008C1C0000}"/>
    <cellStyle name="40% - Ênfase5 21 2" xfId="6832" xr:uid="{00000000-0005-0000-0000-00008D1C0000}"/>
    <cellStyle name="40% - Ênfase5 22" xfId="6833" xr:uid="{00000000-0005-0000-0000-00008E1C0000}"/>
    <cellStyle name="40% - Ênfase5 22 2" xfId="6834" xr:uid="{00000000-0005-0000-0000-00008F1C0000}"/>
    <cellStyle name="40% - Ênfase5 23" xfId="6835" xr:uid="{00000000-0005-0000-0000-0000901C0000}"/>
    <cellStyle name="40% - Ênfase5 23 2" xfId="6836" xr:uid="{00000000-0005-0000-0000-0000911C0000}"/>
    <cellStyle name="40% - Ênfase5 24" xfId="6837" xr:uid="{00000000-0005-0000-0000-0000921C0000}"/>
    <cellStyle name="40% - Ênfase5 24 2" xfId="6838" xr:uid="{00000000-0005-0000-0000-0000931C0000}"/>
    <cellStyle name="40% - Ênfase5 25" xfId="6839" xr:uid="{00000000-0005-0000-0000-0000941C0000}"/>
    <cellStyle name="40% - Ênfase5 25 2" xfId="6840" xr:uid="{00000000-0005-0000-0000-0000951C0000}"/>
    <cellStyle name="40% - Ênfase5 26" xfId="6841" xr:uid="{00000000-0005-0000-0000-0000961C0000}"/>
    <cellStyle name="40% - Ênfase5 26 2" xfId="6842" xr:uid="{00000000-0005-0000-0000-0000971C0000}"/>
    <cellStyle name="40% - Ênfase5 27" xfId="6843" xr:uid="{00000000-0005-0000-0000-0000981C0000}"/>
    <cellStyle name="40% - Ênfase5 27 2" xfId="6844" xr:uid="{00000000-0005-0000-0000-0000991C0000}"/>
    <cellStyle name="40% - Ênfase5 28" xfId="6845" xr:uid="{00000000-0005-0000-0000-00009A1C0000}"/>
    <cellStyle name="40% - Ênfase5 28 2" xfId="6846" xr:uid="{00000000-0005-0000-0000-00009B1C0000}"/>
    <cellStyle name="40% - Ênfase5 29" xfId="6847" xr:uid="{00000000-0005-0000-0000-00009C1C0000}"/>
    <cellStyle name="40% - Ênfase5 29 2" xfId="6848" xr:uid="{00000000-0005-0000-0000-00009D1C0000}"/>
    <cellStyle name="40% - Ênfase5 3" xfId="6849" xr:uid="{00000000-0005-0000-0000-00009E1C0000}"/>
    <cellStyle name="40% - Ênfase5 3 2" xfId="6850" xr:uid="{00000000-0005-0000-0000-00009F1C0000}"/>
    <cellStyle name="40% - Ênfase5 3 2 10" xfId="6851" xr:uid="{00000000-0005-0000-0000-0000A01C0000}"/>
    <cellStyle name="40% - Ênfase5 3 2 10 2" xfId="6852" xr:uid="{00000000-0005-0000-0000-0000A11C0000}"/>
    <cellStyle name="40% - Ênfase5 3 2 11" xfId="6853" xr:uid="{00000000-0005-0000-0000-0000A21C0000}"/>
    <cellStyle name="40% - Ênfase5 3 2 11 2" xfId="6854" xr:uid="{00000000-0005-0000-0000-0000A31C0000}"/>
    <cellStyle name="40% - Ênfase5 3 2 12" xfId="6855" xr:uid="{00000000-0005-0000-0000-0000A41C0000}"/>
    <cellStyle name="40% - Ênfase5 3 2 12 2" xfId="6856" xr:uid="{00000000-0005-0000-0000-0000A51C0000}"/>
    <cellStyle name="40% - Ênfase5 3 2 2" xfId="6857" xr:uid="{00000000-0005-0000-0000-0000A61C0000}"/>
    <cellStyle name="40% - Ênfase5 3 2 2 10" xfId="6858" xr:uid="{00000000-0005-0000-0000-0000A71C0000}"/>
    <cellStyle name="40% - Ênfase5 3 2 2 11" xfId="6859" xr:uid="{00000000-0005-0000-0000-0000A81C0000}"/>
    <cellStyle name="40% - Ênfase5 3 2 2 2" xfId="6860" xr:uid="{00000000-0005-0000-0000-0000A91C0000}"/>
    <cellStyle name="40% - Ênfase5 3 2 2 2 2" xfId="25625" xr:uid="{00000000-0005-0000-0000-0000AA1C0000}"/>
    <cellStyle name="40% - Ênfase5 3 2 2 2 2 2" xfId="26958" xr:uid="{00000000-0005-0000-0000-0000AB1C0000}"/>
    <cellStyle name="40% - Ênfase5 3 2 2 2 3" xfId="26957" xr:uid="{00000000-0005-0000-0000-0000AC1C0000}"/>
    <cellStyle name="40% - Ênfase5 3 2 2 2 4" xfId="25624" xr:uid="{00000000-0005-0000-0000-0000AD1C0000}"/>
    <cellStyle name="40% - Ênfase5 3 2 2 3" xfId="6861" xr:uid="{00000000-0005-0000-0000-0000AE1C0000}"/>
    <cellStyle name="40% - Ênfase5 3 2 2 3 2" xfId="26959" xr:uid="{00000000-0005-0000-0000-0000AF1C0000}"/>
    <cellStyle name="40% - Ênfase5 3 2 2 3 3" xfId="25626" xr:uid="{00000000-0005-0000-0000-0000B01C0000}"/>
    <cellStyle name="40% - Ênfase5 3 2 2 4" xfId="6862" xr:uid="{00000000-0005-0000-0000-0000B11C0000}"/>
    <cellStyle name="40% - Ênfase5 3 2 2 4 2" xfId="26956" xr:uid="{00000000-0005-0000-0000-0000B21C0000}"/>
    <cellStyle name="40% - Ênfase5 3 2 2 5" xfId="6863" xr:uid="{00000000-0005-0000-0000-0000B31C0000}"/>
    <cellStyle name="40% - Ênfase5 3 2 2 6" xfId="6864" xr:uid="{00000000-0005-0000-0000-0000B41C0000}"/>
    <cellStyle name="40% - Ênfase5 3 2 2 7" xfId="6865" xr:uid="{00000000-0005-0000-0000-0000B51C0000}"/>
    <cellStyle name="40% - Ênfase5 3 2 2 8" xfId="6866" xr:uid="{00000000-0005-0000-0000-0000B61C0000}"/>
    <cellStyle name="40% - Ênfase5 3 2 2 9" xfId="6867" xr:uid="{00000000-0005-0000-0000-0000B71C0000}"/>
    <cellStyle name="40% - Ênfase5 3 2 3" xfId="6868" xr:uid="{00000000-0005-0000-0000-0000B81C0000}"/>
    <cellStyle name="40% - Ênfase5 3 2 3 2" xfId="25628" xr:uid="{00000000-0005-0000-0000-0000B91C0000}"/>
    <cellStyle name="40% - Ênfase5 3 2 3 2 2" xfId="26961" xr:uid="{00000000-0005-0000-0000-0000BA1C0000}"/>
    <cellStyle name="40% - Ênfase5 3 2 3 3" xfId="26960" xr:uid="{00000000-0005-0000-0000-0000BB1C0000}"/>
    <cellStyle name="40% - Ênfase5 3 2 3 4" xfId="25627" xr:uid="{00000000-0005-0000-0000-0000BC1C0000}"/>
    <cellStyle name="40% - Ênfase5 3 2 4" xfId="6869" xr:uid="{00000000-0005-0000-0000-0000BD1C0000}"/>
    <cellStyle name="40% - Ênfase5 3 2 4 2" xfId="26962" xr:uid="{00000000-0005-0000-0000-0000BE1C0000}"/>
    <cellStyle name="40% - Ênfase5 3 2 4 3" xfId="25629" xr:uid="{00000000-0005-0000-0000-0000BF1C0000}"/>
    <cellStyle name="40% - Ênfase5 3 2 5" xfId="6870" xr:uid="{00000000-0005-0000-0000-0000C01C0000}"/>
    <cellStyle name="40% - Ênfase5 3 2 5 2" xfId="6871" xr:uid="{00000000-0005-0000-0000-0000C11C0000}"/>
    <cellStyle name="40% - Ênfase5 3 2 6" xfId="6872" xr:uid="{00000000-0005-0000-0000-0000C21C0000}"/>
    <cellStyle name="40% - Ênfase5 3 2 6 2" xfId="6873" xr:uid="{00000000-0005-0000-0000-0000C31C0000}"/>
    <cellStyle name="40% - Ênfase5 3 2 7" xfId="6874" xr:uid="{00000000-0005-0000-0000-0000C41C0000}"/>
    <cellStyle name="40% - Ênfase5 3 2 7 2" xfId="6875" xr:uid="{00000000-0005-0000-0000-0000C51C0000}"/>
    <cellStyle name="40% - Ênfase5 3 2 8" xfId="6876" xr:uid="{00000000-0005-0000-0000-0000C61C0000}"/>
    <cellStyle name="40% - Ênfase5 3 2 8 2" xfId="6877" xr:uid="{00000000-0005-0000-0000-0000C71C0000}"/>
    <cellStyle name="40% - Ênfase5 3 2 9" xfId="6878" xr:uid="{00000000-0005-0000-0000-0000C81C0000}"/>
    <cellStyle name="40% - Ênfase5 3 2 9 2" xfId="6879" xr:uid="{00000000-0005-0000-0000-0000C91C0000}"/>
    <cellStyle name="40% - Ênfase5 3 3" xfId="6880" xr:uid="{00000000-0005-0000-0000-0000CA1C0000}"/>
    <cellStyle name="40% - Ênfase5 3 3 2" xfId="25631" xr:uid="{00000000-0005-0000-0000-0000CB1C0000}"/>
    <cellStyle name="40% - Ênfase5 3 3 2 2" xfId="25632" xr:uid="{00000000-0005-0000-0000-0000CC1C0000}"/>
    <cellStyle name="40% - Ênfase5 3 3 2 2 2" xfId="26965" xr:uid="{00000000-0005-0000-0000-0000CD1C0000}"/>
    <cellStyle name="40% - Ênfase5 3 3 2 3" xfId="26964" xr:uid="{00000000-0005-0000-0000-0000CE1C0000}"/>
    <cellStyle name="40% - Ênfase5 3 3 3" xfId="25633" xr:uid="{00000000-0005-0000-0000-0000CF1C0000}"/>
    <cellStyle name="40% - Ênfase5 3 3 3 2" xfId="26966" xr:uid="{00000000-0005-0000-0000-0000D01C0000}"/>
    <cellStyle name="40% - Ênfase5 3 3 4" xfId="26963" xr:uid="{00000000-0005-0000-0000-0000D11C0000}"/>
    <cellStyle name="40% - Ênfase5 3 3 5" xfId="25630" xr:uid="{00000000-0005-0000-0000-0000D21C0000}"/>
    <cellStyle name="40% - Ênfase5 3 4" xfId="6881" xr:uid="{00000000-0005-0000-0000-0000D31C0000}"/>
    <cellStyle name="40% - Ênfase5 3 4 2" xfId="26967" xr:uid="{00000000-0005-0000-0000-0000D41C0000}"/>
    <cellStyle name="40% - Ênfase5 3 5" xfId="6882" xr:uid="{00000000-0005-0000-0000-0000D51C0000}"/>
    <cellStyle name="40% - Ênfase5 3 5 10" xfId="6883" xr:uid="{00000000-0005-0000-0000-0000D61C0000}"/>
    <cellStyle name="40% - Ênfase5 3 5 10 2" xfId="6884" xr:uid="{00000000-0005-0000-0000-0000D71C0000}"/>
    <cellStyle name="40% - Ênfase5 3 5 2" xfId="6885" xr:uid="{00000000-0005-0000-0000-0000D81C0000}"/>
    <cellStyle name="40% - Ênfase5 3 5 2 2" xfId="6886" xr:uid="{00000000-0005-0000-0000-0000D91C0000}"/>
    <cellStyle name="40% - Ênfase5 3 5 3" xfId="6887" xr:uid="{00000000-0005-0000-0000-0000DA1C0000}"/>
    <cellStyle name="40% - Ênfase5 3 5 3 2" xfId="6888" xr:uid="{00000000-0005-0000-0000-0000DB1C0000}"/>
    <cellStyle name="40% - Ênfase5 3 5 4" xfId="6889" xr:uid="{00000000-0005-0000-0000-0000DC1C0000}"/>
    <cellStyle name="40% - Ênfase5 3 5 4 2" xfId="6890" xr:uid="{00000000-0005-0000-0000-0000DD1C0000}"/>
    <cellStyle name="40% - Ênfase5 3 5 5" xfId="6891" xr:uid="{00000000-0005-0000-0000-0000DE1C0000}"/>
    <cellStyle name="40% - Ênfase5 3 5 5 2" xfId="6892" xr:uid="{00000000-0005-0000-0000-0000DF1C0000}"/>
    <cellStyle name="40% - Ênfase5 3 5 6" xfId="6893" xr:uid="{00000000-0005-0000-0000-0000E01C0000}"/>
    <cellStyle name="40% - Ênfase5 3 5 6 2" xfId="6894" xr:uid="{00000000-0005-0000-0000-0000E11C0000}"/>
    <cellStyle name="40% - Ênfase5 3 5 7" xfId="6895" xr:uid="{00000000-0005-0000-0000-0000E21C0000}"/>
    <cellStyle name="40% - Ênfase5 3 5 7 2" xfId="6896" xr:uid="{00000000-0005-0000-0000-0000E31C0000}"/>
    <cellStyle name="40% - Ênfase5 3 5 8" xfId="6897" xr:uid="{00000000-0005-0000-0000-0000E41C0000}"/>
    <cellStyle name="40% - Ênfase5 3 5 8 2" xfId="6898" xr:uid="{00000000-0005-0000-0000-0000E51C0000}"/>
    <cellStyle name="40% - Ênfase5 3 5 9" xfId="6899" xr:uid="{00000000-0005-0000-0000-0000E61C0000}"/>
    <cellStyle name="40% - Ênfase5 3 5 9 2" xfId="6900" xr:uid="{00000000-0005-0000-0000-0000E71C0000}"/>
    <cellStyle name="40% - Ênfase5 3 6" xfId="6901" xr:uid="{00000000-0005-0000-0000-0000E81C0000}"/>
    <cellStyle name="40% - Ênfase5 3 6 2" xfId="6902" xr:uid="{00000000-0005-0000-0000-0000E91C0000}"/>
    <cellStyle name="40% - Ênfase5 3 6 2 2" xfId="6903" xr:uid="{00000000-0005-0000-0000-0000EA1C0000}"/>
    <cellStyle name="40% - Ênfase5 3 6 3" xfId="6904" xr:uid="{00000000-0005-0000-0000-0000EB1C0000}"/>
    <cellStyle name="40% - Ênfase5 3 6 3 2" xfId="6905" xr:uid="{00000000-0005-0000-0000-0000EC1C0000}"/>
    <cellStyle name="40% - Ênfase5 3 6 4" xfId="6906" xr:uid="{00000000-0005-0000-0000-0000ED1C0000}"/>
    <cellStyle name="40% - Ênfase5 3 6 4 2" xfId="6907" xr:uid="{00000000-0005-0000-0000-0000EE1C0000}"/>
    <cellStyle name="40% - Ênfase5 3 6 5" xfId="6908" xr:uid="{00000000-0005-0000-0000-0000EF1C0000}"/>
    <cellStyle name="40% - Ênfase5 3 6 5 2" xfId="6909" xr:uid="{00000000-0005-0000-0000-0000F01C0000}"/>
    <cellStyle name="40% - Ênfase5 3 6 6" xfId="6910" xr:uid="{00000000-0005-0000-0000-0000F11C0000}"/>
    <cellStyle name="40% - Ênfase5 3 7" xfId="25634" xr:uid="{00000000-0005-0000-0000-0000F21C0000}"/>
    <cellStyle name="40% - Ênfase5 3 7 2" xfId="26968" xr:uid="{00000000-0005-0000-0000-0000F31C0000}"/>
    <cellStyle name="40% - Ênfase5 3 8" xfId="26955" xr:uid="{00000000-0005-0000-0000-0000F41C0000}"/>
    <cellStyle name="40% - Ênfase5 30" xfId="6911" xr:uid="{00000000-0005-0000-0000-0000F51C0000}"/>
    <cellStyle name="40% - Ênfase5 30 2" xfId="6912" xr:uid="{00000000-0005-0000-0000-0000F61C0000}"/>
    <cellStyle name="40% - Ênfase5 31" xfId="6913" xr:uid="{00000000-0005-0000-0000-0000F71C0000}"/>
    <cellStyle name="40% - Ênfase5 31 2" xfId="6914" xr:uid="{00000000-0005-0000-0000-0000F81C0000}"/>
    <cellStyle name="40% - Ênfase5 32" xfId="6915" xr:uid="{00000000-0005-0000-0000-0000F91C0000}"/>
    <cellStyle name="40% - Ênfase5 32 2" xfId="6916" xr:uid="{00000000-0005-0000-0000-0000FA1C0000}"/>
    <cellStyle name="40% - Ênfase5 33" xfId="6917" xr:uid="{00000000-0005-0000-0000-0000FB1C0000}"/>
    <cellStyle name="40% - Ênfase5 33 2" xfId="6918" xr:uid="{00000000-0005-0000-0000-0000FC1C0000}"/>
    <cellStyle name="40% - Ênfase5 34" xfId="6919" xr:uid="{00000000-0005-0000-0000-0000FD1C0000}"/>
    <cellStyle name="40% - Ênfase5 34 2" xfId="6920" xr:uid="{00000000-0005-0000-0000-0000FE1C0000}"/>
    <cellStyle name="40% - Ênfase5 35" xfId="6921" xr:uid="{00000000-0005-0000-0000-0000FF1C0000}"/>
    <cellStyle name="40% - Ênfase5 35 2" xfId="6922" xr:uid="{00000000-0005-0000-0000-0000001D0000}"/>
    <cellStyle name="40% - Ênfase5 36" xfId="6923" xr:uid="{00000000-0005-0000-0000-0000011D0000}"/>
    <cellStyle name="40% - Ênfase5 36 2" xfId="6924" xr:uid="{00000000-0005-0000-0000-0000021D0000}"/>
    <cellStyle name="40% - Ênfase5 37" xfId="6925" xr:uid="{00000000-0005-0000-0000-0000031D0000}"/>
    <cellStyle name="40% - Ênfase5 37 2" xfId="6926" xr:uid="{00000000-0005-0000-0000-0000041D0000}"/>
    <cellStyle name="40% - Ênfase5 38" xfId="6927" xr:uid="{00000000-0005-0000-0000-0000051D0000}"/>
    <cellStyle name="40% - Ênfase5 38 2" xfId="6928" xr:uid="{00000000-0005-0000-0000-0000061D0000}"/>
    <cellStyle name="40% - Ênfase5 39" xfId="6929" xr:uid="{00000000-0005-0000-0000-0000071D0000}"/>
    <cellStyle name="40% - Ênfase5 39 2" xfId="6930" xr:uid="{00000000-0005-0000-0000-0000081D0000}"/>
    <cellStyle name="40% - Ênfase5 4" xfId="6931" xr:uid="{00000000-0005-0000-0000-0000091D0000}"/>
    <cellStyle name="40% - Ênfase5 4 2" xfId="6932" xr:uid="{00000000-0005-0000-0000-00000A1D0000}"/>
    <cellStyle name="40% - Ênfase5 4 2 10" xfId="6933" xr:uid="{00000000-0005-0000-0000-00000B1D0000}"/>
    <cellStyle name="40% - Ênfase5 4 2 10 2" xfId="6934" xr:uid="{00000000-0005-0000-0000-00000C1D0000}"/>
    <cellStyle name="40% - Ênfase5 4 2 11" xfId="6935" xr:uid="{00000000-0005-0000-0000-00000D1D0000}"/>
    <cellStyle name="40% - Ênfase5 4 2 11 2" xfId="6936" xr:uid="{00000000-0005-0000-0000-00000E1D0000}"/>
    <cellStyle name="40% - Ênfase5 4 2 12" xfId="6937" xr:uid="{00000000-0005-0000-0000-00000F1D0000}"/>
    <cellStyle name="40% - Ênfase5 4 2 12 2" xfId="6938" xr:uid="{00000000-0005-0000-0000-0000101D0000}"/>
    <cellStyle name="40% - Ênfase5 4 2 2" xfId="6939" xr:uid="{00000000-0005-0000-0000-0000111D0000}"/>
    <cellStyle name="40% - Ênfase5 4 2 2 10" xfId="6940" xr:uid="{00000000-0005-0000-0000-0000121D0000}"/>
    <cellStyle name="40% - Ênfase5 4 2 2 11" xfId="6941" xr:uid="{00000000-0005-0000-0000-0000131D0000}"/>
    <cellStyle name="40% - Ênfase5 4 2 2 2" xfId="6942" xr:uid="{00000000-0005-0000-0000-0000141D0000}"/>
    <cellStyle name="40% - Ênfase5 4 2 2 2 2" xfId="25636" xr:uid="{00000000-0005-0000-0000-0000151D0000}"/>
    <cellStyle name="40% - Ênfase5 4 2 2 2 2 2" xfId="26972" xr:uid="{00000000-0005-0000-0000-0000161D0000}"/>
    <cellStyle name="40% - Ênfase5 4 2 2 2 3" xfId="26971" xr:uid="{00000000-0005-0000-0000-0000171D0000}"/>
    <cellStyle name="40% - Ênfase5 4 2 2 2 4" xfId="25635" xr:uid="{00000000-0005-0000-0000-0000181D0000}"/>
    <cellStyle name="40% - Ênfase5 4 2 2 3" xfId="6943" xr:uid="{00000000-0005-0000-0000-0000191D0000}"/>
    <cellStyle name="40% - Ênfase5 4 2 2 3 2" xfId="26973" xr:uid="{00000000-0005-0000-0000-00001A1D0000}"/>
    <cellStyle name="40% - Ênfase5 4 2 2 3 3" xfId="25637" xr:uid="{00000000-0005-0000-0000-00001B1D0000}"/>
    <cellStyle name="40% - Ênfase5 4 2 2 4" xfId="6944" xr:uid="{00000000-0005-0000-0000-00001C1D0000}"/>
    <cellStyle name="40% - Ênfase5 4 2 2 4 2" xfId="26970" xr:uid="{00000000-0005-0000-0000-00001D1D0000}"/>
    <cellStyle name="40% - Ênfase5 4 2 2 5" xfId="6945" xr:uid="{00000000-0005-0000-0000-00001E1D0000}"/>
    <cellStyle name="40% - Ênfase5 4 2 2 6" xfId="6946" xr:uid="{00000000-0005-0000-0000-00001F1D0000}"/>
    <cellStyle name="40% - Ênfase5 4 2 2 7" xfId="6947" xr:uid="{00000000-0005-0000-0000-0000201D0000}"/>
    <cellStyle name="40% - Ênfase5 4 2 2 8" xfId="6948" xr:uid="{00000000-0005-0000-0000-0000211D0000}"/>
    <cellStyle name="40% - Ênfase5 4 2 2 9" xfId="6949" xr:uid="{00000000-0005-0000-0000-0000221D0000}"/>
    <cellStyle name="40% - Ênfase5 4 2 3" xfId="6950" xr:uid="{00000000-0005-0000-0000-0000231D0000}"/>
    <cellStyle name="40% - Ênfase5 4 2 3 2" xfId="25639" xr:uid="{00000000-0005-0000-0000-0000241D0000}"/>
    <cellStyle name="40% - Ênfase5 4 2 3 2 2" xfId="26975" xr:uid="{00000000-0005-0000-0000-0000251D0000}"/>
    <cellStyle name="40% - Ênfase5 4 2 3 3" xfId="26974" xr:uid="{00000000-0005-0000-0000-0000261D0000}"/>
    <cellStyle name="40% - Ênfase5 4 2 3 4" xfId="25638" xr:uid="{00000000-0005-0000-0000-0000271D0000}"/>
    <cellStyle name="40% - Ênfase5 4 2 4" xfId="6951" xr:uid="{00000000-0005-0000-0000-0000281D0000}"/>
    <cellStyle name="40% - Ênfase5 4 2 4 2" xfId="26976" xr:uid="{00000000-0005-0000-0000-0000291D0000}"/>
    <cellStyle name="40% - Ênfase5 4 2 4 3" xfId="25640" xr:uid="{00000000-0005-0000-0000-00002A1D0000}"/>
    <cellStyle name="40% - Ênfase5 4 2 5" xfId="6952" xr:uid="{00000000-0005-0000-0000-00002B1D0000}"/>
    <cellStyle name="40% - Ênfase5 4 2 5 2" xfId="6953" xr:uid="{00000000-0005-0000-0000-00002C1D0000}"/>
    <cellStyle name="40% - Ênfase5 4 2 6" xfId="6954" xr:uid="{00000000-0005-0000-0000-00002D1D0000}"/>
    <cellStyle name="40% - Ênfase5 4 2 6 2" xfId="6955" xr:uid="{00000000-0005-0000-0000-00002E1D0000}"/>
    <cellStyle name="40% - Ênfase5 4 2 7" xfId="6956" xr:uid="{00000000-0005-0000-0000-00002F1D0000}"/>
    <cellStyle name="40% - Ênfase5 4 2 7 2" xfId="6957" xr:uid="{00000000-0005-0000-0000-0000301D0000}"/>
    <cellStyle name="40% - Ênfase5 4 2 8" xfId="6958" xr:uid="{00000000-0005-0000-0000-0000311D0000}"/>
    <cellStyle name="40% - Ênfase5 4 2 8 2" xfId="6959" xr:uid="{00000000-0005-0000-0000-0000321D0000}"/>
    <cellStyle name="40% - Ênfase5 4 2 9" xfId="6960" xr:uid="{00000000-0005-0000-0000-0000331D0000}"/>
    <cellStyle name="40% - Ênfase5 4 2 9 2" xfId="6961" xr:uid="{00000000-0005-0000-0000-0000341D0000}"/>
    <cellStyle name="40% - Ênfase5 4 3" xfId="6962" xr:uid="{00000000-0005-0000-0000-0000351D0000}"/>
    <cellStyle name="40% - Ênfase5 4 3 2" xfId="25642" xr:uid="{00000000-0005-0000-0000-0000361D0000}"/>
    <cellStyle name="40% - Ênfase5 4 3 2 2" xfId="25643" xr:uid="{00000000-0005-0000-0000-0000371D0000}"/>
    <cellStyle name="40% - Ênfase5 4 3 2 2 2" xfId="26979" xr:uid="{00000000-0005-0000-0000-0000381D0000}"/>
    <cellStyle name="40% - Ênfase5 4 3 2 3" xfId="26978" xr:uid="{00000000-0005-0000-0000-0000391D0000}"/>
    <cellStyle name="40% - Ênfase5 4 3 3" xfId="25644" xr:uid="{00000000-0005-0000-0000-00003A1D0000}"/>
    <cellStyle name="40% - Ênfase5 4 3 3 2" xfId="26980" xr:uid="{00000000-0005-0000-0000-00003B1D0000}"/>
    <cellStyle name="40% - Ênfase5 4 3 4" xfId="26977" xr:uid="{00000000-0005-0000-0000-00003C1D0000}"/>
    <cellStyle name="40% - Ênfase5 4 3 5" xfId="25641" xr:uid="{00000000-0005-0000-0000-00003D1D0000}"/>
    <cellStyle name="40% - Ênfase5 4 4" xfId="6963" xr:uid="{00000000-0005-0000-0000-00003E1D0000}"/>
    <cellStyle name="40% - Ênfase5 4 4 2" xfId="26981" xr:uid="{00000000-0005-0000-0000-00003F1D0000}"/>
    <cellStyle name="40% - Ênfase5 4 5" xfId="6964" xr:uid="{00000000-0005-0000-0000-0000401D0000}"/>
    <cellStyle name="40% - Ênfase5 4 5 10" xfId="6965" xr:uid="{00000000-0005-0000-0000-0000411D0000}"/>
    <cellStyle name="40% - Ênfase5 4 5 10 2" xfId="6966" xr:uid="{00000000-0005-0000-0000-0000421D0000}"/>
    <cellStyle name="40% - Ênfase5 4 5 2" xfId="6967" xr:uid="{00000000-0005-0000-0000-0000431D0000}"/>
    <cellStyle name="40% - Ênfase5 4 5 2 2" xfId="6968" xr:uid="{00000000-0005-0000-0000-0000441D0000}"/>
    <cellStyle name="40% - Ênfase5 4 5 3" xfId="6969" xr:uid="{00000000-0005-0000-0000-0000451D0000}"/>
    <cellStyle name="40% - Ênfase5 4 5 3 2" xfId="6970" xr:uid="{00000000-0005-0000-0000-0000461D0000}"/>
    <cellStyle name="40% - Ênfase5 4 5 4" xfId="6971" xr:uid="{00000000-0005-0000-0000-0000471D0000}"/>
    <cellStyle name="40% - Ênfase5 4 5 4 2" xfId="6972" xr:uid="{00000000-0005-0000-0000-0000481D0000}"/>
    <cellStyle name="40% - Ênfase5 4 5 5" xfId="6973" xr:uid="{00000000-0005-0000-0000-0000491D0000}"/>
    <cellStyle name="40% - Ênfase5 4 5 5 2" xfId="6974" xr:uid="{00000000-0005-0000-0000-00004A1D0000}"/>
    <cellStyle name="40% - Ênfase5 4 5 6" xfId="6975" xr:uid="{00000000-0005-0000-0000-00004B1D0000}"/>
    <cellStyle name="40% - Ênfase5 4 5 6 2" xfId="6976" xr:uid="{00000000-0005-0000-0000-00004C1D0000}"/>
    <cellStyle name="40% - Ênfase5 4 5 7" xfId="6977" xr:uid="{00000000-0005-0000-0000-00004D1D0000}"/>
    <cellStyle name="40% - Ênfase5 4 5 7 2" xfId="6978" xr:uid="{00000000-0005-0000-0000-00004E1D0000}"/>
    <cellStyle name="40% - Ênfase5 4 5 8" xfId="6979" xr:uid="{00000000-0005-0000-0000-00004F1D0000}"/>
    <cellStyle name="40% - Ênfase5 4 5 8 2" xfId="6980" xr:uid="{00000000-0005-0000-0000-0000501D0000}"/>
    <cellStyle name="40% - Ênfase5 4 5 9" xfId="6981" xr:uid="{00000000-0005-0000-0000-0000511D0000}"/>
    <cellStyle name="40% - Ênfase5 4 5 9 2" xfId="6982" xr:uid="{00000000-0005-0000-0000-0000521D0000}"/>
    <cellStyle name="40% - Ênfase5 4 6" xfId="6983" xr:uid="{00000000-0005-0000-0000-0000531D0000}"/>
    <cellStyle name="40% - Ênfase5 4 6 2" xfId="6984" xr:uid="{00000000-0005-0000-0000-0000541D0000}"/>
    <cellStyle name="40% - Ênfase5 4 6 2 2" xfId="6985" xr:uid="{00000000-0005-0000-0000-0000551D0000}"/>
    <cellStyle name="40% - Ênfase5 4 6 3" xfId="6986" xr:uid="{00000000-0005-0000-0000-0000561D0000}"/>
    <cellStyle name="40% - Ênfase5 4 6 3 2" xfId="6987" xr:uid="{00000000-0005-0000-0000-0000571D0000}"/>
    <cellStyle name="40% - Ênfase5 4 6 4" xfId="6988" xr:uid="{00000000-0005-0000-0000-0000581D0000}"/>
    <cellStyle name="40% - Ênfase5 4 6 4 2" xfId="6989" xr:uid="{00000000-0005-0000-0000-0000591D0000}"/>
    <cellStyle name="40% - Ênfase5 4 6 5" xfId="6990" xr:uid="{00000000-0005-0000-0000-00005A1D0000}"/>
    <cellStyle name="40% - Ênfase5 4 6 5 2" xfId="6991" xr:uid="{00000000-0005-0000-0000-00005B1D0000}"/>
    <cellStyle name="40% - Ênfase5 4 6 6" xfId="6992" xr:uid="{00000000-0005-0000-0000-00005C1D0000}"/>
    <cellStyle name="40% - Ênfase5 4 7" xfId="26969" xr:uid="{00000000-0005-0000-0000-00005D1D0000}"/>
    <cellStyle name="40% - Ênfase5 40" xfId="6993" xr:uid="{00000000-0005-0000-0000-00005E1D0000}"/>
    <cellStyle name="40% - Ênfase5 40 2" xfId="6994" xr:uid="{00000000-0005-0000-0000-00005F1D0000}"/>
    <cellStyle name="40% - Ênfase5 41" xfId="6995" xr:uid="{00000000-0005-0000-0000-0000601D0000}"/>
    <cellStyle name="40% - Ênfase5 41 2" xfId="6996" xr:uid="{00000000-0005-0000-0000-0000611D0000}"/>
    <cellStyle name="40% - Ênfase5 42" xfId="6997" xr:uid="{00000000-0005-0000-0000-0000621D0000}"/>
    <cellStyle name="40% - Ênfase5 42 2" xfId="6998" xr:uid="{00000000-0005-0000-0000-0000631D0000}"/>
    <cellStyle name="40% - Ênfase5 43" xfId="6999" xr:uid="{00000000-0005-0000-0000-0000641D0000}"/>
    <cellStyle name="40% - Ênfase5 43 2" xfId="7000" xr:uid="{00000000-0005-0000-0000-0000651D0000}"/>
    <cellStyle name="40% - Ênfase5 44" xfId="7001" xr:uid="{00000000-0005-0000-0000-0000661D0000}"/>
    <cellStyle name="40% - Ênfase5 44 2" xfId="7002" xr:uid="{00000000-0005-0000-0000-0000671D0000}"/>
    <cellStyle name="40% - Ênfase5 45" xfId="7003" xr:uid="{00000000-0005-0000-0000-0000681D0000}"/>
    <cellStyle name="40% - Ênfase5 45 2" xfId="7004" xr:uid="{00000000-0005-0000-0000-0000691D0000}"/>
    <cellStyle name="40% - Ênfase5 46" xfId="7005" xr:uid="{00000000-0005-0000-0000-00006A1D0000}"/>
    <cellStyle name="40% - Ênfase5 46 2" xfId="7006" xr:uid="{00000000-0005-0000-0000-00006B1D0000}"/>
    <cellStyle name="40% - Ênfase5 47" xfId="7007" xr:uid="{00000000-0005-0000-0000-00006C1D0000}"/>
    <cellStyle name="40% - Ênfase5 47 2" xfId="7008" xr:uid="{00000000-0005-0000-0000-00006D1D0000}"/>
    <cellStyle name="40% - Ênfase5 48" xfId="7009" xr:uid="{00000000-0005-0000-0000-00006E1D0000}"/>
    <cellStyle name="40% - Ênfase5 48 2" xfId="7010" xr:uid="{00000000-0005-0000-0000-00006F1D0000}"/>
    <cellStyle name="40% - Ênfase5 49" xfId="7011" xr:uid="{00000000-0005-0000-0000-0000701D0000}"/>
    <cellStyle name="40% - Ênfase5 49 2" xfId="7012" xr:uid="{00000000-0005-0000-0000-0000711D0000}"/>
    <cellStyle name="40% - Ênfase5 5" xfId="7013" xr:uid="{00000000-0005-0000-0000-0000721D0000}"/>
    <cellStyle name="40% - Ênfase5 5 2" xfId="7014" xr:uid="{00000000-0005-0000-0000-0000731D0000}"/>
    <cellStyle name="40% - Ênfase5 5 2 2" xfId="7015" xr:uid="{00000000-0005-0000-0000-0000741D0000}"/>
    <cellStyle name="40% - Ênfase5 5 2 2 2" xfId="25646" xr:uid="{00000000-0005-0000-0000-0000751D0000}"/>
    <cellStyle name="40% - Ênfase5 5 2 2 2 2" xfId="25647" xr:uid="{00000000-0005-0000-0000-0000761D0000}"/>
    <cellStyle name="40% - Ênfase5 5 2 2 2 2 2" xfId="26984" xr:uid="{00000000-0005-0000-0000-0000771D0000}"/>
    <cellStyle name="40% - Ênfase5 5 2 2 2 3" xfId="26983" xr:uid="{00000000-0005-0000-0000-0000781D0000}"/>
    <cellStyle name="40% - Ênfase5 5 2 2 3" xfId="25648" xr:uid="{00000000-0005-0000-0000-0000791D0000}"/>
    <cellStyle name="40% - Ênfase5 5 2 2 3 2" xfId="26985" xr:uid="{00000000-0005-0000-0000-00007A1D0000}"/>
    <cellStyle name="40% - Ênfase5 5 2 2 4" xfId="26982" xr:uid="{00000000-0005-0000-0000-00007B1D0000}"/>
    <cellStyle name="40% - Ênfase5 5 2 2 5" xfId="25645" xr:uid="{00000000-0005-0000-0000-00007C1D0000}"/>
    <cellStyle name="40% - Ênfase5 5 2 3" xfId="7016" xr:uid="{00000000-0005-0000-0000-00007D1D0000}"/>
    <cellStyle name="40% - Ênfase5 5 2 3 2" xfId="25650" xr:uid="{00000000-0005-0000-0000-00007E1D0000}"/>
    <cellStyle name="40% - Ênfase5 5 2 3 2 2" xfId="26987" xr:uid="{00000000-0005-0000-0000-00007F1D0000}"/>
    <cellStyle name="40% - Ênfase5 5 2 3 3" xfId="26986" xr:uid="{00000000-0005-0000-0000-0000801D0000}"/>
    <cellStyle name="40% - Ênfase5 5 2 3 4" xfId="25649" xr:uid="{00000000-0005-0000-0000-0000811D0000}"/>
    <cellStyle name="40% - Ênfase5 5 2 4" xfId="7017" xr:uid="{00000000-0005-0000-0000-0000821D0000}"/>
    <cellStyle name="40% - Ênfase5 5 2 4 2" xfId="26988" xr:uid="{00000000-0005-0000-0000-0000831D0000}"/>
    <cellStyle name="40% - Ênfase5 5 2 4 3" xfId="25651" xr:uid="{00000000-0005-0000-0000-0000841D0000}"/>
    <cellStyle name="40% - Ênfase5 5 2 5" xfId="7018" xr:uid="{00000000-0005-0000-0000-0000851D0000}"/>
    <cellStyle name="40% - Ênfase5 5 2 5 2" xfId="7019" xr:uid="{00000000-0005-0000-0000-0000861D0000}"/>
    <cellStyle name="40% - Ênfase5 5 2 6" xfId="7020" xr:uid="{00000000-0005-0000-0000-0000871D0000}"/>
    <cellStyle name="40% - Ênfase5 5 2 6 2" xfId="7021" xr:uid="{00000000-0005-0000-0000-0000881D0000}"/>
    <cellStyle name="40% - Ênfase5 5 2 7" xfId="7022" xr:uid="{00000000-0005-0000-0000-0000891D0000}"/>
    <cellStyle name="40% - Ênfase5 5 2 7 2" xfId="7023" xr:uid="{00000000-0005-0000-0000-00008A1D0000}"/>
    <cellStyle name="40% - Ênfase5 5 2 8" xfId="7024" xr:uid="{00000000-0005-0000-0000-00008B1D0000}"/>
    <cellStyle name="40% - Ênfase5 5 2 8 2" xfId="7025" xr:uid="{00000000-0005-0000-0000-00008C1D0000}"/>
    <cellStyle name="40% - Ênfase5 5 2 9" xfId="7026" xr:uid="{00000000-0005-0000-0000-00008D1D0000}"/>
    <cellStyle name="40% - Ênfase5 5 3" xfId="7027" xr:uid="{00000000-0005-0000-0000-00008E1D0000}"/>
    <cellStyle name="40% - Ênfase5 5 3 2" xfId="25653" xr:uid="{00000000-0005-0000-0000-00008F1D0000}"/>
    <cellStyle name="40% - Ênfase5 5 3 2 2" xfId="25654" xr:uid="{00000000-0005-0000-0000-0000901D0000}"/>
    <cellStyle name="40% - Ênfase5 5 3 2 2 2" xfId="26991" xr:uid="{00000000-0005-0000-0000-0000911D0000}"/>
    <cellStyle name="40% - Ênfase5 5 3 2 3" xfId="26990" xr:uid="{00000000-0005-0000-0000-0000921D0000}"/>
    <cellStyle name="40% - Ênfase5 5 3 3" xfId="25655" xr:uid="{00000000-0005-0000-0000-0000931D0000}"/>
    <cellStyle name="40% - Ênfase5 5 3 3 2" xfId="26992" xr:uid="{00000000-0005-0000-0000-0000941D0000}"/>
    <cellStyle name="40% - Ênfase5 5 3 4" xfId="26989" xr:uid="{00000000-0005-0000-0000-0000951D0000}"/>
    <cellStyle name="40% - Ênfase5 5 3 5" xfId="25652" xr:uid="{00000000-0005-0000-0000-0000961D0000}"/>
    <cellStyle name="40% - Ênfase5 5 4" xfId="7028" xr:uid="{00000000-0005-0000-0000-0000971D0000}"/>
    <cellStyle name="40% - Ênfase5 5 4 2" xfId="25657" xr:uid="{00000000-0005-0000-0000-0000981D0000}"/>
    <cellStyle name="40% - Ênfase5 5 4 2 2" xfId="26994" xr:uid="{00000000-0005-0000-0000-0000991D0000}"/>
    <cellStyle name="40% - Ênfase5 5 4 3" xfId="26993" xr:uid="{00000000-0005-0000-0000-00009A1D0000}"/>
    <cellStyle name="40% - Ênfase5 5 4 4" xfId="25656" xr:uid="{00000000-0005-0000-0000-00009B1D0000}"/>
    <cellStyle name="40% - Ênfase5 5 5" xfId="7029" xr:uid="{00000000-0005-0000-0000-00009C1D0000}"/>
    <cellStyle name="40% - Ênfase5 5 5 2" xfId="7030" xr:uid="{00000000-0005-0000-0000-00009D1D0000}"/>
    <cellStyle name="40% - Ênfase5 5 5 2 2" xfId="7031" xr:uid="{00000000-0005-0000-0000-00009E1D0000}"/>
    <cellStyle name="40% - Ênfase5 5 5 3" xfId="7032" xr:uid="{00000000-0005-0000-0000-00009F1D0000}"/>
    <cellStyle name="40% - Ênfase5 5 5 3 2" xfId="7033" xr:uid="{00000000-0005-0000-0000-0000A01D0000}"/>
    <cellStyle name="40% - Ênfase5 5 5 4" xfId="7034" xr:uid="{00000000-0005-0000-0000-0000A11D0000}"/>
    <cellStyle name="40% - Ênfase5 5 5 4 2" xfId="7035" xr:uid="{00000000-0005-0000-0000-0000A21D0000}"/>
    <cellStyle name="40% - Ênfase5 5 5 5" xfId="7036" xr:uid="{00000000-0005-0000-0000-0000A31D0000}"/>
    <cellStyle name="40% - Ênfase5 5 5 5 2" xfId="7037" xr:uid="{00000000-0005-0000-0000-0000A41D0000}"/>
    <cellStyle name="40% - Ênfase5 5 5 6" xfId="7038" xr:uid="{00000000-0005-0000-0000-0000A51D0000}"/>
    <cellStyle name="40% - Ênfase5 5 6" xfId="7039" xr:uid="{00000000-0005-0000-0000-0000A61D0000}"/>
    <cellStyle name="40% - Ênfase5 5 6 2" xfId="7040" xr:uid="{00000000-0005-0000-0000-0000A71D0000}"/>
    <cellStyle name="40% - Ênfase5 5 6 2 2" xfId="7041" xr:uid="{00000000-0005-0000-0000-0000A81D0000}"/>
    <cellStyle name="40% - Ênfase5 5 6 3" xfId="7042" xr:uid="{00000000-0005-0000-0000-0000A91D0000}"/>
    <cellStyle name="40% - Ênfase5 5 6 3 2" xfId="7043" xr:uid="{00000000-0005-0000-0000-0000AA1D0000}"/>
    <cellStyle name="40% - Ênfase5 5 6 4" xfId="7044" xr:uid="{00000000-0005-0000-0000-0000AB1D0000}"/>
    <cellStyle name="40% - Ênfase5 5 6 4 2" xfId="7045" xr:uid="{00000000-0005-0000-0000-0000AC1D0000}"/>
    <cellStyle name="40% - Ênfase5 5 6 5" xfId="7046" xr:uid="{00000000-0005-0000-0000-0000AD1D0000}"/>
    <cellStyle name="40% - Ênfase5 5 6 5 2" xfId="7047" xr:uid="{00000000-0005-0000-0000-0000AE1D0000}"/>
    <cellStyle name="40% - Ênfase5 5 6 6" xfId="7048" xr:uid="{00000000-0005-0000-0000-0000AF1D0000}"/>
    <cellStyle name="40% - Ênfase5 50" xfId="7049" xr:uid="{00000000-0005-0000-0000-0000B01D0000}"/>
    <cellStyle name="40% - Ênfase5 50 2" xfId="7050" xr:uid="{00000000-0005-0000-0000-0000B11D0000}"/>
    <cellStyle name="40% - Ênfase5 51" xfId="7051" xr:uid="{00000000-0005-0000-0000-0000B21D0000}"/>
    <cellStyle name="40% - Ênfase5 51 2" xfId="7052" xr:uid="{00000000-0005-0000-0000-0000B31D0000}"/>
    <cellStyle name="40% - Ênfase5 52" xfId="7053" xr:uid="{00000000-0005-0000-0000-0000B41D0000}"/>
    <cellStyle name="40% - Ênfase5 52 2" xfId="7054" xr:uid="{00000000-0005-0000-0000-0000B51D0000}"/>
    <cellStyle name="40% - Ênfase5 53" xfId="7055" xr:uid="{00000000-0005-0000-0000-0000B61D0000}"/>
    <cellStyle name="40% - Ênfase5 53 2" xfId="7056" xr:uid="{00000000-0005-0000-0000-0000B71D0000}"/>
    <cellStyle name="40% - Ênfase5 54" xfId="7057" xr:uid="{00000000-0005-0000-0000-0000B81D0000}"/>
    <cellStyle name="40% - Ênfase5 54 2" xfId="7058" xr:uid="{00000000-0005-0000-0000-0000B91D0000}"/>
    <cellStyle name="40% - Ênfase5 55" xfId="7059" xr:uid="{00000000-0005-0000-0000-0000BA1D0000}"/>
    <cellStyle name="40% - Ênfase5 55 2" xfId="7060" xr:uid="{00000000-0005-0000-0000-0000BB1D0000}"/>
    <cellStyle name="40% - Ênfase5 6" xfId="7061" xr:uid="{00000000-0005-0000-0000-0000BC1D0000}"/>
    <cellStyle name="40% - Ênfase5 6 10" xfId="7062" xr:uid="{00000000-0005-0000-0000-0000BD1D0000}"/>
    <cellStyle name="40% - Ênfase5 6 10 2" xfId="7063" xr:uid="{00000000-0005-0000-0000-0000BE1D0000}"/>
    <cellStyle name="40% - Ênfase5 6 11" xfId="7064" xr:uid="{00000000-0005-0000-0000-0000BF1D0000}"/>
    <cellStyle name="40% - Ênfase5 6 11 2" xfId="7065" xr:uid="{00000000-0005-0000-0000-0000C01D0000}"/>
    <cellStyle name="40% - Ênfase5 6 12" xfId="7066" xr:uid="{00000000-0005-0000-0000-0000C11D0000}"/>
    <cellStyle name="40% - Ênfase5 6 12 2" xfId="7067" xr:uid="{00000000-0005-0000-0000-0000C21D0000}"/>
    <cellStyle name="40% - Ênfase5 6 13" xfId="7068" xr:uid="{00000000-0005-0000-0000-0000C31D0000}"/>
    <cellStyle name="40% - Ênfase5 6 13 2" xfId="7069" xr:uid="{00000000-0005-0000-0000-0000C41D0000}"/>
    <cellStyle name="40% - Ênfase5 6 14" xfId="7070" xr:uid="{00000000-0005-0000-0000-0000C51D0000}"/>
    <cellStyle name="40% - Ênfase5 6 14 2" xfId="7071" xr:uid="{00000000-0005-0000-0000-0000C61D0000}"/>
    <cellStyle name="40% - Ênfase5 6 15" xfId="7072" xr:uid="{00000000-0005-0000-0000-0000C71D0000}"/>
    <cellStyle name="40% - Ênfase5 6 15 2" xfId="7073" xr:uid="{00000000-0005-0000-0000-0000C81D0000}"/>
    <cellStyle name="40% - Ênfase5 6 16" xfId="7074" xr:uid="{00000000-0005-0000-0000-0000C91D0000}"/>
    <cellStyle name="40% - Ênfase5 6 16 2" xfId="7075" xr:uid="{00000000-0005-0000-0000-0000CA1D0000}"/>
    <cellStyle name="40% - Ênfase5 6 17" xfId="7076" xr:uid="{00000000-0005-0000-0000-0000CB1D0000}"/>
    <cellStyle name="40% - Ênfase5 6 17 2" xfId="7077" xr:uid="{00000000-0005-0000-0000-0000CC1D0000}"/>
    <cellStyle name="40% - Ênfase5 6 18" xfId="7078" xr:uid="{00000000-0005-0000-0000-0000CD1D0000}"/>
    <cellStyle name="40% - Ênfase5 6 18 2" xfId="7079" xr:uid="{00000000-0005-0000-0000-0000CE1D0000}"/>
    <cellStyle name="40% - Ênfase5 6 19" xfId="7080" xr:uid="{00000000-0005-0000-0000-0000CF1D0000}"/>
    <cellStyle name="40% - Ênfase5 6 19 2" xfId="7081" xr:uid="{00000000-0005-0000-0000-0000D01D0000}"/>
    <cellStyle name="40% - Ênfase5 6 2" xfId="7082" xr:uid="{00000000-0005-0000-0000-0000D11D0000}"/>
    <cellStyle name="40% - Ênfase5 6 2 2" xfId="7083" xr:uid="{00000000-0005-0000-0000-0000D21D0000}"/>
    <cellStyle name="40% - Ênfase5 6 2 2 2" xfId="7084" xr:uid="{00000000-0005-0000-0000-0000D31D0000}"/>
    <cellStyle name="40% - Ênfase5 6 2 2 2 2" xfId="26996" xr:uid="{00000000-0005-0000-0000-0000D41D0000}"/>
    <cellStyle name="40% - Ênfase5 6 2 2 3" xfId="26995" xr:uid="{00000000-0005-0000-0000-0000D51D0000}"/>
    <cellStyle name="40% - Ênfase5 6 2 3" xfId="7085" xr:uid="{00000000-0005-0000-0000-0000D61D0000}"/>
    <cellStyle name="40% - Ênfase5 6 2 3 2" xfId="7086" xr:uid="{00000000-0005-0000-0000-0000D71D0000}"/>
    <cellStyle name="40% - Ênfase5 6 2 4" xfId="7087" xr:uid="{00000000-0005-0000-0000-0000D81D0000}"/>
    <cellStyle name="40% - Ênfase5 6 2 4 2" xfId="7088" xr:uid="{00000000-0005-0000-0000-0000D91D0000}"/>
    <cellStyle name="40% - Ênfase5 6 2 5" xfId="7089" xr:uid="{00000000-0005-0000-0000-0000DA1D0000}"/>
    <cellStyle name="40% - Ênfase5 6 2 5 2" xfId="7090" xr:uid="{00000000-0005-0000-0000-0000DB1D0000}"/>
    <cellStyle name="40% - Ênfase5 6 2 6" xfId="7091" xr:uid="{00000000-0005-0000-0000-0000DC1D0000}"/>
    <cellStyle name="40% - Ênfase5 6 20" xfId="7092" xr:uid="{00000000-0005-0000-0000-0000DD1D0000}"/>
    <cellStyle name="40% - Ênfase5 6 20 2" xfId="7093" xr:uid="{00000000-0005-0000-0000-0000DE1D0000}"/>
    <cellStyle name="40% - Ênfase5 6 21" xfId="7094" xr:uid="{00000000-0005-0000-0000-0000DF1D0000}"/>
    <cellStyle name="40% - Ênfase5 6 21 2" xfId="7095" xr:uid="{00000000-0005-0000-0000-0000E01D0000}"/>
    <cellStyle name="40% - Ênfase5 6 22" xfId="7096" xr:uid="{00000000-0005-0000-0000-0000E11D0000}"/>
    <cellStyle name="40% - Ênfase5 6 22 2" xfId="7097" xr:uid="{00000000-0005-0000-0000-0000E21D0000}"/>
    <cellStyle name="40% - Ênfase5 6 23" xfId="7098" xr:uid="{00000000-0005-0000-0000-0000E31D0000}"/>
    <cellStyle name="40% - Ênfase5 6 23 2" xfId="7099" xr:uid="{00000000-0005-0000-0000-0000E41D0000}"/>
    <cellStyle name="40% - Ênfase5 6 24" xfId="7100" xr:uid="{00000000-0005-0000-0000-0000E51D0000}"/>
    <cellStyle name="40% - Ênfase5 6 24 2" xfId="7101" xr:uid="{00000000-0005-0000-0000-0000E61D0000}"/>
    <cellStyle name="40% - Ênfase5 6 25" xfId="7102" xr:uid="{00000000-0005-0000-0000-0000E71D0000}"/>
    <cellStyle name="40% - Ênfase5 6 25 2" xfId="7103" xr:uid="{00000000-0005-0000-0000-0000E81D0000}"/>
    <cellStyle name="40% - Ênfase5 6 26" xfId="7104" xr:uid="{00000000-0005-0000-0000-0000E91D0000}"/>
    <cellStyle name="40% - Ênfase5 6 26 2" xfId="7105" xr:uid="{00000000-0005-0000-0000-0000EA1D0000}"/>
    <cellStyle name="40% - Ênfase5 6 27" xfId="7106" xr:uid="{00000000-0005-0000-0000-0000EB1D0000}"/>
    <cellStyle name="40% - Ênfase5 6 27 2" xfId="7107" xr:uid="{00000000-0005-0000-0000-0000EC1D0000}"/>
    <cellStyle name="40% - Ênfase5 6 28" xfId="7108" xr:uid="{00000000-0005-0000-0000-0000ED1D0000}"/>
    <cellStyle name="40% - Ênfase5 6 28 2" xfId="7109" xr:uid="{00000000-0005-0000-0000-0000EE1D0000}"/>
    <cellStyle name="40% - Ênfase5 6 29" xfId="7110" xr:uid="{00000000-0005-0000-0000-0000EF1D0000}"/>
    <cellStyle name="40% - Ênfase5 6 29 2" xfId="7111" xr:uid="{00000000-0005-0000-0000-0000F01D0000}"/>
    <cellStyle name="40% - Ênfase5 6 3" xfId="7112" xr:uid="{00000000-0005-0000-0000-0000F11D0000}"/>
    <cellStyle name="40% - Ênfase5 6 3 2" xfId="7113" xr:uid="{00000000-0005-0000-0000-0000F21D0000}"/>
    <cellStyle name="40% - Ênfase5 6 3 2 2" xfId="7114" xr:uid="{00000000-0005-0000-0000-0000F31D0000}"/>
    <cellStyle name="40% - Ênfase5 6 3 3" xfId="7115" xr:uid="{00000000-0005-0000-0000-0000F41D0000}"/>
    <cellStyle name="40% - Ênfase5 6 3 3 2" xfId="7116" xr:uid="{00000000-0005-0000-0000-0000F51D0000}"/>
    <cellStyle name="40% - Ênfase5 6 3 4" xfId="7117" xr:uid="{00000000-0005-0000-0000-0000F61D0000}"/>
    <cellStyle name="40% - Ênfase5 6 3 4 2" xfId="7118" xr:uid="{00000000-0005-0000-0000-0000F71D0000}"/>
    <cellStyle name="40% - Ênfase5 6 3 5" xfId="7119" xr:uid="{00000000-0005-0000-0000-0000F81D0000}"/>
    <cellStyle name="40% - Ênfase5 6 3 5 2" xfId="7120" xr:uid="{00000000-0005-0000-0000-0000F91D0000}"/>
    <cellStyle name="40% - Ênfase5 6 3 6" xfId="7121" xr:uid="{00000000-0005-0000-0000-0000FA1D0000}"/>
    <cellStyle name="40% - Ênfase5 6 30" xfId="7122" xr:uid="{00000000-0005-0000-0000-0000FB1D0000}"/>
    <cellStyle name="40% - Ênfase5 6 30 2" xfId="7123" xr:uid="{00000000-0005-0000-0000-0000FC1D0000}"/>
    <cellStyle name="40% - Ênfase5 6 31" xfId="7124" xr:uid="{00000000-0005-0000-0000-0000FD1D0000}"/>
    <cellStyle name="40% - Ênfase5 6 31 2" xfId="7125" xr:uid="{00000000-0005-0000-0000-0000FE1D0000}"/>
    <cellStyle name="40% - Ênfase5 6 32" xfId="7126" xr:uid="{00000000-0005-0000-0000-0000FF1D0000}"/>
    <cellStyle name="40% - Ênfase5 6 32 2" xfId="7127" xr:uid="{00000000-0005-0000-0000-0000001E0000}"/>
    <cellStyle name="40% - Ênfase5 6 33" xfId="7128" xr:uid="{00000000-0005-0000-0000-0000011E0000}"/>
    <cellStyle name="40% - Ênfase5 6 33 2" xfId="7129" xr:uid="{00000000-0005-0000-0000-0000021E0000}"/>
    <cellStyle name="40% - Ênfase5 6 34" xfId="7130" xr:uid="{00000000-0005-0000-0000-0000031E0000}"/>
    <cellStyle name="40% - Ênfase5 6 34 2" xfId="7131" xr:uid="{00000000-0005-0000-0000-0000041E0000}"/>
    <cellStyle name="40% - Ênfase5 6 35" xfId="7132" xr:uid="{00000000-0005-0000-0000-0000051E0000}"/>
    <cellStyle name="40% - Ênfase5 6 35 2" xfId="7133" xr:uid="{00000000-0005-0000-0000-0000061E0000}"/>
    <cellStyle name="40% - Ênfase5 6 36" xfId="7134" xr:uid="{00000000-0005-0000-0000-0000071E0000}"/>
    <cellStyle name="40% - Ênfase5 6 36 2" xfId="7135" xr:uid="{00000000-0005-0000-0000-0000081E0000}"/>
    <cellStyle name="40% - Ênfase5 6 37" xfId="7136" xr:uid="{00000000-0005-0000-0000-0000091E0000}"/>
    <cellStyle name="40% - Ênfase5 6 4" xfId="7137" xr:uid="{00000000-0005-0000-0000-00000A1E0000}"/>
    <cellStyle name="40% - Ênfase5 6 4 2" xfId="7138" xr:uid="{00000000-0005-0000-0000-00000B1E0000}"/>
    <cellStyle name="40% - Ênfase5 6 4 2 2" xfId="7139" xr:uid="{00000000-0005-0000-0000-00000C1E0000}"/>
    <cellStyle name="40% - Ênfase5 6 4 3" xfId="7140" xr:uid="{00000000-0005-0000-0000-00000D1E0000}"/>
    <cellStyle name="40% - Ênfase5 6 4 3 2" xfId="7141" xr:uid="{00000000-0005-0000-0000-00000E1E0000}"/>
    <cellStyle name="40% - Ênfase5 6 4 4" xfId="7142" xr:uid="{00000000-0005-0000-0000-00000F1E0000}"/>
    <cellStyle name="40% - Ênfase5 6 4 4 2" xfId="7143" xr:uid="{00000000-0005-0000-0000-0000101E0000}"/>
    <cellStyle name="40% - Ênfase5 6 4 5" xfId="7144" xr:uid="{00000000-0005-0000-0000-0000111E0000}"/>
    <cellStyle name="40% - Ênfase5 6 4 5 2" xfId="7145" xr:uid="{00000000-0005-0000-0000-0000121E0000}"/>
    <cellStyle name="40% - Ênfase5 6 4 6" xfId="7146" xr:uid="{00000000-0005-0000-0000-0000131E0000}"/>
    <cellStyle name="40% - Ênfase5 6 5" xfId="7147" xr:uid="{00000000-0005-0000-0000-0000141E0000}"/>
    <cellStyle name="40% - Ênfase5 6 5 2" xfId="7148" xr:uid="{00000000-0005-0000-0000-0000151E0000}"/>
    <cellStyle name="40% - Ênfase5 6 6" xfId="7149" xr:uid="{00000000-0005-0000-0000-0000161E0000}"/>
    <cellStyle name="40% - Ênfase5 6 6 2" xfId="7150" xr:uid="{00000000-0005-0000-0000-0000171E0000}"/>
    <cellStyle name="40% - Ênfase5 6 7" xfId="7151" xr:uid="{00000000-0005-0000-0000-0000181E0000}"/>
    <cellStyle name="40% - Ênfase5 6 7 2" xfId="7152" xr:uid="{00000000-0005-0000-0000-0000191E0000}"/>
    <cellStyle name="40% - Ênfase5 6 8" xfId="7153" xr:uid="{00000000-0005-0000-0000-00001A1E0000}"/>
    <cellStyle name="40% - Ênfase5 6 8 2" xfId="7154" xr:uid="{00000000-0005-0000-0000-00001B1E0000}"/>
    <cellStyle name="40% - Ênfase5 6 9" xfId="7155" xr:uid="{00000000-0005-0000-0000-00001C1E0000}"/>
    <cellStyle name="40% - Ênfase5 6 9 2" xfId="7156" xr:uid="{00000000-0005-0000-0000-00001D1E0000}"/>
    <cellStyle name="40% - Ênfase5 7" xfId="7157" xr:uid="{00000000-0005-0000-0000-00001E1E0000}"/>
    <cellStyle name="40% - Ênfase5 7 10" xfId="7158" xr:uid="{00000000-0005-0000-0000-00001F1E0000}"/>
    <cellStyle name="40% - Ênfase5 7 10 2" xfId="7159" xr:uid="{00000000-0005-0000-0000-0000201E0000}"/>
    <cellStyle name="40% - Ênfase5 7 11" xfId="7160" xr:uid="{00000000-0005-0000-0000-0000211E0000}"/>
    <cellStyle name="40% - Ênfase5 7 11 2" xfId="7161" xr:uid="{00000000-0005-0000-0000-0000221E0000}"/>
    <cellStyle name="40% - Ênfase5 7 12" xfId="7162" xr:uid="{00000000-0005-0000-0000-0000231E0000}"/>
    <cellStyle name="40% - Ênfase5 7 12 2" xfId="7163" xr:uid="{00000000-0005-0000-0000-0000241E0000}"/>
    <cellStyle name="40% - Ênfase5 7 13" xfId="7164" xr:uid="{00000000-0005-0000-0000-0000251E0000}"/>
    <cellStyle name="40% - Ênfase5 7 13 2" xfId="7165" xr:uid="{00000000-0005-0000-0000-0000261E0000}"/>
    <cellStyle name="40% - Ênfase5 7 14" xfId="7166" xr:uid="{00000000-0005-0000-0000-0000271E0000}"/>
    <cellStyle name="40% - Ênfase5 7 14 2" xfId="7167" xr:uid="{00000000-0005-0000-0000-0000281E0000}"/>
    <cellStyle name="40% - Ênfase5 7 15" xfId="7168" xr:uid="{00000000-0005-0000-0000-0000291E0000}"/>
    <cellStyle name="40% - Ênfase5 7 15 2" xfId="7169" xr:uid="{00000000-0005-0000-0000-00002A1E0000}"/>
    <cellStyle name="40% - Ênfase5 7 16" xfId="7170" xr:uid="{00000000-0005-0000-0000-00002B1E0000}"/>
    <cellStyle name="40% - Ênfase5 7 16 2" xfId="7171" xr:uid="{00000000-0005-0000-0000-00002C1E0000}"/>
    <cellStyle name="40% - Ênfase5 7 17" xfId="7172" xr:uid="{00000000-0005-0000-0000-00002D1E0000}"/>
    <cellStyle name="40% - Ênfase5 7 17 2" xfId="7173" xr:uid="{00000000-0005-0000-0000-00002E1E0000}"/>
    <cellStyle name="40% - Ênfase5 7 18" xfId="7174" xr:uid="{00000000-0005-0000-0000-00002F1E0000}"/>
    <cellStyle name="40% - Ênfase5 7 18 2" xfId="7175" xr:uid="{00000000-0005-0000-0000-0000301E0000}"/>
    <cellStyle name="40% - Ênfase5 7 19" xfId="7176" xr:uid="{00000000-0005-0000-0000-0000311E0000}"/>
    <cellStyle name="40% - Ênfase5 7 19 2" xfId="7177" xr:uid="{00000000-0005-0000-0000-0000321E0000}"/>
    <cellStyle name="40% - Ênfase5 7 2" xfId="7178" xr:uid="{00000000-0005-0000-0000-0000331E0000}"/>
    <cellStyle name="40% - Ênfase5 7 2 2" xfId="7179" xr:uid="{00000000-0005-0000-0000-0000341E0000}"/>
    <cellStyle name="40% - Ênfase5 7 2 2 2" xfId="7180" xr:uid="{00000000-0005-0000-0000-0000351E0000}"/>
    <cellStyle name="40% - Ênfase5 7 2 2 2 2" xfId="26998" xr:uid="{00000000-0005-0000-0000-0000361E0000}"/>
    <cellStyle name="40% - Ênfase5 7 2 2 3" xfId="26997" xr:uid="{00000000-0005-0000-0000-0000371E0000}"/>
    <cellStyle name="40% - Ênfase5 7 2 3" xfId="7181" xr:uid="{00000000-0005-0000-0000-0000381E0000}"/>
    <cellStyle name="40% - Ênfase5 7 2 3 2" xfId="7182" xr:uid="{00000000-0005-0000-0000-0000391E0000}"/>
    <cellStyle name="40% - Ênfase5 7 2 4" xfId="7183" xr:uid="{00000000-0005-0000-0000-00003A1E0000}"/>
    <cellStyle name="40% - Ênfase5 7 2 4 2" xfId="7184" xr:uid="{00000000-0005-0000-0000-00003B1E0000}"/>
    <cellStyle name="40% - Ênfase5 7 2 5" xfId="7185" xr:uid="{00000000-0005-0000-0000-00003C1E0000}"/>
    <cellStyle name="40% - Ênfase5 7 2 5 2" xfId="7186" xr:uid="{00000000-0005-0000-0000-00003D1E0000}"/>
    <cellStyle name="40% - Ênfase5 7 2 6" xfId="7187" xr:uid="{00000000-0005-0000-0000-00003E1E0000}"/>
    <cellStyle name="40% - Ênfase5 7 20" xfId="7188" xr:uid="{00000000-0005-0000-0000-00003F1E0000}"/>
    <cellStyle name="40% - Ênfase5 7 20 2" xfId="7189" xr:uid="{00000000-0005-0000-0000-0000401E0000}"/>
    <cellStyle name="40% - Ênfase5 7 21" xfId="7190" xr:uid="{00000000-0005-0000-0000-0000411E0000}"/>
    <cellStyle name="40% - Ênfase5 7 21 2" xfId="7191" xr:uid="{00000000-0005-0000-0000-0000421E0000}"/>
    <cellStyle name="40% - Ênfase5 7 22" xfId="7192" xr:uid="{00000000-0005-0000-0000-0000431E0000}"/>
    <cellStyle name="40% - Ênfase5 7 22 2" xfId="7193" xr:uid="{00000000-0005-0000-0000-0000441E0000}"/>
    <cellStyle name="40% - Ênfase5 7 23" xfId="7194" xr:uid="{00000000-0005-0000-0000-0000451E0000}"/>
    <cellStyle name="40% - Ênfase5 7 23 2" xfId="7195" xr:uid="{00000000-0005-0000-0000-0000461E0000}"/>
    <cellStyle name="40% - Ênfase5 7 24" xfId="7196" xr:uid="{00000000-0005-0000-0000-0000471E0000}"/>
    <cellStyle name="40% - Ênfase5 7 24 2" xfId="7197" xr:uid="{00000000-0005-0000-0000-0000481E0000}"/>
    <cellStyle name="40% - Ênfase5 7 25" xfId="7198" xr:uid="{00000000-0005-0000-0000-0000491E0000}"/>
    <cellStyle name="40% - Ênfase5 7 25 2" xfId="7199" xr:uid="{00000000-0005-0000-0000-00004A1E0000}"/>
    <cellStyle name="40% - Ênfase5 7 26" xfId="7200" xr:uid="{00000000-0005-0000-0000-00004B1E0000}"/>
    <cellStyle name="40% - Ênfase5 7 26 2" xfId="7201" xr:uid="{00000000-0005-0000-0000-00004C1E0000}"/>
    <cellStyle name="40% - Ênfase5 7 27" xfId="7202" xr:uid="{00000000-0005-0000-0000-00004D1E0000}"/>
    <cellStyle name="40% - Ênfase5 7 27 2" xfId="7203" xr:uid="{00000000-0005-0000-0000-00004E1E0000}"/>
    <cellStyle name="40% - Ênfase5 7 28" xfId="7204" xr:uid="{00000000-0005-0000-0000-00004F1E0000}"/>
    <cellStyle name="40% - Ênfase5 7 28 2" xfId="7205" xr:uid="{00000000-0005-0000-0000-0000501E0000}"/>
    <cellStyle name="40% - Ênfase5 7 29" xfId="7206" xr:uid="{00000000-0005-0000-0000-0000511E0000}"/>
    <cellStyle name="40% - Ênfase5 7 29 2" xfId="7207" xr:uid="{00000000-0005-0000-0000-0000521E0000}"/>
    <cellStyle name="40% - Ênfase5 7 3" xfId="7208" xr:uid="{00000000-0005-0000-0000-0000531E0000}"/>
    <cellStyle name="40% - Ênfase5 7 3 2" xfId="7209" xr:uid="{00000000-0005-0000-0000-0000541E0000}"/>
    <cellStyle name="40% - Ênfase5 7 3 2 2" xfId="7210" xr:uid="{00000000-0005-0000-0000-0000551E0000}"/>
    <cellStyle name="40% - Ênfase5 7 3 3" xfId="7211" xr:uid="{00000000-0005-0000-0000-0000561E0000}"/>
    <cellStyle name="40% - Ênfase5 7 3 3 2" xfId="7212" xr:uid="{00000000-0005-0000-0000-0000571E0000}"/>
    <cellStyle name="40% - Ênfase5 7 3 4" xfId="7213" xr:uid="{00000000-0005-0000-0000-0000581E0000}"/>
    <cellStyle name="40% - Ênfase5 7 3 4 2" xfId="7214" xr:uid="{00000000-0005-0000-0000-0000591E0000}"/>
    <cellStyle name="40% - Ênfase5 7 3 5" xfId="7215" xr:uid="{00000000-0005-0000-0000-00005A1E0000}"/>
    <cellStyle name="40% - Ênfase5 7 3 5 2" xfId="7216" xr:uid="{00000000-0005-0000-0000-00005B1E0000}"/>
    <cellStyle name="40% - Ênfase5 7 3 6" xfId="7217" xr:uid="{00000000-0005-0000-0000-00005C1E0000}"/>
    <cellStyle name="40% - Ênfase5 7 30" xfId="7218" xr:uid="{00000000-0005-0000-0000-00005D1E0000}"/>
    <cellStyle name="40% - Ênfase5 7 30 2" xfId="7219" xr:uid="{00000000-0005-0000-0000-00005E1E0000}"/>
    <cellStyle name="40% - Ênfase5 7 31" xfId="7220" xr:uid="{00000000-0005-0000-0000-00005F1E0000}"/>
    <cellStyle name="40% - Ênfase5 7 31 2" xfId="7221" xr:uid="{00000000-0005-0000-0000-0000601E0000}"/>
    <cellStyle name="40% - Ênfase5 7 32" xfId="7222" xr:uid="{00000000-0005-0000-0000-0000611E0000}"/>
    <cellStyle name="40% - Ênfase5 7 32 2" xfId="7223" xr:uid="{00000000-0005-0000-0000-0000621E0000}"/>
    <cellStyle name="40% - Ênfase5 7 33" xfId="7224" xr:uid="{00000000-0005-0000-0000-0000631E0000}"/>
    <cellStyle name="40% - Ênfase5 7 33 2" xfId="7225" xr:uid="{00000000-0005-0000-0000-0000641E0000}"/>
    <cellStyle name="40% - Ênfase5 7 34" xfId="7226" xr:uid="{00000000-0005-0000-0000-0000651E0000}"/>
    <cellStyle name="40% - Ênfase5 7 34 2" xfId="7227" xr:uid="{00000000-0005-0000-0000-0000661E0000}"/>
    <cellStyle name="40% - Ênfase5 7 35" xfId="7228" xr:uid="{00000000-0005-0000-0000-0000671E0000}"/>
    <cellStyle name="40% - Ênfase5 7 35 2" xfId="7229" xr:uid="{00000000-0005-0000-0000-0000681E0000}"/>
    <cellStyle name="40% - Ênfase5 7 36" xfId="7230" xr:uid="{00000000-0005-0000-0000-0000691E0000}"/>
    <cellStyle name="40% - Ênfase5 7 36 2" xfId="7231" xr:uid="{00000000-0005-0000-0000-00006A1E0000}"/>
    <cellStyle name="40% - Ênfase5 7 37" xfId="7232" xr:uid="{00000000-0005-0000-0000-00006B1E0000}"/>
    <cellStyle name="40% - Ênfase5 7 4" xfId="7233" xr:uid="{00000000-0005-0000-0000-00006C1E0000}"/>
    <cellStyle name="40% - Ênfase5 7 4 2" xfId="7234" xr:uid="{00000000-0005-0000-0000-00006D1E0000}"/>
    <cellStyle name="40% - Ênfase5 7 4 2 2" xfId="7235" xr:uid="{00000000-0005-0000-0000-00006E1E0000}"/>
    <cellStyle name="40% - Ênfase5 7 4 3" xfId="7236" xr:uid="{00000000-0005-0000-0000-00006F1E0000}"/>
    <cellStyle name="40% - Ênfase5 7 4 3 2" xfId="7237" xr:uid="{00000000-0005-0000-0000-0000701E0000}"/>
    <cellStyle name="40% - Ênfase5 7 4 4" xfId="7238" xr:uid="{00000000-0005-0000-0000-0000711E0000}"/>
    <cellStyle name="40% - Ênfase5 7 4 4 2" xfId="7239" xr:uid="{00000000-0005-0000-0000-0000721E0000}"/>
    <cellStyle name="40% - Ênfase5 7 4 5" xfId="7240" xr:uid="{00000000-0005-0000-0000-0000731E0000}"/>
    <cellStyle name="40% - Ênfase5 7 4 5 2" xfId="7241" xr:uid="{00000000-0005-0000-0000-0000741E0000}"/>
    <cellStyle name="40% - Ênfase5 7 4 6" xfId="7242" xr:uid="{00000000-0005-0000-0000-0000751E0000}"/>
    <cellStyle name="40% - Ênfase5 7 5" xfId="7243" xr:uid="{00000000-0005-0000-0000-0000761E0000}"/>
    <cellStyle name="40% - Ênfase5 7 5 2" xfId="7244" xr:uid="{00000000-0005-0000-0000-0000771E0000}"/>
    <cellStyle name="40% - Ênfase5 7 6" xfId="7245" xr:uid="{00000000-0005-0000-0000-0000781E0000}"/>
    <cellStyle name="40% - Ênfase5 7 6 2" xfId="7246" xr:uid="{00000000-0005-0000-0000-0000791E0000}"/>
    <cellStyle name="40% - Ênfase5 7 7" xfId="7247" xr:uid="{00000000-0005-0000-0000-00007A1E0000}"/>
    <cellStyle name="40% - Ênfase5 7 7 2" xfId="7248" xr:uid="{00000000-0005-0000-0000-00007B1E0000}"/>
    <cellStyle name="40% - Ênfase5 7 8" xfId="7249" xr:uid="{00000000-0005-0000-0000-00007C1E0000}"/>
    <cellStyle name="40% - Ênfase5 7 8 2" xfId="7250" xr:uid="{00000000-0005-0000-0000-00007D1E0000}"/>
    <cellStyle name="40% - Ênfase5 7 9" xfId="7251" xr:uid="{00000000-0005-0000-0000-00007E1E0000}"/>
    <cellStyle name="40% - Ênfase5 7 9 2" xfId="7252" xr:uid="{00000000-0005-0000-0000-00007F1E0000}"/>
    <cellStyle name="40% - Ênfase5 8" xfId="7253" xr:uid="{00000000-0005-0000-0000-0000801E0000}"/>
    <cellStyle name="40% - Ênfase5 8 10" xfId="7254" xr:uid="{00000000-0005-0000-0000-0000811E0000}"/>
    <cellStyle name="40% - Ênfase5 8 10 2" xfId="7255" xr:uid="{00000000-0005-0000-0000-0000821E0000}"/>
    <cellStyle name="40% - Ênfase5 8 2" xfId="7256" xr:uid="{00000000-0005-0000-0000-0000831E0000}"/>
    <cellStyle name="40% - Ênfase5 8 2 2" xfId="7257" xr:uid="{00000000-0005-0000-0000-0000841E0000}"/>
    <cellStyle name="40% - Ênfase5 8 2 2 2" xfId="25658" xr:uid="{00000000-0005-0000-0000-0000851E0000}"/>
    <cellStyle name="40% - Ênfase5 8 2 2 2 2" xfId="27001" xr:uid="{00000000-0005-0000-0000-0000861E0000}"/>
    <cellStyle name="40% - Ênfase5 8 2 2 3" xfId="27000" xr:uid="{00000000-0005-0000-0000-0000871E0000}"/>
    <cellStyle name="40% - Ênfase5 8 2 3" xfId="25659" xr:uid="{00000000-0005-0000-0000-0000881E0000}"/>
    <cellStyle name="40% - Ênfase5 8 2 3 2" xfId="27002" xr:uid="{00000000-0005-0000-0000-0000891E0000}"/>
    <cellStyle name="40% - Ênfase5 8 2 4" xfId="26999" xr:uid="{00000000-0005-0000-0000-00008A1E0000}"/>
    <cellStyle name="40% - Ênfase5 8 3" xfId="7258" xr:uid="{00000000-0005-0000-0000-00008B1E0000}"/>
    <cellStyle name="40% - Ênfase5 8 3 2" xfId="7259" xr:uid="{00000000-0005-0000-0000-00008C1E0000}"/>
    <cellStyle name="40% - Ênfase5 8 3 2 2" xfId="27004" xr:uid="{00000000-0005-0000-0000-00008D1E0000}"/>
    <cellStyle name="40% - Ênfase5 8 3 3" xfId="27003" xr:uid="{00000000-0005-0000-0000-00008E1E0000}"/>
    <cellStyle name="40% - Ênfase5 8 4" xfId="7260" xr:uid="{00000000-0005-0000-0000-00008F1E0000}"/>
    <cellStyle name="40% - Ênfase5 8 4 2" xfId="7261" xr:uid="{00000000-0005-0000-0000-0000901E0000}"/>
    <cellStyle name="40% - Ênfase5 8 5" xfId="7262" xr:uid="{00000000-0005-0000-0000-0000911E0000}"/>
    <cellStyle name="40% - Ênfase5 8 5 2" xfId="7263" xr:uid="{00000000-0005-0000-0000-0000921E0000}"/>
    <cellStyle name="40% - Ênfase5 8 6" xfId="7264" xr:uid="{00000000-0005-0000-0000-0000931E0000}"/>
    <cellStyle name="40% - Ênfase5 8 6 2" xfId="7265" xr:uid="{00000000-0005-0000-0000-0000941E0000}"/>
    <cellStyle name="40% - Ênfase5 8 7" xfId="7266" xr:uid="{00000000-0005-0000-0000-0000951E0000}"/>
    <cellStyle name="40% - Ênfase5 8 7 2" xfId="7267" xr:uid="{00000000-0005-0000-0000-0000961E0000}"/>
    <cellStyle name="40% - Ênfase5 8 8" xfId="7268" xr:uid="{00000000-0005-0000-0000-0000971E0000}"/>
    <cellStyle name="40% - Ênfase5 8 8 2" xfId="7269" xr:uid="{00000000-0005-0000-0000-0000981E0000}"/>
    <cellStyle name="40% - Ênfase5 8 9" xfId="7270" xr:uid="{00000000-0005-0000-0000-0000991E0000}"/>
    <cellStyle name="40% - Ênfase5 8 9 2" xfId="7271" xr:uid="{00000000-0005-0000-0000-00009A1E0000}"/>
    <cellStyle name="40% - Ênfase5 9" xfId="7272" xr:uid="{00000000-0005-0000-0000-00009B1E0000}"/>
    <cellStyle name="40% - Ênfase5 9 10" xfId="7273" xr:uid="{00000000-0005-0000-0000-00009C1E0000}"/>
    <cellStyle name="40% - Ênfase5 9 10 2" xfId="7274" xr:uid="{00000000-0005-0000-0000-00009D1E0000}"/>
    <cellStyle name="40% - Ênfase5 9 11" xfId="7275" xr:uid="{00000000-0005-0000-0000-00009E1E0000}"/>
    <cellStyle name="40% - Ênfase5 9 12" xfId="7276" xr:uid="{00000000-0005-0000-0000-00009F1E0000}"/>
    <cellStyle name="40% - Ênfase5 9 2" xfId="7277" xr:uid="{00000000-0005-0000-0000-0000A01E0000}"/>
    <cellStyle name="40% - Ênfase5 9 2 2" xfId="7278" xr:uid="{00000000-0005-0000-0000-0000A11E0000}"/>
    <cellStyle name="40% - Ênfase5 9 2 2 2" xfId="27006" xr:uid="{00000000-0005-0000-0000-0000A21E0000}"/>
    <cellStyle name="40% - Ênfase5 9 2 3" xfId="27005" xr:uid="{00000000-0005-0000-0000-0000A31E0000}"/>
    <cellStyle name="40% - Ênfase5 9 3" xfId="7279" xr:uid="{00000000-0005-0000-0000-0000A41E0000}"/>
    <cellStyle name="40% - Ênfase5 9 3 2" xfId="7280" xr:uid="{00000000-0005-0000-0000-0000A51E0000}"/>
    <cellStyle name="40% - Ênfase5 9 4" xfId="7281" xr:uid="{00000000-0005-0000-0000-0000A61E0000}"/>
    <cellStyle name="40% - Ênfase5 9 4 2" xfId="7282" xr:uid="{00000000-0005-0000-0000-0000A71E0000}"/>
    <cellStyle name="40% - Ênfase5 9 5" xfId="7283" xr:uid="{00000000-0005-0000-0000-0000A81E0000}"/>
    <cellStyle name="40% - Ênfase5 9 5 2" xfId="7284" xr:uid="{00000000-0005-0000-0000-0000A91E0000}"/>
    <cellStyle name="40% - Ênfase5 9 6" xfId="7285" xr:uid="{00000000-0005-0000-0000-0000AA1E0000}"/>
    <cellStyle name="40% - Ênfase5 9 6 2" xfId="7286" xr:uid="{00000000-0005-0000-0000-0000AB1E0000}"/>
    <cellStyle name="40% - Ênfase5 9 7" xfId="7287" xr:uid="{00000000-0005-0000-0000-0000AC1E0000}"/>
    <cellStyle name="40% - Ênfase5 9 7 2" xfId="7288" xr:uid="{00000000-0005-0000-0000-0000AD1E0000}"/>
    <cellStyle name="40% - Ênfase5 9 8" xfId="7289" xr:uid="{00000000-0005-0000-0000-0000AE1E0000}"/>
    <cellStyle name="40% - Ênfase5 9 8 2" xfId="7290" xr:uid="{00000000-0005-0000-0000-0000AF1E0000}"/>
    <cellStyle name="40% - Ênfase5 9 9" xfId="7291" xr:uid="{00000000-0005-0000-0000-0000B01E0000}"/>
    <cellStyle name="40% - Ênfase5 9 9 2" xfId="7292" xr:uid="{00000000-0005-0000-0000-0000B11E0000}"/>
    <cellStyle name="40% - Ênfase6" xfId="38" builtinId="51" customBuiltin="1"/>
    <cellStyle name="40% - Ênfase6 10" xfId="7293" xr:uid="{00000000-0005-0000-0000-0000B31E0000}"/>
    <cellStyle name="40% - Ênfase6 10 2" xfId="7294" xr:uid="{00000000-0005-0000-0000-0000B41E0000}"/>
    <cellStyle name="40% - Ênfase6 10 2 2" xfId="7295" xr:uid="{00000000-0005-0000-0000-0000B51E0000}"/>
    <cellStyle name="40% - Ênfase6 10 2 2 2" xfId="27008" xr:uid="{00000000-0005-0000-0000-0000B61E0000}"/>
    <cellStyle name="40% - Ênfase6 10 2 3" xfId="27007" xr:uid="{00000000-0005-0000-0000-0000B71E0000}"/>
    <cellStyle name="40% - Ênfase6 10 3" xfId="7296" xr:uid="{00000000-0005-0000-0000-0000B81E0000}"/>
    <cellStyle name="40% - Ênfase6 10 3 2" xfId="7297" xr:uid="{00000000-0005-0000-0000-0000B91E0000}"/>
    <cellStyle name="40% - Ênfase6 10 4" xfId="7298" xr:uid="{00000000-0005-0000-0000-0000BA1E0000}"/>
    <cellStyle name="40% - Ênfase6 10 4 2" xfId="7299" xr:uid="{00000000-0005-0000-0000-0000BB1E0000}"/>
    <cellStyle name="40% - Ênfase6 10 5" xfId="7300" xr:uid="{00000000-0005-0000-0000-0000BC1E0000}"/>
    <cellStyle name="40% - Ênfase6 10 5 2" xfId="7301" xr:uid="{00000000-0005-0000-0000-0000BD1E0000}"/>
    <cellStyle name="40% - Ênfase6 10 6" xfId="7302" xr:uid="{00000000-0005-0000-0000-0000BE1E0000}"/>
    <cellStyle name="40% - Ênfase6 11" xfId="7303" xr:uid="{00000000-0005-0000-0000-0000BF1E0000}"/>
    <cellStyle name="40% - Ênfase6 11 2" xfId="7304" xr:uid="{00000000-0005-0000-0000-0000C01E0000}"/>
    <cellStyle name="40% - Ênfase6 11 2 2" xfId="7305" xr:uid="{00000000-0005-0000-0000-0000C11E0000}"/>
    <cellStyle name="40% - Ênfase6 11 2 3" xfId="27009" xr:uid="{00000000-0005-0000-0000-0000C21E0000}"/>
    <cellStyle name="40% - Ênfase6 11 3" xfId="7306" xr:uid="{00000000-0005-0000-0000-0000C31E0000}"/>
    <cellStyle name="40% - Ênfase6 11 3 2" xfId="7307" xr:uid="{00000000-0005-0000-0000-0000C41E0000}"/>
    <cellStyle name="40% - Ênfase6 11 4" xfId="7308" xr:uid="{00000000-0005-0000-0000-0000C51E0000}"/>
    <cellStyle name="40% - Ênfase6 11 4 2" xfId="7309" xr:uid="{00000000-0005-0000-0000-0000C61E0000}"/>
    <cellStyle name="40% - Ênfase6 11 5" xfId="7310" xr:uid="{00000000-0005-0000-0000-0000C71E0000}"/>
    <cellStyle name="40% - Ênfase6 11 5 2" xfId="7311" xr:uid="{00000000-0005-0000-0000-0000C81E0000}"/>
    <cellStyle name="40% - Ênfase6 11 6" xfId="7312" xr:uid="{00000000-0005-0000-0000-0000C91E0000}"/>
    <cellStyle name="40% - Ênfase6 11 7" xfId="25660" xr:uid="{00000000-0005-0000-0000-0000CA1E0000}"/>
    <cellStyle name="40% - Ênfase6 12" xfId="7313" xr:uid="{00000000-0005-0000-0000-0000CB1E0000}"/>
    <cellStyle name="40% - Ênfase6 12 2" xfId="7314" xr:uid="{00000000-0005-0000-0000-0000CC1E0000}"/>
    <cellStyle name="40% - Ênfase6 12 2 2" xfId="7315" xr:uid="{00000000-0005-0000-0000-0000CD1E0000}"/>
    <cellStyle name="40% - Ênfase6 12 2 2 2" xfId="27011" xr:uid="{00000000-0005-0000-0000-0000CE1E0000}"/>
    <cellStyle name="40% - Ênfase6 12 2 3" xfId="27010" xr:uid="{00000000-0005-0000-0000-0000CF1E0000}"/>
    <cellStyle name="40% - Ênfase6 12 3" xfId="7316" xr:uid="{00000000-0005-0000-0000-0000D01E0000}"/>
    <cellStyle name="40% - Ênfase6 12 3 2" xfId="7317" xr:uid="{00000000-0005-0000-0000-0000D11E0000}"/>
    <cellStyle name="40% - Ênfase6 12 4" xfId="7318" xr:uid="{00000000-0005-0000-0000-0000D21E0000}"/>
    <cellStyle name="40% - Ênfase6 12 4 2" xfId="7319" xr:uid="{00000000-0005-0000-0000-0000D31E0000}"/>
    <cellStyle name="40% - Ênfase6 12 5" xfId="7320" xr:uid="{00000000-0005-0000-0000-0000D41E0000}"/>
    <cellStyle name="40% - Ênfase6 12 5 2" xfId="7321" xr:uid="{00000000-0005-0000-0000-0000D51E0000}"/>
    <cellStyle name="40% - Ênfase6 12 6" xfId="7322" xr:uid="{00000000-0005-0000-0000-0000D61E0000}"/>
    <cellStyle name="40% - Ênfase6 13" xfId="7323" xr:uid="{00000000-0005-0000-0000-0000D71E0000}"/>
    <cellStyle name="40% - Ênfase6 13 2" xfId="7324" xr:uid="{00000000-0005-0000-0000-0000D81E0000}"/>
    <cellStyle name="40% - Ênfase6 14" xfId="7325" xr:uid="{00000000-0005-0000-0000-0000D91E0000}"/>
    <cellStyle name="40% - Ênfase6 14 2" xfId="7326" xr:uid="{00000000-0005-0000-0000-0000DA1E0000}"/>
    <cellStyle name="40% - Ênfase6 15" xfId="7327" xr:uid="{00000000-0005-0000-0000-0000DB1E0000}"/>
    <cellStyle name="40% - Ênfase6 15 2" xfId="7328" xr:uid="{00000000-0005-0000-0000-0000DC1E0000}"/>
    <cellStyle name="40% - Ênfase6 16" xfId="7329" xr:uid="{00000000-0005-0000-0000-0000DD1E0000}"/>
    <cellStyle name="40% - Ênfase6 16 2" xfId="7330" xr:uid="{00000000-0005-0000-0000-0000DE1E0000}"/>
    <cellStyle name="40% - Ênfase6 17" xfId="7331" xr:uid="{00000000-0005-0000-0000-0000DF1E0000}"/>
    <cellStyle name="40% - Ênfase6 17 2" xfId="7332" xr:uid="{00000000-0005-0000-0000-0000E01E0000}"/>
    <cellStyle name="40% - Ênfase6 18" xfId="7333" xr:uid="{00000000-0005-0000-0000-0000E11E0000}"/>
    <cellStyle name="40% - Ênfase6 18 2" xfId="7334" xr:uid="{00000000-0005-0000-0000-0000E21E0000}"/>
    <cellStyle name="40% - Ênfase6 19" xfId="7335" xr:uid="{00000000-0005-0000-0000-0000E31E0000}"/>
    <cellStyle name="40% - Ênfase6 19 2" xfId="7336" xr:uid="{00000000-0005-0000-0000-0000E41E0000}"/>
    <cellStyle name="40% - Ênfase6 2" xfId="7337" xr:uid="{00000000-0005-0000-0000-0000E51E0000}"/>
    <cellStyle name="40% - Ênfase6 2 2" xfId="7338" xr:uid="{00000000-0005-0000-0000-0000E61E0000}"/>
    <cellStyle name="40% - Ênfase6 2 2 10" xfId="7339" xr:uid="{00000000-0005-0000-0000-0000E71E0000}"/>
    <cellStyle name="40% - Ênfase6 2 2 10 2" xfId="7340" xr:uid="{00000000-0005-0000-0000-0000E81E0000}"/>
    <cellStyle name="40% - Ênfase6 2 2 11" xfId="7341" xr:uid="{00000000-0005-0000-0000-0000E91E0000}"/>
    <cellStyle name="40% - Ênfase6 2 2 11 2" xfId="7342" xr:uid="{00000000-0005-0000-0000-0000EA1E0000}"/>
    <cellStyle name="40% - Ênfase6 2 2 12" xfId="7343" xr:uid="{00000000-0005-0000-0000-0000EB1E0000}"/>
    <cellStyle name="40% - Ênfase6 2 2 12 2" xfId="7344" xr:uid="{00000000-0005-0000-0000-0000EC1E0000}"/>
    <cellStyle name="40% - Ênfase6 2 2 13" xfId="25661" xr:uid="{00000000-0005-0000-0000-0000ED1E0000}"/>
    <cellStyle name="40% - Ênfase6 2 2 2" xfId="7345" xr:uid="{00000000-0005-0000-0000-0000EE1E0000}"/>
    <cellStyle name="40% - Ênfase6 2 2 2 10" xfId="7346" xr:uid="{00000000-0005-0000-0000-0000EF1E0000}"/>
    <cellStyle name="40% - Ênfase6 2 2 2 11" xfId="7347" xr:uid="{00000000-0005-0000-0000-0000F01E0000}"/>
    <cellStyle name="40% - Ênfase6 2 2 2 2" xfId="7348" xr:uid="{00000000-0005-0000-0000-0000F11E0000}"/>
    <cellStyle name="40% - Ênfase6 2 2 2 2 2" xfId="25663" xr:uid="{00000000-0005-0000-0000-0000F21E0000}"/>
    <cellStyle name="40% - Ênfase6 2 2 2 2 2 2" xfId="27016" xr:uid="{00000000-0005-0000-0000-0000F31E0000}"/>
    <cellStyle name="40% - Ênfase6 2 2 2 2 3" xfId="27015" xr:uid="{00000000-0005-0000-0000-0000F41E0000}"/>
    <cellStyle name="40% - Ênfase6 2 2 2 2 4" xfId="25662" xr:uid="{00000000-0005-0000-0000-0000F51E0000}"/>
    <cellStyle name="40% - Ênfase6 2 2 2 3" xfId="7349" xr:uid="{00000000-0005-0000-0000-0000F61E0000}"/>
    <cellStyle name="40% - Ênfase6 2 2 2 3 2" xfId="27017" xr:uid="{00000000-0005-0000-0000-0000F71E0000}"/>
    <cellStyle name="40% - Ênfase6 2 2 2 3 3" xfId="25664" xr:uid="{00000000-0005-0000-0000-0000F81E0000}"/>
    <cellStyle name="40% - Ênfase6 2 2 2 4" xfId="7350" xr:uid="{00000000-0005-0000-0000-0000F91E0000}"/>
    <cellStyle name="40% - Ênfase6 2 2 2 4 2" xfId="27014" xr:uid="{00000000-0005-0000-0000-0000FA1E0000}"/>
    <cellStyle name="40% - Ênfase6 2 2 2 5" xfId="7351" xr:uid="{00000000-0005-0000-0000-0000FB1E0000}"/>
    <cellStyle name="40% - Ênfase6 2 2 2 6" xfId="7352" xr:uid="{00000000-0005-0000-0000-0000FC1E0000}"/>
    <cellStyle name="40% - Ênfase6 2 2 2 7" xfId="7353" xr:uid="{00000000-0005-0000-0000-0000FD1E0000}"/>
    <cellStyle name="40% - Ênfase6 2 2 2 8" xfId="7354" xr:uid="{00000000-0005-0000-0000-0000FE1E0000}"/>
    <cellStyle name="40% - Ênfase6 2 2 2 9" xfId="7355" xr:uid="{00000000-0005-0000-0000-0000FF1E0000}"/>
    <cellStyle name="40% - Ênfase6 2 2 3" xfId="7356" xr:uid="{00000000-0005-0000-0000-0000001F0000}"/>
    <cellStyle name="40% - Ênfase6 2 2 3 2" xfId="25666" xr:uid="{00000000-0005-0000-0000-0000011F0000}"/>
    <cellStyle name="40% - Ênfase6 2 2 3 2 2" xfId="25667" xr:uid="{00000000-0005-0000-0000-0000021F0000}"/>
    <cellStyle name="40% - Ênfase6 2 2 3 2 2 2" xfId="27020" xr:uid="{00000000-0005-0000-0000-0000031F0000}"/>
    <cellStyle name="40% - Ênfase6 2 2 3 2 3" xfId="27019" xr:uid="{00000000-0005-0000-0000-0000041F0000}"/>
    <cellStyle name="40% - Ênfase6 2 2 3 3" xfId="25668" xr:uid="{00000000-0005-0000-0000-0000051F0000}"/>
    <cellStyle name="40% - Ênfase6 2 2 3 3 2" xfId="27021" xr:uid="{00000000-0005-0000-0000-0000061F0000}"/>
    <cellStyle name="40% - Ênfase6 2 2 3 4" xfId="27018" xr:uid="{00000000-0005-0000-0000-0000071F0000}"/>
    <cellStyle name="40% - Ênfase6 2 2 3 5" xfId="25665" xr:uid="{00000000-0005-0000-0000-0000081F0000}"/>
    <cellStyle name="40% - Ênfase6 2 2 4" xfId="7357" xr:uid="{00000000-0005-0000-0000-0000091F0000}"/>
    <cellStyle name="40% - Ênfase6 2 2 4 2" xfId="27022" xr:uid="{00000000-0005-0000-0000-00000A1F0000}"/>
    <cellStyle name="40% - Ênfase6 2 2 4 3" xfId="25669" xr:uid="{00000000-0005-0000-0000-00000B1F0000}"/>
    <cellStyle name="40% - Ênfase6 2 2 5" xfId="7358" xr:uid="{00000000-0005-0000-0000-00000C1F0000}"/>
    <cellStyle name="40% - Ênfase6 2 2 5 2" xfId="7359" xr:uid="{00000000-0005-0000-0000-00000D1F0000}"/>
    <cellStyle name="40% - Ênfase6 2 2 5 3" xfId="27013" xr:uid="{00000000-0005-0000-0000-00000E1F0000}"/>
    <cellStyle name="40% - Ênfase6 2 2 6" xfId="7360" xr:uid="{00000000-0005-0000-0000-00000F1F0000}"/>
    <cellStyle name="40% - Ênfase6 2 2 6 2" xfId="7361" xr:uid="{00000000-0005-0000-0000-0000101F0000}"/>
    <cellStyle name="40% - Ênfase6 2 2 7" xfId="7362" xr:uid="{00000000-0005-0000-0000-0000111F0000}"/>
    <cellStyle name="40% - Ênfase6 2 2 7 2" xfId="7363" xr:uid="{00000000-0005-0000-0000-0000121F0000}"/>
    <cellStyle name="40% - Ênfase6 2 2 8" xfId="7364" xr:uid="{00000000-0005-0000-0000-0000131F0000}"/>
    <cellStyle name="40% - Ênfase6 2 2 8 2" xfId="7365" xr:uid="{00000000-0005-0000-0000-0000141F0000}"/>
    <cellStyle name="40% - Ênfase6 2 2 9" xfId="7366" xr:uid="{00000000-0005-0000-0000-0000151F0000}"/>
    <cellStyle name="40% - Ênfase6 2 2 9 2" xfId="7367" xr:uid="{00000000-0005-0000-0000-0000161F0000}"/>
    <cellStyle name="40% - Ênfase6 2 3" xfId="7368" xr:uid="{00000000-0005-0000-0000-0000171F0000}"/>
    <cellStyle name="40% - Ênfase6 2 3 2" xfId="25671" xr:uid="{00000000-0005-0000-0000-0000181F0000}"/>
    <cellStyle name="40% - Ênfase6 2 3 2 2" xfId="25672" xr:uid="{00000000-0005-0000-0000-0000191F0000}"/>
    <cellStyle name="40% - Ênfase6 2 3 2 2 2" xfId="27025" xr:uid="{00000000-0005-0000-0000-00001A1F0000}"/>
    <cellStyle name="40% - Ênfase6 2 3 2 3" xfId="27024" xr:uid="{00000000-0005-0000-0000-00001B1F0000}"/>
    <cellStyle name="40% - Ênfase6 2 3 3" xfId="25673" xr:uid="{00000000-0005-0000-0000-00001C1F0000}"/>
    <cellStyle name="40% - Ênfase6 2 3 3 2" xfId="27026" xr:uid="{00000000-0005-0000-0000-00001D1F0000}"/>
    <cellStyle name="40% - Ênfase6 2 3 4" xfId="27023" xr:uid="{00000000-0005-0000-0000-00001E1F0000}"/>
    <cellStyle name="40% - Ênfase6 2 3 5" xfId="25670" xr:uid="{00000000-0005-0000-0000-00001F1F0000}"/>
    <cellStyle name="40% - Ênfase6 2 4" xfId="7369" xr:uid="{00000000-0005-0000-0000-0000201F0000}"/>
    <cellStyle name="40% - Ênfase6 2 4 2" xfId="25675" xr:uid="{00000000-0005-0000-0000-0000211F0000}"/>
    <cellStyle name="40% - Ênfase6 2 4 2 2" xfId="25676" xr:uid="{00000000-0005-0000-0000-0000221F0000}"/>
    <cellStyle name="40% - Ênfase6 2 4 2 2 2" xfId="27029" xr:uid="{00000000-0005-0000-0000-0000231F0000}"/>
    <cellStyle name="40% - Ênfase6 2 4 2 3" xfId="27028" xr:uid="{00000000-0005-0000-0000-0000241F0000}"/>
    <cellStyle name="40% - Ênfase6 2 4 3" xfId="25677" xr:uid="{00000000-0005-0000-0000-0000251F0000}"/>
    <cellStyle name="40% - Ênfase6 2 4 3 2" xfId="27030" xr:uid="{00000000-0005-0000-0000-0000261F0000}"/>
    <cellStyle name="40% - Ênfase6 2 4 4" xfId="27027" xr:uid="{00000000-0005-0000-0000-0000271F0000}"/>
    <cellStyle name="40% - Ênfase6 2 4 5" xfId="25674" xr:uid="{00000000-0005-0000-0000-0000281F0000}"/>
    <cellStyle name="40% - Ênfase6 2 5" xfId="7370" xr:uid="{00000000-0005-0000-0000-0000291F0000}"/>
    <cellStyle name="40% - Ênfase6 2 5 10" xfId="7371" xr:uid="{00000000-0005-0000-0000-00002A1F0000}"/>
    <cellStyle name="40% - Ênfase6 2 5 10 2" xfId="7372" xr:uid="{00000000-0005-0000-0000-00002B1F0000}"/>
    <cellStyle name="40% - Ênfase6 2 5 2" xfId="7373" xr:uid="{00000000-0005-0000-0000-00002C1F0000}"/>
    <cellStyle name="40% - Ênfase6 2 5 2 2" xfId="7374" xr:uid="{00000000-0005-0000-0000-00002D1F0000}"/>
    <cellStyle name="40% - Ênfase6 2 5 3" xfId="7375" xr:uid="{00000000-0005-0000-0000-00002E1F0000}"/>
    <cellStyle name="40% - Ênfase6 2 5 3 2" xfId="7376" xr:uid="{00000000-0005-0000-0000-00002F1F0000}"/>
    <cellStyle name="40% - Ênfase6 2 5 4" xfId="7377" xr:uid="{00000000-0005-0000-0000-0000301F0000}"/>
    <cellStyle name="40% - Ênfase6 2 5 4 2" xfId="7378" xr:uid="{00000000-0005-0000-0000-0000311F0000}"/>
    <cellStyle name="40% - Ênfase6 2 5 5" xfId="7379" xr:uid="{00000000-0005-0000-0000-0000321F0000}"/>
    <cellStyle name="40% - Ênfase6 2 5 5 2" xfId="7380" xr:uid="{00000000-0005-0000-0000-0000331F0000}"/>
    <cellStyle name="40% - Ênfase6 2 5 6" xfId="7381" xr:uid="{00000000-0005-0000-0000-0000341F0000}"/>
    <cellStyle name="40% - Ênfase6 2 5 6 2" xfId="7382" xr:uid="{00000000-0005-0000-0000-0000351F0000}"/>
    <cellStyle name="40% - Ênfase6 2 5 7" xfId="7383" xr:uid="{00000000-0005-0000-0000-0000361F0000}"/>
    <cellStyle name="40% - Ênfase6 2 5 7 2" xfId="7384" xr:uid="{00000000-0005-0000-0000-0000371F0000}"/>
    <cellStyle name="40% - Ênfase6 2 5 8" xfId="7385" xr:uid="{00000000-0005-0000-0000-0000381F0000}"/>
    <cellStyle name="40% - Ênfase6 2 5 8 2" xfId="7386" xr:uid="{00000000-0005-0000-0000-0000391F0000}"/>
    <cellStyle name="40% - Ênfase6 2 5 9" xfId="7387" xr:uid="{00000000-0005-0000-0000-00003A1F0000}"/>
    <cellStyle name="40% - Ênfase6 2 5 9 2" xfId="7388" xr:uid="{00000000-0005-0000-0000-00003B1F0000}"/>
    <cellStyle name="40% - Ênfase6 2 6" xfId="7389" xr:uid="{00000000-0005-0000-0000-00003C1F0000}"/>
    <cellStyle name="40% - Ênfase6 2 6 2" xfId="7390" xr:uid="{00000000-0005-0000-0000-00003D1F0000}"/>
    <cellStyle name="40% - Ênfase6 2 6 2 2" xfId="7391" xr:uid="{00000000-0005-0000-0000-00003E1F0000}"/>
    <cellStyle name="40% - Ênfase6 2 6 3" xfId="7392" xr:uid="{00000000-0005-0000-0000-00003F1F0000}"/>
    <cellStyle name="40% - Ênfase6 2 6 3 2" xfId="7393" xr:uid="{00000000-0005-0000-0000-0000401F0000}"/>
    <cellStyle name="40% - Ênfase6 2 6 4" xfId="7394" xr:uid="{00000000-0005-0000-0000-0000411F0000}"/>
    <cellStyle name="40% - Ênfase6 2 6 4 2" xfId="7395" xr:uid="{00000000-0005-0000-0000-0000421F0000}"/>
    <cellStyle name="40% - Ênfase6 2 6 5" xfId="7396" xr:uid="{00000000-0005-0000-0000-0000431F0000}"/>
    <cellStyle name="40% - Ênfase6 2 6 5 2" xfId="7397" xr:uid="{00000000-0005-0000-0000-0000441F0000}"/>
    <cellStyle name="40% - Ênfase6 2 6 6" xfId="7398" xr:uid="{00000000-0005-0000-0000-0000451F0000}"/>
    <cellStyle name="40% - Ênfase6 2 7" xfId="27012" xr:uid="{00000000-0005-0000-0000-0000461F0000}"/>
    <cellStyle name="40% - Ênfase6 20" xfId="7399" xr:uid="{00000000-0005-0000-0000-0000471F0000}"/>
    <cellStyle name="40% - Ênfase6 20 2" xfId="7400" xr:uid="{00000000-0005-0000-0000-0000481F0000}"/>
    <cellStyle name="40% - Ênfase6 21" xfId="7401" xr:uid="{00000000-0005-0000-0000-0000491F0000}"/>
    <cellStyle name="40% - Ênfase6 21 2" xfId="7402" xr:uid="{00000000-0005-0000-0000-00004A1F0000}"/>
    <cellStyle name="40% - Ênfase6 22" xfId="7403" xr:uid="{00000000-0005-0000-0000-00004B1F0000}"/>
    <cellStyle name="40% - Ênfase6 22 2" xfId="7404" xr:uid="{00000000-0005-0000-0000-00004C1F0000}"/>
    <cellStyle name="40% - Ênfase6 23" xfId="7405" xr:uid="{00000000-0005-0000-0000-00004D1F0000}"/>
    <cellStyle name="40% - Ênfase6 23 2" xfId="7406" xr:uid="{00000000-0005-0000-0000-00004E1F0000}"/>
    <cellStyle name="40% - Ênfase6 24" xfId="7407" xr:uid="{00000000-0005-0000-0000-00004F1F0000}"/>
    <cellStyle name="40% - Ênfase6 24 2" xfId="7408" xr:uid="{00000000-0005-0000-0000-0000501F0000}"/>
    <cellStyle name="40% - Ênfase6 25" xfId="7409" xr:uid="{00000000-0005-0000-0000-0000511F0000}"/>
    <cellStyle name="40% - Ênfase6 25 2" xfId="7410" xr:uid="{00000000-0005-0000-0000-0000521F0000}"/>
    <cellStyle name="40% - Ênfase6 26" xfId="7411" xr:uid="{00000000-0005-0000-0000-0000531F0000}"/>
    <cellStyle name="40% - Ênfase6 26 2" xfId="7412" xr:uid="{00000000-0005-0000-0000-0000541F0000}"/>
    <cellStyle name="40% - Ênfase6 27" xfId="7413" xr:uid="{00000000-0005-0000-0000-0000551F0000}"/>
    <cellStyle name="40% - Ênfase6 27 2" xfId="7414" xr:uid="{00000000-0005-0000-0000-0000561F0000}"/>
    <cellStyle name="40% - Ênfase6 28" xfId="7415" xr:uid="{00000000-0005-0000-0000-0000571F0000}"/>
    <cellStyle name="40% - Ênfase6 28 2" xfId="7416" xr:uid="{00000000-0005-0000-0000-0000581F0000}"/>
    <cellStyle name="40% - Ênfase6 29" xfId="7417" xr:uid="{00000000-0005-0000-0000-0000591F0000}"/>
    <cellStyle name="40% - Ênfase6 29 2" xfId="7418" xr:uid="{00000000-0005-0000-0000-00005A1F0000}"/>
    <cellStyle name="40% - Ênfase6 3" xfId="7419" xr:uid="{00000000-0005-0000-0000-00005B1F0000}"/>
    <cellStyle name="40% - Ênfase6 3 2" xfId="7420" xr:uid="{00000000-0005-0000-0000-00005C1F0000}"/>
    <cellStyle name="40% - Ênfase6 3 2 10" xfId="7421" xr:uid="{00000000-0005-0000-0000-00005D1F0000}"/>
    <cellStyle name="40% - Ênfase6 3 2 10 2" xfId="7422" xr:uid="{00000000-0005-0000-0000-00005E1F0000}"/>
    <cellStyle name="40% - Ênfase6 3 2 11" xfId="7423" xr:uid="{00000000-0005-0000-0000-00005F1F0000}"/>
    <cellStyle name="40% - Ênfase6 3 2 11 2" xfId="7424" xr:uid="{00000000-0005-0000-0000-0000601F0000}"/>
    <cellStyle name="40% - Ênfase6 3 2 12" xfId="7425" xr:uid="{00000000-0005-0000-0000-0000611F0000}"/>
    <cellStyle name="40% - Ênfase6 3 2 12 2" xfId="7426" xr:uid="{00000000-0005-0000-0000-0000621F0000}"/>
    <cellStyle name="40% - Ênfase6 3 2 2" xfId="7427" xr:uid="{00000000-0005-0000-0000-0000631F0000}"/>
    <cellStyle name="40% - Ênfase6 3 2 2 10" xfId="7428" xr:uid="{00000000-0005-0000-0000-0000641F0000}"/>
    <cellStyle name="40% - Ênfase6 3 2 2 11" xfId="7429" xr:uid="{00000000-0005-0000-0000-0000651F0000}"/>
    <cellStyle name="40% - Ênfase6 3 2 2 2" xfId="7430" xr:uid="{00000000-0005-0000-0000-0000661F0000}"/>
    <cellStyle name="40% - Ênfase6 3 2 2 2 2" xfId="25679" xr:uid="{00000000-0005-0000-0000-0000671F0000}"/>
    <cellStyle name="40% - Ênfase6 3 2 2 2 2 2" xfId="27034" xr:uid="{00000000-0005-0000-0000-0000681F0000}"/>
    <cellStyle name="40% - Ênfase6 3 2 2 2 3" xfId="27033" xr:uid="{00000000-0005-0000-0000-0000691F0000}"/>
    <cellStyle name="40% - Ênfase6 3 2 2 2 4" xfId="25678" xr:uid="{00000000-0005-0000-0000-00006A1F0000}"/>
    <cellStyle name="40% - Ênfase6 3 2 2 3" xfId="7431" xr:uid="{00000000-0005-0000-0000-00006B1F0000}"/>
    <cellStyle name="40% - Ênfase6 3 2 2 3 2" xfId="27035" xr:uid="{00000000-0005-0000-0000-00006C1F0000}"/>
    <cellStyle name="40% - Ênfase6 3 2 2 3 3" xfId="25680" xr:uid="{00000000-0005-0000-0000-00006D1F0000}"/>
    <cellStyle name="40% - Ênfase6 3 2 2 4" xfId="7432" xr:uid="{00000000-0005-0000-0000-00006E1F0000}"/>
    <cellStyle name="40% - Ênfase6 3 2 2 4 2" xfId="27032" xr:uid="{00000000-0005-0000-0000-00006F1F0000}"/>
    <cellStyle name="40% - Ênfase6 3 2 2 5" xfId="7433" xr:uid="{00000000-0005-0000-0000-0000701F0000}"/>
    <cellStyle name="40% - Ênfase6 3 2 2 6" xfId="7434" xr:uid="{00000000-0005-0000-0000-0000711F0000}"/>
    <cellStyle name="40% - Ênfase6 3 2 2 7" xfId="7435" xr:uid="{00000000-0005-0000-0000-0000721F0000}"/>
    <cellStyle name="40% - Ênfase6 3 2 2 8" xfId="7436" xr:uid="{00000000-0005-0000-0000-0000731F0000}"/>
    <cellStyle name="40% - Ênfase6 3 2 2 9" xfId="7437" xr:uid="{00000000-0005-0000-0000-0000741F0000}"/>
    <cellStyle name="40% - Ênfase6 3 2 3" xfId="7438" xr:uid="{00000000-0005-0000-0000-0000751F0000}"/>
    <cellStyle name="40% - Ênfase6 3 2 3 2" xfId="25682" xr:uid="{00000000-0005-0000-0000-0000761F0000}"/>
    <cellStyle name="40% - Ênfase6 3 2 3 2 2" xfId="27037" xr:uid="{00000000-0005-0000-0000-0000771F0000}"/>
    <cellStyle name="40% - Ênfase6 3 2 3 3" xfId="27036" xr:uid="{00000000-0005-0000-0000-0000781F0000}"/>
    <cellStyle name="40% - Ênfase6 3 2 3 4" xfId="25681" xr:uid="{00000000-0005-0000-0000-0000791F0000}"/>
    <cellStyle name="40% - Ênfase6 3 2 4" xfId="7439" xr:uid="{00000000-0005-0000-0000-00007A1F0000}"/>
    <cellStyle name="40% - Ênfase6 3 2 4 2" xfId="27038" xr:uid="{00000000-0005-0000-0000-00007B1F0000}"/>
    <cellStyle name="40% - Ênfase6 3 2 4 3" xfId="25683" xr:uid="{00000000-0005-0000-0000-00007C1F0000}"/>
    <cellStyle name="40% - Ênfase6 3 2 5" xfId="7440" xr:uid="{00000000-0005-0000-0000-00007D1F0000}"/>
    <cellStyle name="40% - Ênfase6 3 2 5 2" xfId="7441" xr:uid="{00000000-0005-0000-0000-00007E1F0000}"/>
    <cellStyle name="40% - Ênfase6 3 2 6" xfId="7442" xr:uid="{00000000-0005-0000-0000-00007F1F0000}"/>
    <cellStyle name="40% - Ênfase6 3 2 6 2" xfId="7443" xr:uid="{00000000-0005-0000-0000-0000801F0000}"/>
    <cellStyle name="40% - Ênfase6 3 2 7" xfId="7444" xr:uid="{00000000-0005-0000-0000-0000811F0000}"/>
    <cellStyle name="40% - Ênfase6 3 2 7 2" xfId="7445" xr:uid="{00000000-0005-0000-0000-0000821F0000}"/>
    <cellStyle name="40% - Ênfase6 3 2 8" xfId="7446" xr:uid="{00000000-0005-0000-0000-0000831F0000}"/>
    <cellStyle name="40% - Ênfase6 3 2 8 2" xfId="7447" xr:uid="{00000000-0005-0000-0000-0000841F0000}"/>
    <cellStyle name="40% - Ênfase6 3 2 9" xfId="7448" xr:uid="{00000000-0005-0000-0000-0000851F0000}"/>
    <cellStyle name="40% - Ênfase6 3 2 9 2" xfId="7449" xr:uid="{00000000-0005-0000-0000-0000861F0000}"/>
    <cellStyle name="40% - Ênfase6 3 3" xfId="7450" xr:uid="{00000000-0005-0000-0000-0000871F0000}"/>
    <cellStyle name="40% - Ênfase6 3 3 2" xfId="25685" xr:uid="{00000000-0005-0000-0000-0000881F0000}"/>
    <cellStyle name="40% - Ênfase6 3 3 2 2" xfId="25686" xr:uid="{00000000-0005-0000-0000-0000891F0000}"/>
    <cellStyle name="40% - Ênfase6 3 3 2 2 2" xfId="27041" xr:uid="{00000000-0005-0000-0000-00008A1F0000}"/>
    <cellStyle name="40% - Ênfase6 3 3 2 3" xfId="27040" xr:uid="{00000000-0005-0000-0000-00008B1F0000}"/>
    <cellStyle name="40% - Ênfase6 3 3 3" xfId="25687" xr:uid="{00000000-0005-0000-0000-00008C1F0000}"/>
    <cellStyle name="40% - Ênfase6 3 3 3 2" xfId="27042" xr:uid="{00000000-0005-0000-0000-00008D1F0000}"/>
    <cellStyle name="40% - Ênfase6 3 3 4" xfId="27039" xr:uid="{00000000-0005-0000-0000-00008E1F0000}"/>
    <cellStyle name="40% - Ênfase6 3 3 5" xfId="25684" xr:uid="{00000000-0005-0000-0000-00008F1F0000}"/>
    <cellStyle name="40% - Ênfase6 3 4" xfId="7451" xr:uid="{00000000-0005-0000-0000-0000901F0000}"/>
    <cellStyle name="40% - Ênfase6 3 4 2" xfId="27043" xr:uid="{00000000-0005-0000-0000-0000911F0000}"/>
    <cellStyle name="40% - Ênfase6 3 5" xfId="7452" xr:uid="{00000000-0005-0000-0000-0000921F0000}"/>
    <cellStyle name="40% - Ênfase6 3 5 10" xfId="7453" xr:uid="{00000000-0005-0000-0000-0000931F0000}"/>
    <cellStyle name="40% - Ênfase6 3 5 10 2" xfId="7454" xr:uid="{00000000-0005-0000-0000-0000941F0000}"/>
    <cellStyle name="40% - Ênfase6 3 5 2" xfId="7455" xr:uid="{00000000-0005-0000-0000-0000951F0000}"/>
    <cellStyle name="40% - Ênfase6 3 5 2 2" xfId="7456" xr:uid="{00000000-0005-0000-0000-0000961F0000}"/>
    <cellStyle name="40% - Ênfase6 3 5 3" xfId="7457" xr:uid="{00000000-0005-0000-0000-0000971F0000}"/>
    <cellStyle name="40% - Ênfase6 3 5 3 2" xfId="7458" xr:uid="{00000000-0005-0000-0000-0000981F0000}"/>
    <cellStyle name="40% - Ênfase6 3 5 4" xfId="7459" xr:uid="{00000000-0005-0000-0000-0000991F0000}"/>
    <cellStyle name="40% - Ênfase6 3 5 4 2" xfId="7460" xr:uid="{00000000-0005-0000-0000-00009A1F0000}"/>
    <cellStyle name="40% - Ênfase6 3 5 5" xfId="7461" xr:uid="{00000000-0005-0000-0000-00009B1F0000}"/>
    <cellStyle name="40% - Ênfase6 3 5 5 2" xfId="7462" xr:uid="{00000000-0005-0000-0000-00009C1F0000}"/>
    <cellStyle name="40% - Ênfase6 3 5 6" xfId="7463" xr:uid="{00000000-0005-0000-0000-00009D1F0000}"/>
    <cellStyle name="40% - Ênfase6 3 5 6 2" xfId="7464" xr:uid="{00000000-0005-0000-0000-00009E1F0000}"/>
    <cellStyle name="40% - Ênfase6 3 5 7" xfId="7465" xr:uid="{00000000-0005-0000-0000-00009F1F0000}"/>
    <cellStyle name="40% - Ênfase6 3 5 7 2" xfId="7466" xr:uid="{00000000-0005-0000-0000-0000A01F0000}"/>
    <cellStyle name="40% - Ênfase6 3 5 8" xfId="7467" xr:uid="{00000000-0005-0000-0000-0000A11F0000}"/>
    <cellStyle name="40% - Ênfase6 3 5 8 2" xfId="7468" xr:uid="{00000000-0005-0000-0000-0000A21F0000}"/>
    <cellStyle name="40% - Ênfase6 3 5 9" xfId="7469" xr:uid="{00000000-0005-0000-0000-0000A31F0000}"/>
    <cellStyle name="40% - Ênfase6 3 5 9 2" xfId="7470" xr:uid="{00000000-0005-0000-0000-0000A41F0000}"/>
    <cellStyle name="40% - Ênfase6 3 6" xfId="7471" xr:uid="{00000000-0005-0000-0000-0000A51F0000}"/>
    <cellStyle name="40% - Ênfase6 3 6 2" xfId="7472" xr:uid="{00000000-0005-0000-0000-0000A61F0000}"/>
    <cellStyle name="40% - Ênfase6 3 6 2 2" xfId="7473" xr:uid="{00000000-0005-0000-0000-0000A71F0000}"/>
    <cellStyle name="40% - Ênfase6 3 6 3" xfId="7474" xr:uid="{00000000-0005-0000-0000-0000A81F0000}"/>
    <cellStyle name="40% - Ênfase6 3 6 3 2" xfId="7475" xr:uid="{00000000-0005-0000-0000-0000A91F0000}"/>
    <cellStyle name="40% - Ênfase6 3 6 4" xfId="7476" xr:uid="{00000000-0005-0000-0000-0000AA1F0000}"/>
    <cellStyle name="40% - Ênfase6 3 6 4 2" xfId="7477" xr:uid="{00000000-0005-0000-0000-0000AB1F0000}"/>
    <cellStyle name="40% - Ênfase6 3 6 5" xfId="7478" xr:uid="{00000000-0005-0000-0000-0000AC1F0000}"/>
    <cellStyle name="40% - Ênfase6 3 6 5 2" xfId="7479" xr:uid="{00000000-0005-0000-0000-0000AD1F0000}"/>
    <cellStyle name="40% - Ênfase6 3 6 6" xfId="7480" xr:uid="{00000000-0005-0000-0000-0000AE1F0000}"/>
    <cellStyle name="40% - Ênfase6 3 7" xfId="25688" xr:uid="{00000000-0005-0000-0000-0000AF1F0000}"/>
    <cellStyle name="40% - Ênfase6 3 7 2" xfId="27044" xr:uid="{00000000-0005-0000-0000-0000B01F0000}"/>
    <cellStyle name="40% - Ênfase6 3 8" xfId="27031" xr:uid="{00000000-0005-0000-0000-0000B11F0000}"/>
    <cellStyle name="40% - Ênfase6 30" xfId="7481" xr:uid="{00000000-0005-0000-0000-0000B21F0000}"/>
    <cellStyle name="40% - Ênfase6 30 2" xfId="7482" xr:uid="{00000000-0005-0000-0000-0000B31F0000}"/>
    <cellStyle name="40% - Ênfase6 31" xfId="7483" xr:uid="{00000000-0005-0000-0000-0000B41F0000}"/>
    <cellStyle name="40% - Ênfase6 31 2" xfId="7484" xr:uid="{00000000-0005-0000-0000-0000B51F0000}"/>
    <cellStyle name="40% - Ênfase6 32" xfId="7485" xr:uid="{00000000-0005-0000-0000-0000B61F0000}"/>
    <cellStyle name="40% - Ênfase6 32 2" xfId="7486" xr:uid="{00000000-0005-0000-0000-0000B71F0000}"/>
    <cellStyle name="40% - Ênfase6 33" xfId="7487" xr:uid="{00000000-0005-0000-0000-0000B81F0000}"/>
    <cellStyle name="40% - Ênfase6 33 2" xfId="7488" xr:uid="{00000000-0005-0000-0000-0000B91F0000}"/>
    <cellStyle name="40% - Ênfase6 34" xfId="7489" xr:uid="{00000000-0005-0000-0000-0000BA1F0000}"/>
    <cellStyle name="40% - Ênfase6 34 2" xfId="7490" xr:uid="{00000000-0005-0000-0000-0000BB1F0000}"/>
    <cellStyle name="40% - Ênfase6 35" xfId="7491" xr:uid="{00000000-0005-0000-0000-0000BC1F0000}"/>
    <cellStyle name="40% - Ênfase6 35 2" xfId="7492" xr:uid="{00000000-0005-0000-0000-0000BD1F0000}"/>
    <cellStyle name="40% - Ênfase6 36" xfId="7493" xr:uid="{00000000-0005-0000-0000-0000BE1F0000}"/>
    <cellStyle name="40% - Ênfase6 36 2" xfId="7494" xr:uid="{00000000-0005-0000-0000-0000BF1F0000}"/>
    <cellStyle name="40% - Ênfase6 37" xfId="7495" xr:uid="{00000000-0005-0000-0000-0000C01F0000}"/>
    <cellStyle name="40% - Ênfase6 37 2" xfId="7496" xr:uid="{00000000-0005-0000-0000-0000C11F0000}"/>
    <cellStyle name="40% - Ênfase6 38" xfId="7497" xr:uid="{00000000-0005-0000-0000-0000C21F0000}"/>
    <cellStyle name="40% - Ênfase6 38 2" xfId="7498" xr:uid="{00000000-0005-0000-0000-0000C31F0000}"/>
    <cellStyle name="40% - Ênfase6 39" xfId="7499" xr:uid="{00000000-0005-0000-0000-0000C41F0000}"/>
    <cellStyle name="40% - Ênfase6 39 2" xfId="7500" xr:uid="{00000000-0005-0000-0000-0000C51F0000}"/>
    <cellStyle name="40% - Ênfase6 4" xfId="7501" xr:uid="{00000000-0005-0000-0000-0000C61F0000}"/>
    <cellStyle name="40% - Ênfase6 4 2" xfId="7502" xr:uid="{00000000-0005-0000-0000-0000C71F0000}"/>
    <cellStyle name="40% - Ênfase6 4 2 10" xfId="7503" xr:uid="{00000000-0005-0000-0000-0000C81F0000}"/>
    <cellStyle name="40% - Ênfase6 4 2 10 2" xfId="7504" xr:uid="{00000000-0005-0000-0000-0000C91F0000}"/>
    <cellStyle name="40% - Ênfase6 4 2 11" xfId="7505" xr:uid="{00000000-0005-0000-0000-0000CA1F0000}"/>
    <cellStyle name="40% - Ênfase6 4 2 11 2" xfId="7506" xr:uid="{00000000-0005-0000-0000-0000CB1F0000}"/>
    <cellStyle name="40% - Ênfase6 4 2 12" xfId="7507" xr:uid="{00000000-0005-0000-0000-0000CC1F0000}"/>
    <cellStyle name="40% - Ênfase6 4 2 12 2" xfId="7508" xr:uid="{00000000-0005-0000-0000-0000CD1F0000}"/>
    <cellStyle name="40% - Ênfase6 4 2 2" xfId="7509" xr:uid="{00000000-0005-0000-0000-0000CE1F0000}"/>
    <cellStyle name="40% - Ênfase6 4 2 2 10" xfId="7510" xr:uid="{00000000-0005-0000-0000-0000CF1F0000}"/>
    <cellStyle name="40% - Ênfase6 4 2 2 11" xfId="7511" xr:uid="{00000000-0005-0000-0000-0000D01F0000}"/>
    <cellStyle name="40% - Ênfase6 4 2 2 2" xfId="7512" xr:uid="{00000000-0005-0000-0000-0000D11F0000}"/>
    <cellStyle name="40% - Ênfase6 4 2 2 2 2" xfId="25690" xr:uid="{00000000-0005-0000-0000-0000D21F0000}"/>
    <cellStyle name="40% - Ênfase6 4 2 2 2 2 2" xfId="27048" xr:uid="{00000000-0005-0000-0000-0000D31F0000}"/>
    <cellStyle name="40% - Ênfase6 4 2 2 2 3" xfId="27047" xr:uid="{00000000-0005-0000-0000-0000D41F0000}"/>
    <cellStyle name="40% - Ênfase6 4 2 2 2 4" xfId="25689" xr:uid="{00000000-0005-0000-0000-0000D51F0000}"/>
    <cellStyle name="40% - Ênfase6 4 2 2 3" xfId="7513" xr:uid="{00000000-0005-0000-0000-0000D61F0000}"/>
    <cellStyle name="40% - Ênfase6 4 2 2 3 2" xfId="27049" xr:uid="{00000000-0005-0000-0000-0000D71F0000}"/>
    <cellStyle name="40% - Ênfase6 4 2 2 3 3" xfId="25691" xr:uid="{00000000-0005-0000-0000-0000D81F0000}"/>
    <cellStyle name="40% - Ênfase6 4 2 2 4" xfId="7514" xr:uid="{00000000-0005-0000-0000-0000D91F0000}"/>
    <cellStyle name="40% - Ênfase6 4 2 2 4 2" xfId="27046" xr:uid="{00000000-0005-0000-0000-0000DA1F0000}"/>
    <cellStyle name="40% - Ênfase6 4 2 2 5" xfId="7515" xr:uid="{00000000-0005-0000-0000-0000DB1F0000}"/>
    <cellStyle name="40% - Ênfase6 4 2 2 6" xfId="7516" xr:uid="{00000000-0005-0000-0000-0000DC1F0000}"/>
    <cellStyle name="40% - Ênfase6 4 2 2 7" xfId="7517" xr:uid="{00000000-0005-0000-0000-0000DD1F0000}"/>
    <cellStyle name="40% - Ênfase6 4 2 2 8" xfId="7518" xr:uid="{00000000-0005-0000-0000-0000DE1F0000}"/>
    <cellStyle name="40% - Ênfase6 4 2 2 9" xfId="7519" xr:uid="{00000000-0005-0000-0000-0000DF1F0000}"/>
    <cellStyle name="40% - Ênfase6 4 2 3" xfId="7520" xr:uid="{00000000-0005-0000-0000-0000E01F0000}"/>
    <cellStyle name="40% - Ênfase6 4 2 3 2" xfId="25693" xr:uid="{00000000-0005-0000-0000-0000E11F0000}"/>
    <cellStyle name="40% - Ênfase6 4 2 3 2 2" xfId="27051" xr:uid="{00000000-0005-0000-0000-0000E21F0000}"/>
    <cellStyle name="40% - Ênfase6 4 2 3 3" xfId="27050" xr:uid="{00000000-0005-0000-0000-0000E31F0000}"/>
    <cellStyle name="40% - Ênfase6 4 2 3 4" xfId="25692" xr:uid="{00000000-0005-0000-0000-0000E41F0000}"/>
    <cellStyle name="40% - Ênfase6 4 2 4" xfId="7521" xr:uid="{00000000-0005-0000-0000-0000E51F0000}"/>
    <cellStyle name="40% - Ênfase6 4 2 4 2" xfId="27052" xr:uid="{00000000-0005-0000-0000-0000E61F0000}"/>
    <cellStyle name="40% - Ênfase6 4 2 4 3" xfId="25694" xr:uid="{00000000-0005-0000-0000-0000E71F0000}"/>
    <cellStyle name="40% - Ênfase6 4 2 5" xfId="7522" xr:uid="{00000000-0005-0000-0000-0000E81F0000}"/>
    <cellStyle name="40% - Ênfase6 4 2 5 2" xfId="7523" xr:uid="{00000000-0005-0000-0000-0000E91F0000}"/>
    <cellStyle name="40% - Ênfase6 4 2 6" xfId="7524" xr:uid="{00000000-0005-0000-0000-0000EA1F0000}"/>
    <cellStyle name="40% - Ênfase6 4 2 6 2" xfId="7525" xr:uid="{00000000-0005-0000-0000-0000EB1F0000}"/>
    <cellStyle name="40% - Ênfase6 4 2 7" xfId="7526" xr:uid="{00000000-0005-0000-0000-0000EC1F0000}"/>
    <cellStyle name="40% - Ênfase6 4 2 7 2" xfId="7527" xr:uid="{00000000-0005-0000-0000-0000ED1F0000}"/>
    <cellStyle name="40% - Ênfase6 4 2 8" xfId="7528" xr:uid="{00000000-0005-0000-0000-0000EE1F0000}"/>
    <cellStyle name="40% - Ênfase6 4 2 8 2" xfId="7529" xr:uid="{00000000-0005-0000-0000-0000EF1F0000}"/>
    <cellStyle name="40% - Ênfase6 4 2 9" xfId="7530" xr:uid="{00000000-0005-0000-0000-0000F01F0000}"/>
    <cellStyle name="40% - Ênfase6 4 2 9 2" xfId="7531" xr:uid="{00000000-0005-0000-0000-0000F11F0000}"/>
    <cellStyle name="40% - Ênfase6 4 3" xfId="7532" xr:uid="{00000000-0005-0000-0000-0000F21F0000}"/>
    <cellStyle name="40% - Ênfase6 4 3 2" xfId="25696" xr:uid="{00000000-0005-0000-0000-0000F31F0000}"/>
    <cellStyle name="40% - Ênfase6 4 3 2 2" xfId="25697" xr:uid="{00000000-0005-0000-0000-0000F41F0000}"/>
    <cellStyle name="40% - Ênfase6 4 3 2 2 2" xfId="27055" xr:uid="{00000000-0005-0000-0000-0000F51F0000}"/>
    <cellStyle name="40% - Ênfase6 4 3 2 3" xfId="27054" xr:uid="{00000000-0005-0000-0000-0000F61F0000}"/>
    <cellStyle name="40% - Ênfase6 4 3 3" xfId="25698" xr:uid="{00000000-0005-0000-0000-0000F71F0000}"/>
    <cellStyle name="40% - Ênfase6 4 3 3 2" xfId="27056" xr:uid="{00000000-0005-0000-0000-0000F81F0000}"/>
    <cellStyle name="40% - Ênfase6 4 3 4" xfId="27053" xr:uid="{00000000-0005-0000-0000-0000F91F0000}"/>
    <cellStyle name="40% - Ênfase6 4 3 5" xfId="25695" xr:uid="{00000000-0005-0000-0000-0000FA1F0000}"/>
    <cellStyle name="40% - Ênfase6 4 4" xfId="7533" xr:uid="{00000000-0005-0000-0000-0000FB1F0000}"/>
    <cellStyle name="40% - Ênfase6 4 4 2" xfId="27057" xr:uid="{00000000-0005-0000-0000-0000FC1F0000}"/>
    <cellStyle name="40% - Ênfase6 4 5" xfId="7534" xr:uid="{00000000-0005-0000-0000-0000FD1F0000}"/>
    <cellStyle name="40% - Ênfase6 4 5 10" xfId="7535" xr:uid="{00000000-0005-0000-0000-0000FE1F0000}"/>
    <cellStyle name="40% - Ênfase6 4 5 10 2" xfId="7536" xr:uid="{00000000-0005-0000-0000-0000FF1F0000}"/>
    <cellStyle name="40% - Ênfase6 4 5 2" xfId="7537" xr:uid="{00000000-0005-0000-0000-000000200000}"/>
    <cellStyle name="40% - Ênfase6 4 5 2 2" xfId="7538" xr:uid="{00000000-0005-0000-0000-000001200000}"/>
    <cellStyle name="40% - Ênfase6 4 5 3" xfId="7539" xr:uid="{00000000-0005-0000-0000-000002200000}"/>
    <cellStyle name="40% - Ênfase6 4 5 3 2" xfId="7540" xr:uid="{00000000-0005-0000-0000-000003200000}"/>
    <cellStyle name="40% - Ênfase6 4 5 4" xfId="7541" xr:uid="{00000000-0005-0000-0000-000004200000}"/>
    <cellStyle name="40% - Ênfase6 4 5 4 2" xfId="7542" xr:uid="{00000000-0005-0000-0000-000005200000}"/>
    <cellStyle name="40% - Ênfase6 4 5 5" xfId="7543" xr:uid="{00000000-0005-0000-0000-000006200000}"/>
    <cellStyle name="40% - Ênfase6 4 5 5 2" xfId="7544" xr:uid="{00000000-0005-0000-0000-000007200000}"/>
    <cellStyle name="40% - Ênfase6 4 5 6" xfId="7545" xr:uid="{00000000-0005-0000-0000-000008200000}"/>
    <cellStyle name="40% - Ênfase6 4 5 6 2" xfId="7546" xr:uid="{00000000-0005-0000-0000-000009200000}"/>
    <cellStyle name="40% - Ênfase6 4 5 7" xfId="7547" xr:uid="{00000000-0005-0000-0000-00000A200000}"/>
    <cellStyle name="40% - Ênfase6 4 5 7 2" xfId="7548" xr:uid="{00000000-0005-0000-0000-00000B200000}"/>
    <cellStyle name="40% - Ênfase6 4 5 8" xfId="7549" xr:uid="{00000000-0005-0000-0000-00000C200000}"/>
    <cellStyle name="40% - Ênfase6 4 5 8 2" xfId="7550" xr:uid="{00000000-0005-0000-0000-00000D200000}"/>
    <cellStyle name="40% - Ênfase6 4 5 9" xfId="7551" xr:uid="{00000000-0005-0000-0000-00000E200000}"/>
    <cellStyle name="40% - Ênfase6 4 5 9 2" xfId="7552" xr:uid="{00000000-0005-0000-0000-00000F200000}"/>
    <cellStyle name="40% - Ênfase6 4 6" xfId="7553" xr:uid="{00000000-0005-0000-0000-000010200000}"/>
    <cellStyle name="40% - Ênfase6 4 6 2" xfId="7554" xr:uid="{00000000-0005-0000-0000-000011200000}"/>
    <cellStyle name="40% - Ênfase6 4 6 2 2" xfId="7555" xr:uid="{00000000-0005-0000-0000-000012200000}"/>
    <cellStyle name="40% - Ênfase6 4 6 3" xfId="7556" xr:uid="{00000000-0005-0000-0000-000013200000}"/>
    <cellStyle name="40% - Ênfase6 4 6 3 2" xfId="7557" xr:uid="{00000000-0005-0000-0000-000014200000}"/>
    <cellStyle name="40% - Ênfase6 4 6 4" xfId="7558" xr:uid="{00000000-0005-0000-0000-000015200000}"/>
    <cellStyle name="40% - Ênfase6 4 6 4 2" xfId="7559" xr:uid="{00000000-0005-0000-0000-000016200000}"/>
    <cellStyle name="40% - Ênfase6 4 6 5" xfId="7560" xr:uid="{00000000-0005-0000-0000-000017200000}"/>
    <cellStyle name="40% - Ênfase6 4 6 5 2" xfId="7561" xr:uid="{00000000-0005-0000-0000-000018200000}"/>
    <cellStyle name="40% - Ênfase6 4 6 6" xfId="7562" xr:uid="{00000000-0005-0000-0000-000019200000}"/>
    <cellStyle name="40% - Ênfase6 4 7" xfId="27045" xr:uid="{00000000-0005-0000-0000-00001A200000}"/>
    <cellStyle name="40% - Ênfase6 40" xfId="7563" xr:uid="{00000000-0005-0000-0000-00001B200000}"/>
    <cellStyle name="40% - Ênfase6 40 2" xfId="7564" xr:uid="{00000000-0005-0000-0000-00001C200000}"/>
    <cellStyle name="40% - Ênfase6 41" xfId="7565" xr:uid="{00000000-0005-0000-0000-00001D200000}"/>
    <cellStyle name="40% - Ênfase6 41 2" xfId="7566" xr:uid="{00000000-0005-0000-0000-00001E200000}"/>
    <cellStyle name="40% - Ênfase6 42" xfId="7567" xr:uid="{00000000-0005-0000-0000-00001F200000}"/>
    <cellStyle name="40% - Ênfase6 42 2" xfId="7568" xr:uid="{00000000-0005-0000-0000-000020200000}"/>
    <cellStyle name="40% - Ênfase6 43" xfId="7569" xr:uid="{00000000-0005-0000-0000-000021200000}"/>
    <cellStyle name="40% - Ênfase6 43 2" xfId="7570" xr:uid="{00000000-0005-0000-0000-000022200000}"/>
    <cellStyle name="40% - Ênfase6 44" xfId="7571" xr:uid="{00000000-0005-0000-0000-000023200000}"/>
    <cellStyle name="40% - Ênfase6 44 2" xfId="7572" xr:uid="{00000000-0005-0000-0000-000024200000}"/>
    <cellStyle name="40% - Ênfase6 45" xfId="7573" xr:uid="{00000000-0005-0000-0000-000025200000}"/>
    <cellStyle name="40% - Ênfase6 45 2" xfId="7574" xr:uid="{00000000-0005-0000-0000-000026200000}"/>
    <cellStyle name="40% - Ênfase6 46" xfId="7575" xr:uid="{00000000-0005-0000-0000-000027200000}"/>
    <cellStyle name="40% - Ênfase6 46 2" xfId="7576" xr:uid="{00000000-0005-0000-0000-000028200000}"/>
    <cellStyle name="40% - Ênfase6 47" xfId="7577" xr:uid="{00000000-0005-0000-0000-000029200000}"/>
    <cellStyle name="40% - Ênfase6 47 2" xfId="7578" xr:uid="{00000000-0005-0000-0000-00002A200000}"/>
    <cellStyle name="40% - Ênfase6 48" xfId="7579" xr:uid="{00000000-0005-0000-0000-00002B200000}"/>
    <cellStyle name="40% - Ênfase6 48 2" xfId="7580" xr:uid="{00000000-0005-0000-0000-00002C200000}"/>
    <cellStyle name="40% - Ênfase6 49" xfId="7581" xr:uid="{00000000-0005-0000-0000-00002D200000}"/>
    <cellStyle name="40% - Ênfase6 49 2" xfId="7582" xr:uid="{00000000-0005-0000-0000-00002E200000}"/>
    <cellStyle name="40% - Ênfase6 5" xfId="7583" xr:uid="{00000000-0005-0000-0000-00002F200000}"/>
    <cellStyle name="40% - Ênfase6 5 2" xfId="7584" xr:uid="{00000000-0005-0000-0000-000030200000}"/>
    <cellStyle name="40% - Ênfase6 5 2 2" xfId="7585" xr:uid="{00000000-0005-0000-0000-000031200000}"/>
    <cellStyle name="40% - Ênfase6 5 2 2 2" xfId="25700" xr:uid="{00000000-0005-0000-0000-000032200000}"/>
    <cellStyle name="40% - Ênfase6 5 2 2 2 2" xfId="25701" xr:uid="{00000000-0005-0000-0000-000033200000}"/>
    <cellStyle name="40% - Ênfase6 5 2 2 2 2 2" xfId="27060" xr:uid="{00000000-0005-0000-0000-000034200000}"/>
    <cellStyle name="40% - Ênfase6 5 2 2 2 3" xfId="27059" xr:uid="{00000000-0005-0000-0000-000035200000}"/>
    <cellStyle name="40% - Ênfase6 5 2 2 3" xfId="25702" xr:uid="{00000000-0005-0000-0000-000036200000}"/>
    <cellStyle name="40% - Ênfase6 5 2 2 3 2" xfId="27061" xr:uid="{00000000-0005-0000-0000-000037200000}"/>
    <cellStyle name="40% - Ênfase6 5 2 2 4" xfId="27058" xr:uid="{00000000-0005-0000-0000-000038200000}"/>
    <cellStyle name="40% - Ênfase6 5 2 2 5" xfId="25699" xr:uid="{00000000-0005-0000-0000-000039200000}"/>
    <cellStyle name="40% - Ênfase6 5 2 3" xfId="7586" xr:uid="{00000000-0005-0000-0000-00003A200000}"/>
    <cellStyle name="40% - Ênfase6 5 2 3 2" xfId="25704" xr:uid="{00000000-0005-0000-0000-00003B200000}"/>
    <cellStyle name="40% - Ênfase6 5 2 3 2 2" xfId="27063" xr:uid="{00000000-0005-0000-0000-00003C200000}"/>
    <cellStyle name="40% - Ênfase6 5 2 3 3" xfId="27062" xr:uid="{00000000-0005-0000-0000-00003D200000}"/>
    <cellStyle name="40% - Ênfase6 5 2 3 4" xfId="25703" xr:uid="{00000000-0005-0000-0000-00003E200000}"/>
    <cellStyle name="40% - Ênfase6 5 2 4" xfId="7587" xr:uid="{00000000-0005-0000-0000-00003F200000}"/>
    <cellStyle name="40% - Ênfase6 5 2 4 2" xfId="27064" xr:uid="{00000000-0005-0000-0000-000040200000}"/>
    <cellStyle name="40% - Ênfase6 5 2 4 3" xfId="25705" xr:uid="{00000000-0005-0000-0000-000041200000}"/>
    <cellStyle name="40% - Ênfase6 5 2 5" xfId="7588" xr:uid="{00000000-0005-0000-0000-000042200000}"/>
    <cellStyle name="40% - Ênfase6 5 2 5 2" xfId="7589" xr:uid="{00000000-0005-0000-0000-000043200000}"/>
    <cellStyle name="40% - Ênfase6 5 2 6" xfId="7590" xr:uid="{00000000-0005-0000-0000-000044200000}"/>
    <cellStyle name="40% - Ênfase6 5 2 6 2" xfId="7591" xr:uid="{00000000-0005-0000-0000-000045200000}"/>
    <cellStyle name="40% - Ênfase6 5 2 7" xfId="7592" xr:uid="{00000000-0005-0000-0000-000046200000}"/>
    <cellStyle name="40% - Ênfase6 5 2 7 2" xfId="7593" xr:uid="{00000000-0005-0000-0000-000047200000}"/>
    <cellStyle name="40% - Ênfase6 5 2 8" xfId="7594" xr:uid="{00000000-0005-0000-0000-000048200000}"/>
    <cellStyle name="40% - Ênfase6 5 2 8 2" xfId="7595" xr:uid="{00000000-0005-0000-0000-000049200000}"/>
    <cellStyle name="40% - Ênfase6 5 2 9" xfId="7596" xr:uid="{00000000-0005-0000-0000-00004A200000}"/>
    <cellStyle name="40% - Ênfase6 5 3" xfId="7597" xr:uid="{00000000-0005-0000-0000-00004B200000}"/>
    <cellStyle name="40% - Ênfase6 5 3 2" xfId="25707" xr:uid="{00000000-0005-0000-0000-00004C200000}"/>
    <cellStyle name="40% - Ênfase6 5 3 2 2" xfId="25708" xr:uid="{00000000-0005-0000-0000-00004D200000}"/>
    <cellStyle name="40% - Ênfase6 5 3 2 2 2" xfId="27067" xr:uid="{00000000-0005-0000-0000-00004E200000}"/>
    <cellStyle name="40% - Ênfase6 5 3 2 3" xfId="27066" xr:uid="{00000000-0005-0000-0000-00004F200000}"/>
    <cellStyle name="40% - Ênfase6 5 3 3" xfId="25709" xr:uid="{00000000-0005-0000-0000-000050200000}"/>
    <cellStyle name="40% - Ênfase6 5 3 3 2" xfId="27068" xr:uid="{00000000-0005-0000-0000-000051200000}"/>
    <cellStyle name="40% - Ênfase6 5 3 4" xfId="27065" xr:uid="{00000000-0005-0000-0000-000052200000}"/>
    <cellStyle name="40% - Ênfase6 5 3 5" xfId="25706" xr:uid="{00000000-0005-0000-0000-000053200000}"/>
    <cellStyle name="40% - Ênfase6 5 4" xfId="7598" xr:uid="{00000000-0005-0000-0000-000054200000}"/>
    <cellStyle name="40% - Ênfase6 5 4 2" xfId="25711" xr:uid="{00000000-0005-0000-0000-000055200000}"/>
    <cellStyle name="40% - Ênfase6 5 4 2 2" xfId="27070" xr:uid="{00000000-0005-0000-0000-000056200000}"/>
    <cellStyle name="40% - Ênfase6 5 4 3" xfId="27069" xr:uid="{00000000-0005-0000-0000-000057200000}"/>
    <cellStyle name="40% - Ênfase6 5 4 4" xfId="25710" xr:uid="{00000000-0005-0000-0000-000058200000}"/>
    <cellStyle name="40% - Ênfase6 5 5" xfId="7599" xr:uid="{00000000-0005-0000-0000-000059200000}"/>
    <cellStyle name="40% - Ênfase6 5 5 2" xfId="7600" xr:uid="{00000000-0005-0000-0000-00005A200000}"/>
    <cellStyle name="40% - Ênfase6 5 5 2 2" xfId="7601" xr:uid="{00000000-0005-0000-0000-00005B200000}"/>
    <cellStyle name="40% - Ênfase6 5 5 3" xfId="7602" xr:uid="{00000000-0005-0000-0000-00005C200000}"/>
    <cellStyle name="40% - Ênfase6 5 5 3 2" xfId="7603" xr:uid="{00000000-0005-0000-0000-00005D200000}"/>
    <cellStyle name="40% - Ênfase6 5 5 4" xfId="7604" xr:uid="{00000000-0005-0000-0000-00005E200000}"/>
    <cellStyle name="40% - Ênfase6 5 5 4 2" xfId="7605" xr:uid="{00000000-0005-0000-0000-00005F200000}"/>
    <cellStyle name="40% - Ênfase6 5 5 5" xfId="7606" xr:uid="{00000000-0005-0000-0000-000060200000}"/>
    <cellStyle name="40% - Ênfase6 5 5 5 2" xfId="7607" xr:uid="{00000000-0005-0000-0000-000061200000}"/>
    <cellStyle name="40% - Ênfase6 5 5 6" xfId="7608" xr:uid="{00000000-0005-0000-0000-000062200000}"/>
    <cellStyle name="40% - Ênfase6 5 6" xfId="7609" xr:uid="{00000000-0005-0000-0000-000063200000}"/>
    <cellStyle name="40% - Ênfase6 5 6 2" xfId="7610" xr:uid="{00000000-0005-0000-0000-000064200000}"/>
    <cellStyle name="40% - Ênfase6 5 6 2 2" xfId="7611" xr:uid="{00000000-0005-0000-0000-000065200000}"/>
    <cellStyle name="40% - Ênfase6 5 6 3" xfId="7612" xr:uid="{00000000-0005-0000-0000-000066200000}"/>
    <cellStyle name="40% - Ênfase6 5 6 3 2" xfId="7613" xr:uid="{00000000-0005-0000-0000-000067200000}"/>
    <cellStyle name="40% - Ênfase6 5 6 4" xfId="7614" xr:uid="{00000000-0005-0000-0000-000068200000}"/>
    <cellStyle name="40% - Ênfase6 5 6 4 2" xfId="7615" xr:uid="{00000000-0005-0000-0000-000069200000}"/>
    <cellStyle name="40% - Ênfase6 5 6 5" xfId="7616" xr:uid="{00000000-0005-0000-0000-00006A200000}"/>
    <cellStyle name="40% - Ênfase6 5 6 5 2" xfId="7617" xr:uid="{00000000-0005-0000-0000-00006B200000}"/>
    <cellStyle name="40% - Ênfase6 5 6 6" xfId="7618" xr:uid="{00000000-0005-0000-0000-00006C200000}"/>
    <cellStyle name="40% - Ênfase6 50" xfId="7619" xr:uid="{00000000-0005-0000-0000-00006D200000}"/>
    <cellStyle name="40% - Ênfase6 50 2" xfId="7620" xr:uid="{00000000-0005-0000-0000-00006E200000}"/>
    <cellStyle name="40% - Ênfase6 51" xfId="7621" xr:uid="{00000000-0005-0000-0000-00006F200000}"/>
    <cellStyle name="40% - Ênfase6 51 2" xfId="7622" xr:uid="{00000000-0005-0000-0000-000070200000}"/>
    <cellStyle name="40% - Ênfase6 52" xfId="7623" xr:uid="{00000000-0005-0000-0000-000071200000}"/>
    <cellStyle name="40% - Ênfase6 52 2" xfId="7624" xr:uid="{00000000-0005-0000-0000-000072200000}"/>
    <cellStyle name="40% - Ênfase6 53" xfId="7625" xr:uid="{00000000-0005-0000-0000-000073200000}"/>
    <cellStyle name="40% - Ênfase6 53 2" xfId="7626" xr:uid="{00000000-0005-0000-0000-000074200000}"/>
    <cellStyle name="40% - Ênfase6 54" xfId="7627" xr:uid="{00000000-0005-0000-0000-000075200000}"/>
    <cellStyle name="40% - Ênfase6 54 2" xfId="7628" xr:uid="{00000000-0005-0000-0000-000076200000}"/>
    <cellStyle name="40% - Ênfase6 55" xfId="7629" xr:uid="{00000000-0005-0000-0000-000077200000}"/>
    <cellStyle name="40% - Ênfase6 55 2" xfId="7630" xr:uid="{00000000-0005-0000-0000-000078200000}"/>
    <cellStyle name="40% - Ênfase6 6" xfId="7631" xr:uid="{00000000-0005-0000-0000-000079200000}"/>
    <cellStyle name="40% - Ênfase6 6 10" xfId="7632" xr:uid="{00000000-0005-0000-0000-00007A200000}"/>
    <cellStyle name="40% - Ênfase6 6 10 2" xfId="7633" xr:uid="{00000000-0005-0000-0000-00007B200000}"/>
    <cellStyle name="40% - Ênfase6 6 11" xfId="7634" xr:uid="{00000000-0005-0000-0000-00007C200000}"/>
    <cellStyle name="40% - Ênfase6 6 11 2" xfId="7635" xr:uid="{00000000-0005-0000-0000-00007D200000}"/>
    <cellStyle name="40% - Ênfase6 6 12" xfId="7636" xr:uid="{00000000-0005-0000-0000-00007E200000}"/>
    <cellStyle name="40% - Ênfase6 6 12 2" xfId="7637" xr:uid="{00000000-0005-0000-0000-00007F200000}"/>
    <cellStyle name="40% - Ênfase6 6 13" xfId="7638" xr:uid="{00000000-0005-0000-0000-000080200000}"/>
    <cellStyle name="40% - Ênfase6 6 13 2" xfId="7639" xr:uid="{00000000-0005-0000-0000-000081200000}"/>
    <cellStyle name="40% - Ênfase6 6 14" xfId="7640" xr:uid="{00000000-0005-0000-0000-000082200000}"/>
    <cellStyle name="40% - Ênfase6 6 14 2" xfId="7641" xr:uid="{00000000-0005-0000-0000-000083200000}"/>
    <cellStyle name="40% - Ênfase6 6 15" xfId="7642" xr:uid="{00000000-0005-0000-0000-000084200000}"/>
    <cellStyle name="40% - Ênfase6 6 15 2" xfId="7643" xr:uid="{00000000-0005-0000-0000-000085200000}"/>
    <cellStyle name="40% - Ênfase6 6 16" xfId="7644" xr:uid="{00000000-0005-0000-0000-000086200000}"/>
    <cellStyle name="40% - Ênfase6 6 16 2" xfId="7645" xr:uid="{00000000-0005-0000-0000-000087200000}"/>
    <cellStyle name="40% - Ênfase6 6 17" xfId="7646" xr:uid="{00000000-0005-0000-0000-000088200000}"/>
    <cellStyle name="40% - Ênfase6 6 17 2" xfId="7647" xr:uid="{00000000-0005-0000-0000-000089200000}"/>
    <cellStyle name="40% - Ênfase6 6 18" xfId="7648" xr:uid="{00000000-0005-0000-0000-00008A200000}"/>
    <cellStyle name="40% - Ênfase6 6 18 2" xfId="7649" xr:uid="{00000000-0005-0000-0000-00008B200000}"/>
    <cellStyle name="40% - Ênfase6 6 19" xfId="7650" xr:uid="{00000000-0005-0000-0000-00008C200000}"/>
    <cellStyle name="40% - Ênfase6 6 19 2" xfId="7651" xr:uid="{00000000-0005-0000-0000-00008D200000}"/>
    <cellStyle name="40% - Ênfase6 6 2" xfId="7652" xr:uid="{00000000-0005-0000-0000-00008E200000}"/>
    <cellStyle name="40% - Ênfase6 6 2 2" xfId="7653" xr:uid="{00000000-0005-0000-0000-00008F200000}"/>
    <cellStyle name="40% - Ênfase6 6 2 2 2" xfId="7654" xr:uid="{00000000-0005-0000-0000-000090200000}"/>
    <cellStyle name="40% - Ênfase6 6 2 2 2 2" xfId="27072" xr:uid="{00000000-0005-0000-0000-000091200000}"/>
    <cellStyle name="40% - Ênfase6 6 2 2 3" xfId="27071" xr:uid="{00000000-0005-0000-0000-000092200000}"/>
    <cellStyle name="40% - Ênfase6 6 2 3" xfId="7655" xr:uid="{00000000-0005-0000-0000-000093200000}"/>
    <cellStyle name="40% - Ênfase6 6 2 3 2" xfId="7656" xr:uid="{00000000-0005-0000-0000-000094200000}"/>
    <cellStyle name="40% - Ênfase6 6 2 4" xfId="7657" xr:uid="{00000000-0005-0000-0000-000095200000}"/>
    <cellStyle name="40% - Ênfase6 6 2 4 2" xfId="7658" xr:uid="{00000000-0005-0000-0000-000096200000}"/>
    <cellStyle name="40% - Ênfase6 6 2 5" xfId="7659" xr:uid="{00000000-0005-0000-0000-000097200000}"/>
    <cellStyle name="40% - Ênfase6 6 2 5 2" xfId="7660" xr:uid="{00000000-0005-0000-0000-000098200000}"/>
    <cellStyle name="40% - Ênfase6 6 2 6" xfId="7661" xr:uid="{00000000-0005-0000-0000-000099200000}"/>
    <cellStyle name="40% - Ênfase6 6 20" xfId="7662" xr:uid="{00000000-0005-0000-0000-00009A200000}"/>
    <cellStyle name="40% - Ênfase6 6 20 2" xfId="7663" xr:uid="{00000000-0005-0000-0000-00009B200000}"/>
    <cellStyle name="40% - Ênfase6 6 21" xfId="7664" xr:uid="{00000000-0005-0000-0000-00009C200000}"/>
    <cellStyle name="40% - Ênfase6 6 21 2" xfId="7665" xr:uid="{00000000-0005-0000-0000-00009D200000}"/>
    <cellStyle name="40% - Ênfase6 6 22" xfId="7666" xr:uid="{00000000-0005-0000-0000-00009E200000}"/>
    <cellStyle name="40% - Ênfase6 6 22 2" xfId="7667" xr:uid="{00000000-0005-0000-0000-00009F200000}"/>
    <cellStyle name="40% - Ênfase6 6 23" xfId="7668" xr:uid="{00000000-0005-0000-0000-0000A0200000}"/>
    <cellStyle name="40% - Ênfase6 6 23 2" xfId="7669" xr:uid="{00000000-0005-0000-0000-0000A1200000}"/>
    <cellStyle name="40% - Ênfase6 6 24" xfId="7670" xr:uid="{00000000-0005-0000-0000-0000A2200000}"/>
    <cellStyle name="40% - Ênfase6 6 24 2" xfId="7671" xr:uid="{00000000-0005-0000-0000-0000A3200000}"/>
    <cellStyle name="40% - Ênfase6 6 25" xfId="7672" xr:uid="{00000000-0005-0000-0000-0000A4200000}"/>
    <cellStyle name="40% - Ênfase6 6 25 2" xfId="7673" xr:uid="{00000000-0005-0000-0000-0000A5200000}"/>
    <cellStyle name="40% - Ênfase6 6 26" xfId="7674" xr:uid="{00000000-0005-0000-0000-0000A6200000}"/>
    <cellStyle name="40% - Ênfase6 6 26 2" xfId="7675" xr:uid="{00000000-0005-0000-0000-0000A7200000}"/>
    <cellStyle name="40% - Ênfase6 6 27" xfId="7676" xr:uid="{00000000-0005-0000-0000-0000A8200000}"/>
    <cellStyle name="40% - Ênfase6 6 27 2" xfId="7677" xr:uid="{00000000-0005-0000-0000-0000A9200000}"/>
    <cellStyle name="40% - Ênfase6 6 28" xfId="7678" xr:uid="{00000000-0005-0000-0000-0000AA200000}"/>
    <cellStyle name="40% - Ênfase6 6 28 2" xfId="7679" xr:uid="{00000000-0005-0000-0000-0000AB200000}"/>
    <cellStyle name="40% - Ênfase6 6 29" xfId="7680" xr:uid="{00000000-0005-0000-0000-0000AC200000}"/>
    <cellStyle name="40% - Ênfase6 6 29 2" xfId="7681" xr:uid="{00000000-0005-0000-0000-0000AD200000}"/>
    <cellStyle name="40% - Ênfase6 6 3" xfId="7682" xr:uid="{00000000-0005-0000-0000-0000AE200000}"/>
    <cellStyle name="40% - Ênfase6 6 3 2" xfId="7683" xr:uid="{00000000-0005-0000-0000-0000AF200000}"/>
    <cellStyle name="40% - Ênfase6 6 3 2 2" xfId="7684" xr:uid="{00000000-0005-0000-0000-0000B0200000}"/>
    <cellStyle name="40% - Ênfase6 6 3 3" xfId="7685" xr:uid="{00000000-0005-0000-0000-0000B1200000}"/>
    <cellStyle name="40% - Ênfase6 6 3 3 2" xfId="7686" xr:uid="{00000000-0005-0000-0000-0000B2200000}"/>
    <cellStyle name="40% - Ênfase6 6 3 4" xfId="7687" xr:uid="{00000000-0005-0000-0000-0000B3200000}"/>
    <cellStyle name="40% - Ênfase6 6 3 4 2" xfId="7688" xr:uid="{00000000-0005-0000-0000-0000B4200000}"/>
    <cellStyle name="40% - Ênfase6 6 3 5" xfId="7689" xr:uid="{00000000-0005-0000-0000-0000B5200000}"/>
    <cellStyle name="40% - Ênfase6 6 3 5 2" xfId="7690" xr:uid="{00000000-0005-0000-0000-0000B6200000}"/>
    <cellStyle name="40% - Ênfase6 6 3 6" xfId="7691" xr:uid="{00000000-0005-0000-0000-0000B7200000}"/>
    <cellStyle name="40% - Ênfase6 6 30" xfId="7692" xr:uid="{00000000-0005-0000-0000-0000B8200000}"/>
    <cellStyle name="40% - Ênfase6 6 30 2" xfId="7693" xr:uid="{00000000-0005-0000-0000-0000B9200000}"/>
    <cellStyle name="40% - Ênfase6 6 31" xfId="7694" xr:uid="{00000000-0005-0000-0000-0000BA200000}"/>
    <cellStyle name="40% - Ênfase6 6 31 2" xfId="7695" xr:uid="{00000000-0005-0000-0000-0000BB200000}"/>
    <cellStyle name="40% - Ênfase6 6 32" xfId="7696" xr:uid="{00000000-0005-0000-0000-0000BC200000}"/>
    <cellStyle name="40% - Ênfase6 6 32 2" xfId="7697" xr:uid="{00000000-0005-0000-0000-0000BD200000}"/>
    <cellStyle name="40% - Ênfase6 6 33" xfId="7698" xr:uid="{00000000-0005-0000-0000-0000BE200000}"/>
    <cellStyle name="40% - Ênfase6 6 33 2" xfId="7699" xr:uid="{00000000-0005-0000-0000-0000BF200000}"/>
    <cellStyle name="40% - Ênfase6 6 34" xfId="7700" xr:uid="{00000000-0005-0000-0000-0000C0200000}"/>
    <cellStyle name="40% - Ênfase6 6 34 2" xfId="7701" xr:uid="{00000000-0005-0000-0000-0000C1200000}"/>
    <cellStyle name="40% - Ênfase6 6 35" xfId="7702" xr:uid="{00000000-0005-0000-0000-0000C2200000}"/>
    <cellStyle name="40% - Ênfase6 6 35 2" xfId="7703" xr:uid="{00000000-0005-0000-0000-0000C3200000}"/>
    <cellStyle name="40% - Ênfase6 6 36" xfId="7704" xr:uid="{00000000-0005-0000-0000-0000C4200000}"/>
    <cellStyle name="40% - Ênfase6 6 36 2" xfId="7705" xr:uid="{00000000-0005-0000-0000-0000C5200000}"/>
    <cellStyle name="40% - Ênfase6 6 37" xfId="7706" xr:uid="{00000000-0005-0000-0000-0000C6200000}"/>
    <cellStyle name="40% - Ênfase6 6 4" xfId="7707" xr:uid="{00000000-0005-0000-0000-0000C7200000}"/>
    <cellStyle name="40% - Ênfase6 6 4 2" xfId="7708" xr:uid="{00000000-0005-0000-0000-0000C8200000}"/>
    <cellStyle name="40% - Ênfase6 6 4 2 2" xfId="7709" xr:uid="{00000000-0005-0000-0000-0000C9200000}"/>
    <cellStyle name="40% - Ênfase6 6 4 3" xfId="7710" xr:uid="{00000000-0005-0000-0000-0000CA200000}"/>
    <cellStyle name="40% - Ênfase6 6 4 3 2" xfId="7711" xr:uid="{00000000-0005-0000-0000-0000CB200000}"/>
    <cellStyle name="40% - Ênfase6 6 4 4" xfId="7712" xr:uid="{00000000-0005-0000-0000-0000CC200000}"/>
    <cellStyle name="40% - Ênfase6 6 4 4 2" xfId="7713" xr:uid="{00000000-0005-0000-0000-0000CD200000}"/>
    <cellStyle name="40% - Ênfase6 6 4 5" xfId="7714" xr:uid="{00000000-0005-0000-0000-0000CE200000}"/>
    <cellStyle name="40% - Ênfase6 6 4 5 2" xfId="7715" xr:uid="{00000000-0005-0000-0000-0000CF200000}"/>
    <cellStyle name="40% - Ênfase6 6 4 6" xfId="7716" xr:uid="{00000000-0005-0000-0000-0000D0200000}"/>
    <cellStyle name="40% - Ênfase6 6 5" xfId="7717" xr:uid="{00000000-0005-0000-0000-0000D1200000}"/>
    <cellStyle name="40% - Ênfase6 6 5 2" xfId="7718" xr:uid="{00000000-0005-0000-0000-0000D2200000}"/>
    <cellStyle name="40% - Ênfase6 6 6" xfId="7719" xr:uid="{00000000-0005-0000-0000-0000D3200000}"/>
    <cellStyle name="40% - Ênfase6 6 6 2" xfId="7720" xr:uid="{00000000-0005-0000-0000-0000D4200000}"/>
    <cellStyle name="40% - Ênfase6 6 7" xfId="7721" xr:uid="{00000000-0005-0000-0000-0000D5200000}"/>
    <cellStyle name="40% - Ênfase6 6 7 2" xfId="7722" xr:uid="{00000000-0005-0000-0000-0000D6200000}"/>
    <cellStyle name="40% - Ênfase6 6 8" xfId="7723" xr:uid="{00000000-0005-0000-0000-0000D7200000}"/>
    <cellStyle name="40% - Ênfase6 6 8 2" xfId="7724" xr:uid="{00000000-0005-0000-0000-0000D8200000}"/>
    <cellStyle name="40% - Ênfase6 6 9" xfId="7725" xr:uid="{00000000-0005-0000-0000-0000D9200000}"/>
    <cellStyle name="40% - Ênfase6 6 9 2" xfId="7726" xr:uid="{00000000-0005-0000-0000-0000DA200000}"/>
    <cellStyle name="40% - Ênfase6 7" xfId="7727" xr:uid="{00000000-0005-0000-0000-0000DB200000}"/>
    <cellStyle name="40% - Ênfase6 7 10" xfId="7728" xr:uid="{00000000-0005-0000-0000-0000DC200000}"/>
    <cellStyle name="40% - Ênfase6 7 10 2" xfId="7729" xr:uid="{00000000-0005-0000-0000-0000DD200000}"/>
    <cellStyle name="40% - Ênfase6 7 11" xfId="7730" xr:uid="{00000000-0005-0000-0000-0000DE200000}"/>
    <cellStyle name="40% - Ênfase6 7 11 2" xfId="7731" xr:uid="{00000000-0005-0000-0000-0000DF200000}"/>
    <cellStyle name="40% - Ênfase6 7 12" xfId="7732" xr:uid="{00000000-0005-0000-0000-0000E0200000}"/>
    <cellStyle name="40% - Ênfase6 7 12 2" xfId="7733" xr:uid="{00000000-0005-0000-0000-0000E1200000}"/>
    <cellStyle name="40% - Ênfase6 7 13" xfId="7734" xr:uid="{00000000-0005-0000-0000-0000E2200000}"/>
    <cellStyle name="40% - Ênfase6 7 13 2" xfId="7735" xr:uid="{00000000-0005-0000-0000-0000E3200000}"/>
    <cellStyle name="40% - Ênfase6 7 14" xfId="7736" xr:uid="{00000000-0005-0000-0000-0000E4200000}"/>
    <cellStyle name="40% - Ênfase6 7 14 2" xfId="7737" xr:uid="{00000000-0005-0000-0000-0000E5200000}"/>
    <cellStyle name="40% - Ênfase6 7 15" xfId="7738" xr:uid="{00000000-0005-0000-0000-0000E6200000}"/>
    <cellStyle name="40% - Ênfase6 7 15 2" xfId="7739" xr:uid="{00000000-0005-0000-0000-0000E7200000}"/>
    <cellStyle name="40% - Ênfase6 7 16" xfId="7740" xr:uid="{00000000-0005-0000-0000-0000E8200000}"/>
    <cellStyle name="40% - Ênfase6 7 16 2" xfId="7741" xr:uid="{00000000-0005-0000-0000-0000E9200000}"/>
    <cellStyle name="40% - Ênfase6 7 17" xfId="7742" xr:uid="{00000000-0005-0000-0000-0000EA200000}"/>
    <cellStyle name="40% - Ênfase6 7 17 2" xfId="7743" xr:uid="{00000000-0005-0000-0000-0000EB200000}"/>
    <cellStyle name="40% - Ênfase6 7 18" xfId="7744" xr:uid="{00000000-0005-0000-0000-0000EC200000}"/>
    <cellStyle name="40% - Ênfase6 7 18 2" xfId="7745" xr:uid="{00000000-0005-0000-0000-0000ED200000}"/>
    <cellStyle name="40% - Ênfase6 7 19" xfId="7746" xr:uid="{00000000-0005-0000-0000-0000EE200000}"/>
    <cellStyle name="40% - Ênfase6 7 19 2" xfId="7747" xr:uid="{00000000-0005-0000-0000-0000EF200000}"/>
    <cellStyle name="40% - Ênfase6 7 2" xfId="7748" xr:uid="{00000000-0005-0000-0000-0000F0200000}"/>
    <cellStyle name="40% - Ênfase6 7 2 2" xfId="7749" xr:uid="{00000000-0005-0000-0000-0000F1200000}"/>
    <cellStyle name="40% - Ênfase6 7 2 2 2" xfId="7750" xr:uid="{00000000-0005-0000-0000-0000F2200000}"/>
    <cellStyle name="40% - Ênfase6 7 2 2 2 2" xfId="27074" xr:uid="{00000000-0005-0000-0000-0000F3200000}"/>
    <cellStyle name="40% - Ênfase6 7 2 2 3" xfId="27073" xr:uid="{00000000-0005-0000-0000-0000F4200000}"/>
    <cellStyle name="40% - Ênfase6 7 2 3" xfId="7751" xr:uid="{00000000-0005-0000-0000-0000F5200000}"/>
    <cellStyle name="40% - Ênfase6 7 2 3 2" xfId="7752" xr:uid="{00000000-0005-0000-0000-0000F6200000}"/>
    <cellStyle name="40% - Ênfase6 7 2 4" xfId="7753" xr:uid="{00000000-0005-0000-0000-0000F7200000}"/>
    <cellStyle name="40% - Ênfase6 7 2 4 2" xfId="7754" xr:uid="{00000000-0005-0000-0000-0000F8200000}"/>
    <cellStyle name="40% - Ênfase6 7 2 5" xfId="7755" xr:uid="{00000000-0005-0000-0000-0000F9200000}"/>
    <cellStyle name="40% - Ênfase6 7 2 5 2" xfId="7756" xr:uid="{00000000-0005-0000-0000-0000FA200000}"/>
    <cellStyle name="40% - Ênfase6 7 2 6" xfId="7757" xr:uid="{00000000-0005-0000-0000-0000FB200000}"/>
    <cellStyle name="40% - Ênfase6 7 20" xfId="7758" xr:uid="{00000000-0005-0000-0000-0000FC200000}"/>
    <cellStyle name="40% - Ênfase6 7 20 2" xfId="7759" xr:uid="{00000000-0005-0000-0000-0000FD200000}"/>
    <cellStyle name="40% - Ênfase6 7 21" xfId="7760" xr:uid="{00000000-0005-0000-0000-0000FE200000}"/>
    <cellStyle name="40% - Ênfase6 7 21 2" xfId="7761" xr:uid="{00000000-0005-0000-0000-0000FF200000}"/>
    <cellStyle name="40% - Ênfase6 7 22" xfId="7762" xr:uid="{00000000-0005-0000-0000-000000210000}"/>
    <cellStyle name="40% - Ênfase6 7 22 2" xfId="7763" xr:uid="{00000000-0005-0000-0000-000001210000}"/>
    <cellStyle name="40% - Ênfase6 7 23" xfId="7764" xr:uid="{00000000-0005-0000-0000-000002210000}"/>
    <cellStyle name="40% - Ênfase6 7 23 2" xfId="7765" xr:uid="{00000000-0005-0000-0000-000003210000}"/>
    <cellStyle name="40% - Ênfase6 7 24" xfId="7766" xr:uid="{00000000-0005-0000-0000-000004210000}"/>
    <cellStyle name="40% - Ênfase6 7 24 2" xfId="7767" xr:uid="{00000000-0005-0000-0000-000005210000}"/>
    <cellStyle name="40% - Ênfase6 7 25" xfId="7768" xr:uid="{00000000-0005-0000-0000-000006210000}"/>
    <cellStyle name="40% - Ênfase6 7 25 2" xfId="7769" xr:uid="{00000000-0005-0000-0000-000007210000}"/>
    <cellStyle name="40% - Ênfase6 7 26" xfId="7770" xr:uid="{00000000-0005-0000-0000-000008210000}"/>
    <cellStyle name="40% - Ênfase6 7 26 2" xfId="7771" xr:uid="{00000000-0005-0000-0000-000009210000}"/>
    <cellStyle name="40% - Ênfase6 7 27" xfId="7772" xr:uid="{00000000-0005-0000-0000-00000A210000}"/>
    <cellStyle name="40% - Ênfase6 7 27 2" xfId="7773" xr:uid="{00000000-0005-0000-0000-00000B210000}"/>
    <cellStyle name="40% - Ênfase6 7 28" xfId="7774" xr:uid="{00000000-0005-0000-0000-00000C210000}"/>
    <cellStyle name="40% - Ênfase6 7 28 2" xfId="7775" xr:uid="{00000000-0005-0000-0000-00000D210000}"/>
    <cellStyle name="40% - Ênfase6 7 29" xfId="7776" xr:uid="{00000000-0005-0000-0000-00000E210000}"/>
    <cellStyle name="40% - Ênfase6 7 29 2" xfId="7777" xr:uid="{00000000-0005-0000-0000-00000F210000}"/>
    <cellStyle name="40% - Ênfase6 7 3" xfId="7778" xr:uid="{00000000-0005-0000-0000-000010210000}"/>
    <cellStyle name="40% - Ênfase6 7 3 2" xfId="7779" xr:uid="{00000000-0005-0000-0000-000011210000}"/>
    <cellStyle name="40% - Ênfase6 7 3 2 2" xfId="7780" xr:uid="{00000000-0005-0000-0000-000012210000}"/>
    <cellStyle name="40% - Ênfase6 7 3 3" xfId="7781" xr:uid="{00000000-0005-0000-0000-000013210000}"/>
    <cellStyle name="40% - Ênfase6 7 3 3 2" xfId="7782" xr:uid="{00000000-0005-0000-0000-000014210000}"/>
    <cellStyle name="40% - Ênfase6 7 3 4" xfId="7783" xr:uid="{00000000-0005-0000-0000-000015210000}"/>
    <cellStyle name="40% - Ênfase6 7 3 4 2" xfId="7784" xr:uid="{00000000-0005-0000-0000-000016210000}"/>
    <cellStyle name="40% - Ênfase6 7 3 5" xfId="7785" xr:uid="{00000000-0005-0000-0000-000017210000}"/>
    <cellStyle name="40% - Ênfase6 7 3 5 2" xfId="7786" xr:uid="{00000000-0005-0000-0000-000018210000}"/>
    <cellStyle name="40% - Ênfase6 7 3 6" xfId="7787" xr:uid="{00000000-0005-0000-0000-000019210000}"/>
    <cellStyle name="40% - Ênfase6 7 30" xfId="7788" xr:uid="{00000000-0005-0000-0000-00001A210000}"/>
    <cellStyle name="40% - Ênfase6 7 30 2" xfId="7789" xr:uid="{00000000-0005-0000-0000-00001B210000}"/>
    <cellStyle name="40% - Ênfase6 7 31" xfId="7790" xr:uid="{00000000-0005-0000-0000-00001C210000}"/>
    <cellStyle name="40% - Ênfase6 7 31 2" xfId="7791" xr:uid="{00000000-0005-0000-0000-00001D210000}"/>
    <cellStyle name="40% - Ênfase6 7 32" xfId="7792" xr:uid="{00000000-0005-0000-0000-00001E210000}"/>
    <cellStyle name="40% - Ênfase6 7 32 2" xfId="7793" xr:uid="{00000000-0005-0000-0000-00001F210000}"/>
    <cellStyle name="40% - Ênfase6 7 33" xfId="7794" xr:uid="{00000000-0005-0000-0000-000020210000}"/>
    <cellStyle name="40% - Ênfase6 7 33 2" xfId="7795" xr:uid="{00000000-0005-0000-0000-000021210000}"/>
    <cellStyle name="40% - Ênfase6 7 34" xfId="7796" xr:uid="{00000000-0005-0000-0000-000022210000}"/>
    <cellStyle name="40% - Ênfase6 7 34 2" xfId="7797" xr:uid="{00000000-0005-0000-0000-000023210000}"/>
    <cellStyle name="40% - Ênfase6 7 35" xfId="7798" xr:uid="{00000000-0005-0000-0000-000024210000}"/>
    <cellStyle name="40% - Ênfase6 7 35 2" xfId="7799" xr:uid="{00000000-0005-0000-0000-000025210000}"/>
    <cellStyle name="40% - Ênfase6 7 36" xfId="7800" xr:uid="{00000000-0005-0000-0000-000026210000}"/>
    <cellStyle name="40% - Ênfase6 7 36 2" xfId="7801" xr:uid="{00000000-0005-0000-0000-000027210000}"/>
    <cellStyle name="40% - Ênfase6 7 37" xfId="7802" xr:uid="{00000000-0005-0000-0000-000028210000}"/>
    <cellStyle name="40% - Ênfase6 7 4" xfId="7803" xr:uid="{00000000-0005-0000-0000-000029210000}"/>
    <cellStyle name="40% - Ênfase6 7 4 2" xfId="7804" xr:uid="{00000000-0005-0000-0000-00002A210000}"/>
    <cellStyle name="40% - Ênfase6 7 4 2 2" xfId="7805" xr:uid="{00000000-0005-0000-0000-00002B210000}"/>
    <cellStyle name="40% - Ênfase6 7 4 3" xfId="7806" xr:uid="{00000000-0005-0000-0000-00002C210000}"/>
    <cellStyle name="40% - Ênfase6 7 4 3 2" xfId="7807" xr:uid="{00000000-0005-0000-0000-00002D210000}"/>
    <cellStyle name="40% - Ênfase6 7 4 4" xfId="7808" xr:uid="{00000000-0005-0000-0000-00002E210000}"/>
    <cellStyle name="40% - Ênfase6 7 4 4 2" xfId="7809" xr:uid="{00000000-0005-0000-0000-00002F210000}"/>
    <cellStyle name="40% - Ênfase6 7 4 5" xfId="7810" xr:uid="{00000000-0005-0000-0000-000030210000}"/>
    <cellStyle name="40% - Ênfase6 7 4 5 2" xfId="7811" xr:uid="{00000000-0005-0000-0000-000031210000}"/>
    <cellStyle name="40% - Ênfase6 7 4 6" xfId="7812" xr:uid="{00000000-0005-0000-0000-000032210000}"/>
    <cellStyle name="40% - Ênfase6 7 5" xfId="7813" xr:uid="{00000000-0005-0000-0000-000033210000}"/>
    <cellStyle name="40% - Ênfase6 7 5 2" xfId="7814" xr:uid="{00000000-0005-0000-0000-000034210000}"/>
    <cellStyle name="40% - Ênfase6 7 6" xfId="7815" xr:uid="{00000000-0005-0000-0000-000035210000}"/>
    <cellStyle name="40% - Ênfase6 7 6 2" xfId="7816" xr:uid="{00000000-0005-0000-0000-000036210000}"/>
    <cellStyle name="40% - Ênfase6 7 7" xfId="7817" xr:uid="{00000000-0005-0000-0000-000037210000}"/>
    <cellStyle name="40% - Ênfase6 7 7 2" xfId="7818" xr:uid="{00000000-0005-0000-0000-000038210000}"/>
    <cellStyle name="40% - Ênfase6 7 8" xfId="7819" xr:uid="{00000000-0005-0000-0000-000039210000}"/>
    <cellStyle name="40% - Ênfase6 7 8 2" xfId="7820" xr:uid="{00000000-0005-0000-0000-00003A210000}"/>
    <cellStyle name="40% - Ênfase6 7 9" xfId="7821" xr:uid="{00000000-0005-0000-0000-00003B210000}"/>
    <cellStyle name="40% - Ênfase6 7 9 2" xfId="7822" xr:uid="{00000000-0005-0000-0000-00003C210000}"/>
    <cellStyle name="40% - Ênfase6 8" xfId="7823" xr:uid="{00000000-0005-0000-0000-00003D210000}"/>
    <cellStyle name="40% - Ênfase6 8 10" xfId="7824" xr:uid="{00000000-0005-0000-0000-00003E210000}"/>
    <cellStyle name="40% - Ênfase6 8 10 2" xfId="7825" xr:uid="{00000000-0005-0000-0000-00003F210000}"/>
    <cellStyle name="40% - Ênfase6 8 2" xfId="7826" xr:uid="{00000000-0005-0000-0000-000040210000}"/>
    <cellStyle name="40% - Ênfase6 8 2 2" xfId="7827" xr:uid="{00000000-0005-0000-0000-000041210000}"/>
    <cellStyle name="40% - Ênfase6 8 2 2 2" xfId="25712" xr:uid="{00000000-0005-0000-0000-000042210000}"/>
    <cellStyle name="40% - Ênfase6 8 2 2 2 2" xfId="27077" xr:uid="{00000000-0005-0000-0000-000043210000}"/>
    <cellStyle name="40% - Ênfase6 8 2 2 3" xfId="27076" xr:uid="{00000000-0005-0000-0000-000044210000}"/>
    <cellStyle name="40% - Ênfase6 8 2 3" xfId="25713" xr:uid="{00000000-0005-0000-0000-000045210000}"/>
    <cellStyle name="40% - Ênfase6 8 2 3 2" xfId="27078" xr:uid="{00000000-0005-0000-0000-000046210000}"/>
    <cellStyle name="40% - Ênfase6 8 2 4" xfId="27075" xr:uid="{00000000-0005-0000-0000-000047210000}"/>
    <cellStyle name="40% - Ênfase6 8 3" xfId="7828" xr:uid="{00000000-0005-0000-0000-000048210000}"/>
    <cellStyle name="40% - Ênfase6 8 3 2" xfId="7829" xr:uid="{00000000-0005-0000-0000-000049210000}"/>
    <cellStyle name="40% - Ênfase6 8 3 2 2" xfId="27080" xr:uid="{00000000-0005-0000-0000-00004A210000}"/>
    <cellStyle name="40% - Ênfase6 8 3 3" xfId="27079" xr:uid="{00000000-0005-0000-0000-00004B210000}"/>
    <cellStyle name="40% - Ênfase6 8 4" xfId="7830" xr:uid="{00000000-0005-0000-0000-00004C210000}"/>
    <cellStyle name="40% - Ênfase6 8 4 2" xfId="7831" xr:uid="{00000000-0005-0000-0000-00004D210000}"/>
    <cellStyle name="40% - Ênfase6 8 5" xfId="7832" xr:uid="{00000000-0005-0000-0000-00004E210000}"/>
    <cellStyle name="40% - Ênfase6 8 5 2" xfId="7833" xr:uid="{00000000-0005-0000-0000-00004F210000}"/>
    <cellStyle name="40% - Ênfase6 8 6" xfId="7834" xr:uid="{00000000-0005-0000-0000-000050210000}"/>
    <cellStyle name="40% - Ênfase6 8 6 2" xfId="7835" xr:uid="{00000000-0005-0000-0000-000051210000}"/>
    <cellStyle name="40% - Ênfase6 8 7" xfId="7836" xr:uid="{00000000-0005-0000-0000-000052210000}"/>
    <cellStyle name="40% - Ênfase6 8 7 2" xfId="7837" xr:uid="{00000000-0005-0000-0000-000053210000}"/>
    <cellStyle name="40% - Ênfase6 8 8" xfId="7838" xr:uid="{00000000-0005-0000-0000-000054210000}"/>
    <cellStyle name="40% - Ênfase6 8 8 2" xfId="7839" xr:uid="{00000000-0005-0000-0000-000055210000}"/>
    <cellStyle name="40% - Ênfase6 8 9" xfId="7840" xr:uid="{00000000-0005-0000-0000-000056210000}"/>
    <cellStyle name="40% - Ênfase6 8 9 2" xfId="7841" xr:uid="{00000000-0005-0000-0000-000057210000}"/>
    <cellStyle name="40% - Ênfase6 9" xfId="7842" xr:uid="{00000000-0005-0000-0000-000058210000}"/>
    <cellStyle name="40% - Ênfase6 9 10" xfId="7843" xr:uid="{00000000-0005-0000-0000-000059210000}"/>
    <cellStyle name="40% - Ênfase6 9 10 2" xfId="7844" xr:uid="{00000000-0005-0000-0000-00005A210000}"/>
    <cellStyle name="40% - Ênfase6 9 11" xfId="7845" xr:uid="{00000000-0005-0000-0000-00005B210000}"/>
    <cellStyle name="40% - Ênfase6 9 12" xfId="7846" xr:uid="{00000000-0005-0000-0000-00005C210000}"/>
    <cellStyle name="40% - Ênfase6 9 2" xfId="7847" xr:uid="{00000000-0005-0000-0000-00005D210000}"/>
    <cellStyle name="40% - Ênfase6 9 2 2" xfId="7848" xr:uid="{00000000-0005-0000-0000-00005E210000}"/>
    <cellStyle name="40% - Ênfase6 9 2 2 2" xfId="27082" xr:uid="{00000000-0005-0000-0000-00005F210000}"/>
    <cellStyle name="40% - Ênfase6 9 2 3" xfId="27081" xr:uid="{00000000-0005-0000-0000-000060210000}"/>
    <cellStyle name="40% - Ênfase6 9 3" xfId="7849" xr:uid="{00000000-0005-0000-0000-000061210000}"/>
    <cellStyle name="40% - Ênfase6 9 3 2" xfId="7850" xr:uid="{00000000-0005-0000-0000-000062210000}"/>
    <cellStyle name="40% - Ênfase6 9 4" xfId="7851" xr:uid="{00000000-0005-0000-0000-000063210000}"/>
    <cellStyle name="40% - Ênfase6 9 4 2" xfId="7852" xr:uid="{00000000-0005-0000-0000-000064210000}"/>
    <cellStyle name="40% - Ênfase6 9 5" xfId="7853" xr:uid="{00000000-0005-0000-0000-000065210000}"/>
    <cellStyle name="40% - Ênfase6 9 5 2" xfId="7854" xr:uid="{00000000-0005-0000-0000-000066210000}"/>
    <cellStyle name="40% - Ênfase6 9 6" xfId="7855" xr:uid="{00000000-0005-0000-0000-000067210000}"/>
    <cellStyle name="40% - Ênfase6 9 6 2" xfId="7856" xr:uid="{00000000-0005-0000-0000-000068210000}"/>
    <cellStyle name="40% - Ênfase6 9 7" xfId="7857" xr:uid="{00000000-0005-0000-0000-000069210000}"/>
    <cellStyle name="40% - Ênfase6 9 7 2" xfId="7858" xr:uid="{00000000-0005-0000-0000-00006A210000}"/>
    <cellStyle name="40% - Ênfase6 9 8" xfId="7859" xr:uid="{00000000-0005-0000-0000-00006B210000}"/>
    <cellStyle name="40% - Ênfase6 9 8 2" xfId="7860" xr:uid="{00000000-0005-0000-0000-00006C210000}"/>
    <cellStyle name="40% - Ênfase6 9 9" xfId="7861" xr:uid="{00000000-0005-0000-0000-00006D210000}"/>
    <cellStyle name="40% - Ênfase6 9 9 2" xfId="7862" xr:uid="{00000000-0005-0000-0000-00006E210000}"/>
    <cellStyle name="40% - Énfasis1" xfId="7863" xr:uid="{00000000-0005-0000-0000-00006F210000}"/>
    <cellStyle name="40% - Énfasis2" xfId="7864" xr:uid="{00000000-0005-0000-0000-000070210000}"/>
    <cellStyle name="40% - Énfasis3" xfId="7865" xr:uid="{00000000-0005-0000-0000-000071210000}"/>
    <cellStyle name="40% - Énfasis4" xfId="7866" xr:uid="{00000000-0005-0000-0000-000072210000}"/>
    <cellStyle name="40% - Énfasis5" xfId="7867" xr:uid="{00000000-0005-0000-0000-000073210000}"/>
    <cellStyle name="40% - Énfasis6" xfId="7868" xr:uid="{00000000-0005-0000-0000-000074210000}"/>
    <cellStyle name="60% - Accent1" xfId="39" xr:uid="{00000000-0005-0000-0000-000075210000}"/>
    <cellStyle name="60% - Accent1 2" xfId="7870" xr:uid="{00000000-0005-0000-0000-000076210000}"/>
    <cellStyle name="60% - Accent1 2 2" xfId="25715" xr:uid="{00000000-0005-0000-0000-000077210000}"/>
    <cellStyle name="60% - Accent1 2 3" xfId="25714" xr:uid="{00000000-0005-0000-0000-000078210000}"/>
    <cellStyle name="60% - Accent1 3" xfId="7871" xr:uid="{00000000-0005-0000-0000-000079210000}"/>
    <cellStyle name="60% - Accent1 4" xfId="7869" xr:uid="{00000000-0005-0000-0000-00007A210000}"/>
    <cellStyle name="60% - Accent2" xfId="40" xr:uid="{00000000-0005-0000-0000-00007B210000}"/>
    <cellStyle name="60% - Accent2 2" xfId="7873" xr:uid="{00000000-0005-0000-0000-00007C210000}"/>
    <cellStyle name="60% - Accent2 2 2" xfId="25717" xr:uid="{00000000-0005-0000-0000-00007D210000}"/>
    <cellStyle name="60% - Accent2 2 3" xfId="25716" xr:uid="{00000000-0005-0000-0000-00007E210000}"/>
    <cellStyle name="60% - Accent2 3" xfId="7874" xr:uid="{00000000-0005-0000-0000-00007F210000}"/>
    <cellStyle name="60% - Accent2 4" xfId="7872" xr:uid="{00000000-0005-0000-0000-000080210000}"/>
    <cellStyle name="60% - Accent3" xfId="41" xr:uid="{00000000-0005-0000-0000-000081210000}"/>
    <cellStyle name="60% - Accent3 2" xfId="7876" xr:uid="{00000000-0005-0000-0000-000082210000}"/>
    <cellStyle name="60% - Accent3 2 2" xfId="25719" xr:uid="{00000000-0005-0000-0000-000083210000}"/>
    <cellStyle name="60% - Accent3 2 3" xfId="25718" xr:uid="{00000000-0005-0000-0000-000084210000}"/>
    <cellStyle name="60% - Accent3 3" xfId="7877" xr:uid="{00000000-0005-0000-0000-000085210000}"/>
    <cellStyle name="60% - Accent3 4" xfId="7875" xr:uid="{00000000-0005-0000-0000-000086210000}"/>
    <cellStyle name="60% - Accent4" xfId="42" xr:uid="{00000000-0005-0000-0000-000087210000}"/>
    <cellStyle name="60% - Accent4 2" xfId="7879" xr:uid="{00000000-0005-0000-0000-000088210000}"/>
    <cellStyle name="60% - Accent4 2 2" xfId="25721" xr:uid="{00000000-0005-0000-0000-000089210000}"/>
    <cellStyle name="60% - Accent4 2 3" xfId="25720" xr:uid="{00000000-0005-0000-0000-00008A210000}"/>
    <cellStyle name="60% - Accent4 3" xfId="7880" xr:uid="{00000000-0005-0000-0000-00008B210000}"/>
    <cellStyle name="60% - Accent4 4" xfId="7878" xr:uid="{00000000-0005-0000-0000-00008C210000}"/>
    <cellStyle name="60% - Accent5" xfId="43" xr:uid="{00000000-0005-0000-0000-00008D210000}"/>
    <cellStyle name="60% - Accent5 2" xfId="7882" xr:uid="{00000000-0005-0000-0000-00008E210000}"/>
    <cellStyle name="60% - Accent5 2 2" xfId="25723" xr:uid="{00000000-0005-0000-0000-00008F210000}"/>
    <cellStyle name="60% - Accent5 2 3" xfId="25722" xr:uid="{00000000-0005-0000-0000-000090210000}"/>
    <cellStyle name="60% - Accent5 3" xfId="7883" xr:uid="{00000000-0005-0000-0000-000091210000}"/>
    <cellStyle name="60% - Accent5 4" xfId="7881" xr:uid="{00000000-0005-0000-0000-000092210000}"/>
    <cellStyle name="60% - Accent6" xfId="44" xr:uid="{00000000-0005-0000-0000-000093210000}"/>
    <cellStyle name="60% - Accent6 2" xfId="7885" xr:uid="{00000000-0005-0000-0000-000094210000}"/>
    <cellStyle name="60% - Accent6 2 2" xfId="25725" xr:uid="{00000000-0005-0000-0000-000095210000}"/>
    <cellStyle name="60% - Accent6 2 3" xfId="25724" xr:uid="{00000000-0005-0000-0000-000096210000}"/>
    <cellStyle name="60% - Accent6 3" xfId="7886" xr:uid="{00000000-0005-0000-0000-000097210000}"/>
    <cellStyle name="60% - Accent6 4" xfId="7884" xr:uid="{00000000-0005-0000-0000-000098210000}"/>
    <cellStyle name="60% - Cor1" xfId="45" xr:uid="{00000000-0005-0000-0000-000099210000}"/>
    <cellStyle name="60% - Cor2" xfId="46" xr:uid="{00000000-0005-0000-0000-00009A210000}"/>
    <cellStyle name="60% - Cor3" xfId="47" xr:uid="{00000000-0005-0000-0000-00009B210000}"/>
    <cellStyle name="60% - Cor4" xfId="48" xr:uid="{00000000-0005-0000-0000-00009C210000}"/>
    <cellStyle name="60% - Cor5" xfId="49" xr:uid="{00000000-0005-0000-0000-00009D210000}"/>
    <cellStyle name="60% - Cor6" xfId="50" xr:uid="{00000000-0005-0000-0000-00009E210000}"/>
    <cellStyle name="60% - Ênfase1" xfId="51" builtinId="32" customBuiltin="1"/>
    <cellStyle name="60% - Ênfase1 2" xfId="7887" xr:uid="{00000000-0005-0000-0000-0000A0210000}"/>
    <cellStyle name="60% - Ênfase1 2 2" xfId="7888" xr:uid="{00000000-0005-0000-0000-0000A1210000}"/>
    <cellStyle name="60% - Ênfase1 2 2 2" xfId="25727" xr:uid="{00000000-0005-0000-0000-0000A2210000}"/>
    <cellStyle name="60% - Ênfase1 2 3" xfId="7889" xr:uid="{00000000-0005-0000-0000-0000A3210000}"/>
    <cellStyle name="60% - Ênfase1 2 4" xfId="7890" xr:uid="{00000000-0005-0000-0000-0000A4210000}"/>
    <cellStyle name="60% - Ênfase1 2 5" xfId="7891" xr:uid="{00000000-0005-0000-0000-0000A5210000}"/>
    <cellStyle name="60% - Ênfase1 2 6" xfId="25726" xr:uid="{00000000-0005-0000-0000-0000A6210000}"/>
    <cellStyle name="60% - Ênfase1 3" xfId="7892" xr:uid="{00000000-0005-0000-0000-0000A7210000}"/>
    <cellStyle name="60% - Ênfase1 3 2" xfId="7893" xr:uid="{00000000-0005-0000-0000-0000A8210000}"/>
    <cellStyle name="60% - Ênfase1 3 2 2" xfId="25729" xr:uid="{00000000-0005-0000-0000-0000A9210000}"/>
    <cellStyle name="60% - Ênfase1 3 3" xfId="7894" xr:uid="{00000000-0005-0000-0000-0000AA210000}"/>
    <cellStyle name="60% - Ênfase1 3 4" xfId="7895" xr:uid="{00000000-0005-0000-0000-0000AB210000}"/>
    <cellStyle name="60% - Ênfase1 3 5" xfId="7896" xr:uid="{00000000-0005-0000-0000-0000AC210000}"/>
    <cellStyle name="60% - Ênfase1 3 6" xfId="25728" xr:uid="{00000000-0005-0000-0000-0000AD210000}"/>
    <cellStyle name="60% - Ênfase1 4" xfId="7897" xr:uid="{00000000-0005-0000-0000-0000AE210000}"/>
    <cellStyle name="60% - Ênfase1 4 2" xfId="7898" xr:uid="{00000000-0005-0000-0000-0000AF210000}"/>
    <cellStyle name="60% - Ênfase1 4 3" xfId="7899" xr:uid="{00000000-0005-0000-0000-0000B0210000}"/>
    <cellStyle name="60% - Ênfase1 4 4" xfId="7900" xr:uid="{00000000-0005-0000-0000-0000B1210000}"/>
    <cellStyle name="60% - Ênfase1 4 5" xfId="7901" xr:uid="{00000000-0005-0000-0000-0000B2210000}"/>
    <cellStyle name="60% - Ênfase1 5" xfId="7902" xr:uid="{00000000-0005-0000-0000-0000B3210000}"/>
    <cellStyle name="60% - Ênfase1 5 2" xfId="25730" xr:uid="{00000000-0005-0000-0000-0000B4210000}"/>
    <cellStyle name="60% - Ênfase1 6" xfId="7903" xr:uid="{00000000-0005-0000-0000-0000B5210000}"/>
    <cellStyle name="60% - Ênfase1 7" xfId="7904" xr:uid="{00000000-0005-0000-0000-0000B6210000}"/>
    <cellStyle name="60% - Ênfase2" xfId="52" builtinId="36" customBuiltin="1"/>
    <cellStyle name="60% - Ênfase2 2" xfId="7905" xr:uid="{00000000-0005-0000-0000-0000B8210000}"/>
    <cellStyle name="60% - Ênfase2 2 2" xfId="7906" xr:uid="{00000000-0005-0000-0000-0000B9210000}"/>
    <cellStyle name="60% - Ênfase2 2 3" xfId="7907" xr:uid="{00000000-0005-0000-0000-0000BA210000}"/>
    <cellStyle name="60% - Ênfase2 2 4" xfId="7908" xr:uid="{00000000-0005-0000-0000-0000BB210000}"/>
    <cellStyle name="60% - Ênfase2 2 5" xfId="7909" xr:uid="{00000000-0005-0000-0000-0000BC210000}"/>
    <cellStyle name="60% - Ênfase2 2 6" xfId="25731" xr:uid="{00000000-0005-0000-0000-0000BD210000}"/>
    <cellStyle name="60% - Ênfase2 3" xfId="7910" xr:uid="{00000000-0005-0000-0000-0000BE210000}"/>
    <cellStyle name="60% - Ênfase2 3 2" xfId="7911" xr:uid="{00000000-0005-0000-0000-0000BF210000}"/>
    <cellStyle name="60% - Ênfase2 3 2 2" xfId="25733" xr:uid="{00000000-0005-0000-0000-0000C0210000}"/>
    <cellStyle name="60% - Ênfase2 3 3" xfId="7912" xr:uid="{00000000-0005-0000-0000-0000C1210000}"/>
    <cellStyle name="60% - Ênfase2 3 4" xfId="7913" xr:uid="{00000000-0005-0000-0000-0000C2210000}"/>
    <cellStyle name="60% - Ênfase2 3 5" xfId="7914" xr:uid="{00000000-0005-0000-0000-0000C3210000}"/>
    <cellStyle name="60% - Ênfase2 3 6" xfId="25732" xr:uid="{00000000-0005-0000-0000-0000C4210000}"/>
    <cellStyle name="60% - Ênfase2 4" xfId="7915" xr:uid="{00000000-0005-0000-0000-0000C5210000}"/>
    <cellStyle name="60% - Ênfase2 4 2" xfId="7916" xr:uid="{00000000-0005-0000-0000-0000C6210000}"/>
    <cellStyle name="60% - Ênfase2 4 3" xfId="7917" xr:uid="{00000000-0005-0000-0000-0000C7210000}"/>
    <cellStyle name="60% - Ênfase2 4 4" xfId="7918" xr:uid="{00000000-0005-0000-0000-0000C8210000}"/>
    <cellStyle name="60% - Ênfase2 4 5" xfId="7919" xr:uid="{00000000-0005-0000-0000-0000C9210000}"/>
    <cellStyle name="60% - Ênfase2 5" xfId="7920" xr:uid="{00000000-0005-0000-0000-0000CA210000}"/>
    <cellStyle name="60% - Ênfase2 5 2" xfId="25734" xr:uid="{00000000-0005-0000-0000-0000CB210000}"/>
    <cellStyle name="60% - Ênfase2 6" xfId="7921" xr:uid="{00000000-0005-0000-0000-0000CC210000}"/>
    <cellStyle name="60% - Ênfase2 7" xfId="7922" xr:uid="{00000000-0005-0000-0000-0000CD210000}"/>
    <cellStyle name="60% - Ênfase3" xfId="53" builtinId="40" customBuiltin="1"/>
    <cellStyle name="60% - Ênfase3 2" xfId="7923" xr:uid="{00000000-0005-0000-0000-0000CF210000}"/>
    <cellStyle name="60% - Ênfase3 2 2" xfId="7924" xr:uid="{00000000-0005-0000-0000-0000D0210000}"/>
    <cellStyle name="60% - Ênfase3 2 3" xfId="7925" xr:uid="{00000000-0005-0000-0000-0000D1210000}"/>
    <cellStyle name="60% - Ênfase3 2 4" xfId="7926" xr:uid="{00000000-0005-0000-0000-0000D2210000}"/>
    <cellStyle name="60% - Ênfase3 2 5" xfId="7927" xr:uid="{00000000-0005-0000-0000-0000D3210000}"/>
    <cellStyle name="60% - Ênfase3 2 6" xfId="25735" xr:uid="{00000000-0005-0000-0000-0000D4210000}"/>
    <cellStyle name="60% - Ênfase3 3" xfId="7928" xr:uid="{00000000-0005-0000-0000-0000D5210000}"/>
    <cellStyle name="60% - Ênfase3 3 2" xfId="7929" xr:uid="{00000000-0005-0000-0000-0000D6210000}"/>
    <cellStyle name="60% - Ênfase3 3 2 2" xfId="25737" xr:uid="{00000000-0005-0000-0000-0000D7210000}"/>
    <cellStyle name="60% - Ênfase3 3 3" xfId="7930" xr:uid="{00000000-0005-0000-0000-0000D8210000}"/>
    <cellStyle name="60% - Ênfase3 3 4" xfId="7931" xr:uid="{00000000-0005-0000-0000-0000D9210000}"/>
    <cellStyle name="60% - Ênfase3 3 5" xfId="7932" xr:uid="{00000000-0005-0000-0000-0000DA210000}"/>
    <cellStyle name="60% - Ênfase3 3 6" xfId="25736" xr:uid="{00000000-0005-0000-0000-0000DB210000}"/>
    <cellStyle name="60% - Ênfase3 4" xfId="7933" xr:uid="{00000000-0005-0000-0000-0000DC210000}"/>
    <cellStyle name="60% - Ênfase3 4 2" xfId="7934" xr:uid="{00000000-0005-0000-0000-0000DD210000}"/>
    <cellStyle name="60% - Ênfase3 4 3" xfId="7935" xr:uid="{00000000-0005-0000-0000-0000DE210000}"/>
    <cellStyle name="60% - Ênfase3 4 4" xfId="7936" xr:uid="{00000000-0005-0000-0000-0000DF210000}"/>
    <cellStyle name="60% - Ênfase3 4 5" xfId="7937" xr:uid="{00000000-0005-0000-0000-0000E0210000}"/>
    <cellStyle name="60% - Ênfase3 5" xfId="7938" xr:uid="{00000000-0005-0000-0000-0000E1210000}"/>
    <cellStyle name="60% - Ênfase3 5 2" xfId="25738" xr:uid="{00000000-0005-0000-0000-0000E2210000}"/>
    <cellStyle name="60% - Ênfase3 6" xfId="7939" xr:uid="{00000000-0005-0000-0000-0000E3210000}"/>
    <cellStyle name="60% - Ênfase3 7" xfId="7940" xr:uid="{00000000-0005-0000-0000-0000E4210000}"/>
    <cellStyle name="60% - Ênfase4" xfId="54" builtinId="44" customBuiltin="1"/>
    <cellStyle name="60% - Ênfase4 2" xfId="7941" xr:uid="{00000000-0005-0000-0000-0000E6210000}"/>
    <cellStyle name="60% - Ênfase4 2 2" xfId="7942" xr:uid="{00000000-0005-0000-0000-0000E7210000}"/>
    <cellStyle name="60% - Ênfase4 2 2 2" xfId="25740" xr:uid="{00000000-0005-0000-0000-0000E8210000}"/>
    <cellStyle name="60% - Ênfase4 2 3" xfId="7943" xr:uid="{00000000-0005-0000-0000-0000E9210000}"/>
    <cellStyle name="60% - Ênfase4 2 4" xfId="7944" xr:uid="{00000000-0005-0000-0000-0000EA210000}"/>
    <cellStyle name="60% - Ênfase4 2 5" xfId="7945" xr:uid="{00000000-0005-0000-0000-0000EB210000}"/>
    <cellStyle name="60% - Ênfase4 2 6" xfId="25739" xr:uid="{00000000-0005-0000-0000-0000EC210000}"/>
    <cellStyle name="60% - Ênfase4 3" xfId="7946" xr:uid="{00000000-0005-0000-0000-0000ED210000}"/>
    <cellStyle name="60% - Ênfase4 3 2" xfId="7947" xr:uid="{00000000-0005-0000-0000-0000EE210000}"/>
    <cellStyle name="60% - Ênfase4 3 2 2" xfId="25742" xr:uid="{00000000-0005-0000-0000-0000EF210000}"/>
    <cellStyle name="60% - Ênfase4 3 3" xfId="7948" xr:uid="{00000000-0005-0000-0000-0000F0210000}"/>
    <cellStyle name="60% - Ênfase4 3 4" xfId="7949" xr:uid="{00000000-0005-0000-0000-0000F1210000}"/>
    <cellStyle name="60% - Ênfase4 3 5" xfId="7950" xr:uid="{00000000-0005-0000-0000-0000F2210000}"/>
    <cellStyle name="60% - Ênfase4 3 6" xfId="25741" xr:uid="{00000000-0005-0000-0000-0000F3210000}"/>
    <cellStyle name="60% - Ênfase4 4" xfId="7951" xr:uid="{00000000-0005-0000-0000-0000F4210000}"/>
    <cellStyle name="60% - Ênfase4 4 2" xfId="7952" xr:uid="{00000000-0005-0000-0000-0000F5210000}"/>
    <cellStyle name="60% - Ênfase4 4 3" xfId="7953" xr:uid="{00000000-0005-0000-0000-0000F6210000}"/>
    <cellStyle name="60% - Ênfase4 4 4" xfId="7954" xr:uid="{00000000-0005-0000-0000-0000F7210000}"/>
    <cellStyle name="60% - Ênfase4 4 5" xfId="7955" xr:uid="{00000000-0005-0000-0000-0000F8210000}"/>
    <cellStyle name="60% - Ênfase4 5" xfId="7956" xr:uid="{00000000-0005-0000-0000-0000F9210000}"/>
    <cellStyle name="60% - Ênfase4 5 2" xfId="25743" xr:uid="{00000000-0005-0000-0000-0000FA210000}"/>
    <cellStyle name="60% - Ênfase4 6" xfId="7957" xr:uid="{00000000-0005-0000-0000-0000FB210000}"/>
    <cellStyle name="60% - Ênfase4 7" xfId="7958" xr:uid="{00000000-0005-0000-0000-0000FC210000}"/>
    <cellStyle name="60% - Ênfase5" xfId="55" builtinId="48" customBuiltin="1"/>
    <cellStyle name="60% - Ênfase5 2" xfId="7959" xr:uid="{00000000-0005-0000-0000-0000FE210000}"/>
    <cellStyle name="60% - Ênfase5 2 2" xfId="7960" xr:uid="{00000000-0005-0000-0000-0000FF210000}"/>
    <cellStyle name="60% - Ênfase5 2 2 2" xfId="25745" xr:uid="{00000000-0005-0000-0000-000000220000}"/>
    <cellStyle name="60% - Ênfase5 2 3" xfId="7961" xr:uid="{00000000-0005-0000-0000-000001220000}"/>
    <cellStyle name="60% - Ênfase5 2 4" xfId="7962" xr:uid="{00000000-0005-0000-0000-000002220000}"/>
    <cellStyle name="60% - Ênfase5 2 5" xfId="7963" xr:uid="{00000000-0005-0000-0000-000003220000}"/>
    <cellStyle name="60% - Ênfase5 2 6" xfId="25744" xr:uid="{00000000-0005-0000-0000-000004220000}"/>
    <cellStyle name="60% - Ênfase5 3" xfId="7964" xr:uid="{00000000-0005-0000-0000-000005220000}"/>
    <cellStyle name="60% - Ênfase5 3 2" xfId="7965" xr:uid="{00000000-0005-0000-0000-000006220000}"/>
    <cellStyle name="60% - Ênfase5 3 2 2" xfId="25747" xr:uid="{00000000-0005-0000-0000-000007220000}"/>
    <cellStyle name="60% - Ênfase5 3 3" xfId="7966" xr:uid="{00000000-0005-0000-0000-000008220000}"/>
    <cellStyle name="60% - Ênfase5 3 4" xfId="7967" xr:uid="{00000000-0005-0000-0000-000009220000}"/>
    <cellStyle name="60% - Ênfase5 3 5" xfId="7968" xr:uid="{00000000-0005-0000-0000-00000A220000}"/>
    <cellStyle name="60% - Ênfase5 3 6" xfId="25746" xr:uid="{00000000-0005-0000-0000-00000B220000}"/>
    <cellStyle name="60% - Ênfase5 4" xfId="7969" xr:uid="{00000000-0005-0000-0000-00000C220000}"/>
    <cellStyle name="60% - Ênfase5 4 2" xfId="7970" xr:uid="{00000000-0005-0000-0000-00000D220000}"/>
    <cellStyle name="60% - Ênfase5 4 3" xfId="7971" xr:uid="{00000000-0005-0000-0000-00000E220000}"/>
    <cellStyle name="60% - Ênfase5 4 4" xfId="7972" xr:uid="{00000000-0005-0000-0000-00000F220000}"/>
    <cellStyle name="60% - Ênfase5 4 5" xfId="7973" xr:uid="{00000000-0005-0000-0000-000010220000}"/>
    <cellStyle name="60% - Ênfase5 5" xfId="7974" xr:uid="{00000000-0005-0000-0000-000011220000}"/>
    <cellStyle name="60% - Ênfase5 5 2" xfId="25748" xr:uid="{00000000-0005-0000-0000-000012220000}"/>
    <cellStyle name="60% - Ênfase5 6" xfId="7975" xr:uid="{00000000-0005-0000-0000-000013220000}"/>
    <cellStyle name="60% - Ênfase5 7" xfId="7976" xr:uid="{00000000-0005-0000-0000-000014220000}"/>
    <cellStyle name="60% - Ênfase6" xfId="56" builtinId="52" customBuiltin="1"/>
    <cellStyle name="60% - Ênfase6 2" xfId="7977" xr:uid="{00000000-0005-0000-0000-000016220000}"/>
    <cellStyle name="60% - Ênfase6 2 2" xfId="7978" xr:uid="{00000000-0005-0000-0000-000017220000}"/>
    <cellStyle name="60% - Ênfase6 2 2 2" xfId="25750" xr:uid="{00000000-0005-0000-0000-000018220000}"/>
    <cellStyle name="60% - Ênfase6 2 3" xfId="7979" xr:uid="{00000000-0005-0000-0000-000019220000}"/>
    <cellStyle name="60% - Ênfase6 2 4" xfId="7980" xr:uid="{00000000-0005-0000-0000-00001A220000}"/>
    <cellStyle name="60% - Ênfase6 2 5" xfId="7981" xr:uid="{00000000-0005-0000-0000-00001B220000}"/>
    <cellStyle name="60% - Ênfase6 2 6" xfId="25749" xr:uid="{00000000-0005-0000-0000-00001C220000}"/>
    <cellStyle name="60% - Ênfase6 3" xfId="7982" xr:uid="{00000000-0005-0000-0000-00001D220000}"/>
    <cellStyle name="60% - Ênfase6 3 2" xfId="7983" xr:uid="{00000000-0005-0000-0000-00001E220000}"/>
    <cellStyle name="60% - Ênfase6 3 2 2" xfId="25752" xr:uid="{00000000-0005-0000-0000-00001F220000}"/>
    <cellStyle name="60% - Ênfase6 3 3" xfId="7984" xr:uid="{00000000-0005-0000-0000-000020220000}"/>
    <cellStyle name="60% - Ênfase6 3 4" xfId="7985" xr:uid="{00000000-0005-0000-0000-000021220000}"/>
    <cellStyle name="60% - Ênfase6 3 5" xfId="7986" xr:uid="{00000000-0005-0000-0000-000022220000}"/>
    <cellStyle name="60% - Ênfase6 3 6" xfId="25751" xr:uid="{00000000-0005-0000-0000-000023220000}"/>
    <cellStyle name="60% - Ênfase6 4" xfId="7987" xr:uid="{00000000-0005-0000-0000-000024220000}"/>
    <cellStyle name="60% - Ênfase6 4 2" xfId="7988" xr:uid="{00000000-0005-0000-0000-000025220000}"/>
    <cellStyle name="60% - Ênfase6 4 3" xfId="7989" xr:uid="{00000000-0005-0000-0000-000026220000}"/>
    <cellStyle name="60% - Ênfase6 4 4" xfId="7990" xr:uid="{00000000-0005-0000-0000-000027220000}"/>
    <cellStyle name="60% - Ênfase6 4 5" xfId="7991" xr:uid="{00000000-0005-0000-0000-000028220000}"/>
    <cellStyle name="60% - Ênfase6 5" xfId="7992" xr:uid="{00000000-0005-0000-0000-000029220000}"/>
    <cellStyle name="60% - Ênfase6 5 2" xfId="25753" xr:uid="{00000000-0005-0000-0000-00002A220000}"/>
    <cellStyle name="60% - Ênfase6 6" xfId="7993" xr:uid="{00000000-0005-0000-0000-00002B220000}"/>
    <cellStyle name="60% - Ênfase6 7" xfId="7994" xr:uid="{00000000-0005-0000-0000-00002C220000}"/>
    <cellStyle name="60% - Énfasis1" xfId="7995" xr:uid="{00000000-0005-0000-0000-00002D220000}"/>
    <cellStyle name="60% - Énfasis2" xfId="7996" xr:uid="{00000000-0005-0000-0000-00002E220000}"/>
    <cellStyle name="60% - Énfasis3" xfId="7997" xr:uid="{00000000-0005-0000-0000-00002F220000}"/>
    <cellStyle name="60% - Énfasis4" xfId="7998" xr:uid="{00000000-0005-0000-0000-000030220000}"/>
    <cellStyle name="60% - Énfasis5" xfId="7999" xr:uid="{00000000-0005-0000-0000-000031220000}"/>
    <cellStyle name="60% - Énfasis6" xfId="8000" xr:uid="{00000000-0005-0000-0000-000032220000}"/>
    <cellStyle name="A3 297 x 420 mm" xfId="8001" xr:uid="{00000000-0005-0000-0000-000033220000}"/>
    <cellStyle name="A3 297 x 420 mm 2" xfId="8002" xr:uid="{00000000-0005-0000-0000-000034220000}"/>
    <cellStyle name="A3 297 x 420 mm 2 2" xfId="8003" xr:uid="{00000000-0005-0000-0000-000035220000}"/>
    <cellStyle name="A3 297 x 420 mm_FCD" xfId="8004" xr:uid="{00000000-0005-0000-0000-000036220000}"/>
    <cellStyle name="Accent1" xfId="57" xr:uid="{00000000-0005-0000-0000-000037220000}"/>
    <cellStyle name="Accent1 2" xfId="8006" xr:uid="{00000000-0005-0000-0000-000038220000}"/>
    <cellStyle name="Accent1 2 2" xfId="25755" xr:uid="{00000000-0005-0000-0000-000039220000}"/>
    <cellStyle name="Accent1 2 3" xfId="25754" xr:uid="{00000000-0005-0000-0000-00003A220000}"/>
    <cellStyle name="Accent1 3" xfId="8007" xr:uid="{00000000-0005-0000-0000-00003B220000}"/>
    <cellStyle name="Accent1 4" xfId="8005" xr:uid="{00000000-0005-0000-0000-00003C220000}"/>
    <cellStyle name="Accent2" xfId="58" xr:uid="{00000000-0005-0000-0000-00003D220000}"/>
    <cellStyle name="Accent2 2" xfId="8009" xr:uid="{00000000-0005-0000-0000-00003E220000}"/>
    <cellStyle name="Accent2 2 2" xfId="25757" xr:uid="{00000000-0005-0000-0000-00003F220000}"/>
    <cellStyle name="Accent2 2 3" xfId="25756" xr:uid="{00000000-0005-0000-0000-000040220000}"/>
    <cellStyle name="Accent2 3" xfId="8010" xr:uid="{00000000-0005-0000-0000-000041220000}"/>
    <cellStyle name="Accent2 4" xfId="8008" xr:uid="{00000000-0005-0000-0000-000042220000}"/>
    <cellStyle name="Accent3" xfId="59" xr:uid="{00000000-0005-0000-0000-000043220000}"/>
    <cellStyle name="Accent3 2" xfId="8012" xr:uid="{00000000-0005-0000-0000-000044220000}"/>
    <cellStyle name="Accent3 2 2" xfId="25759" xr:uid="{00000000-0005-0000-0000-000045220000}"/>
    <cellStyle name="Accent3 2 3" xfId="25758" xr:uid="{00000000-0005-0000-0000-000046220000}"/>
    <cellStyle name="Accent3 3" xfId="8013" xr:uid="{00000000-0005-0000-0000-000047220000}"/>
    <cellStyle name="Accent3 4" xfId="8011" xr:uid="{00000000-0005-0000-0000-000048220000}"/>
    <cellStyle name="Accent4" xfId="60" xr:uid="{00000000-0005-0000-0000-000049220000}"/>
    <cellStyle name="Accent4 2" xfId="8015" xr:uid="{00000000-0005-0000-0000-00004A220000}"/>
    <cellStyle name="Accent4 2 2" xfId="25761" xr:uid="{00000000-0005-0000-0000-00004B220000}"/>
    <cellStyle name="Accent4 2 3" xfId="25760" xr:uid="{00000000-0005-0000-0000-00004C220000}"/>
    <cellStyle name="Accent4 3" xfId="8016" xr:uid="{00000000-0005-0000-0000-00004D220000}"/>
    <cellStyle name="Accent4 4" xfId="8014" xr:uid="{00000000-0005-0000-0000-00004E220000}"/>
    <cellStyle name="Accent5" xfId="61" xr:uid="{00000000-0005-0000-0000-00004F220000}"/>
    <cellStyle name="Accent5 2" xfId="8018" xr:uid="{00000000-0005-0000-0000-000050220000}"/>
    <cellStyle name="Accent5 2 2" xfId="25763" xr:uid="{00000000-0005-0000-0000-000051220000}"/>
    <cellStyle name="Accent5 2 3" xfId="25762" xr:uid="{00000000-0005-0000-0000-000052220000}"/>
    <cellStyle name="Accent5 3" xfId="8019" xr:uid="{00000000-0005-0000-0000-000053220000}"/>
    <cellStyle name="Accent5 4" xfId="8017" xr:uid="{00000000-0005-0000-0000-000054220000}"/>
    <cellStyle name="Accent6" xfId="62" xr:uid="{00000000-0005-0000-0000-000055220000}"/>
    <cellStyle name="Accent6 2" xfId="8021" xr:uid="{00000000-0005-0000-0000-000056220000}"/>
    <cellStyle name="Accent6 2 2" xfId="25765" xr:uid="{00000000-0005-0000-0000-000057220000}"/>
    <cellStyle name="Accent6 2 3" xfId="25764" xr:uid="{00000000-0005-0000-0000-000058220000}"/>
    <cellStyle name="Accent6 3" xfId="8022" xr:uid="{00000000-0005-0000-0000-000059220000}"/>
    <cellStyle name="Accent6 4" xfId="8020" xr:uid="{00000000-0005-0000-0000-00005A220000}"/>
    <cellStyle name="AFE" xfId="8023" xr:uid="{00000000-0005-0000-0000-00005B220000}"/>
    <cellStyle name="AFE 2" xfId="8024" xr:uid="{00000000-0005-0000-0000-00005C220000}"/>
    <cellStyle name="AFE_FLUXO DE DIVIDENDOS" xfId="8025" xr:uid="{00000000-0005-0000-0000-00005D220000}"/>
    <cellStyle name="apresent" xfId="8026" xr:uid="{00000000-0005-0000-0000-00005E220000}"/>
    <cellStyle name="Array" xfId="8027" xr:uid="{00000000-0005-0000-0000-00005F220000}"/>
    <cellStyle name="Array Enter" xfId="8028" xr:uid="{00000000-0005-0000-0000-000060220000}"/>
    <cellStyle name="Array_FLUXO DE DIVIDENDOS" xfId="8029" xr:uid="{00000000-0005-0000-0000-000061220000}"/>
    <cellStyle name="Bad" xfId="63" xr:uid="{00000000-0005-0000-0000-000062220000}"/>
    <cellStyle name="Bad 2" xfId="8031" xr:uid="{00000000-0005-0000-0000-000063220000}"/>
    <cellStyle name="Bad 2 2" xfId="25767" xr:uid="{00000000-0005-0000-0000-000064220000}"/>
    <cellStyle name="Bad 2 3" xfId="25766" xr:uid="{00000000-0005-0000-0000-000065220000}"/>
    <cellStyle name="Bad 3" xfId="8032" xr:uid="{00000000-0005-0000-0000-000066220000}"/>
    <cellStyle name="Bad 4" xfId="8030" xr:uid="{00000000-0005-0000-0000-000067220000}"/>
    <cellStyle name="Black" xfId="8033" xr:uid="{00000000-0005-0000-0000-000068220000}"/>
    <cellStyle name="Blue" xfId="8034" xr:uid="{00000000-0005-0000-0000-000069220000}"/>
    <cellStyle name="Bold/Border" xfId="64" xr:uid="{00000000-0005-0000-0000-00006A220000}"/>
    <cellStyle name="Bold/Border 2" xfId="8035" xr:uid="{00000000-0005-0000-0000-00006B220000}"/>
    <cellStyle name="Bold/Border 2 2" xfId="27083" xr:uid="{00000000-0005-0000-0000-00006C220000}"/>
    <cellStyle name="Bol-Data" xfId="8036" xr:uid="{00000000-0005-0000-0000-00006D220000}"/>
    <cellStyle name="bolet" xfId="8037" xr:uid="{00000000-0005-0000-0000-00006E220000}"/>
    <cellStyle name="Boletim" xfId="8038" xr:uid="{00000000-0005-0000-0000-00006F220000}"/>
    <cellStyle name="Bom" xfId="65" builtinId="26" customBuiltin="1"/>
    <cellStyle name="Bom 2" xfId="8039" xr:uid="{00000000-0005-0000-0000-000071220000}"/>
    <cellStyle name="Bom 2 2" xfId="8040" xr:uid="{00000000-0005-0000-0000-000072220000}"/>
    <cellStyle name="Bom 2 3" xfId="8041" xr:uid="{00000000-0005-0000-0000-000073220000}"/>
    <cellStyle name="Bom 2 4" xfId="8042" xr:uid="{00000000-0005-0000-0000-000074220000}"/>
    <cellStyle name="Bom 2 5" xfId="8043" xr:uid="{00000000-0005-0000-0000-000075220000}"/>
    <cellStyle name="Bom 2 6" xfId="25768" xr:uid="{00000000-0005-0000-0000-000076220000}"/>
    <cellStyle name="Bom 3" xfId="8044" xr:uid="{00000000-0005-0000-0000-000077220000}"/>
    <cellStyle name="Bom 3 2" xfId="8045" xr:uid="{00000000-0005-0000-0000-000078220000}"/>
    <cellStyle name="Bom 3 2 2" xfId="25770" xr:uid="{00000000-0005-0000-0000-000079220000}"/>
    <cellStyle name="Bom 3 3" xfId="8046" xr:uid="{00000000-0005-0000-0000-00007A220000}"/>
    <cellStyle name="Bom 3 4" xfId="8047" xr:uid="{00000000-0005-0000-0000-00007B220000}"/>
    <cellStyle name="Bom 3 5" xfId="8048" xr:uid="{00000000-0005-0000-0000-00007C220000}"/>
    <cellStyle name="Bom 3 6" xfId="25769" xr:uid="{00000000-0005-0000-0000-00007D220000}"/>
    <cellStyle name="Bom 4" xfId="8049" xr:uid="{00000000-0005-0000-0000-00007E220000}"/>
    <cellStyle name="Bom 4 2" xfId="8050" xr:uid="{00000000-0005-0000-0000-00007F220000}"/>
    <cellStyle name="Bom 4 3" xfId="8051" xr:uid="{00000000-0005-0000-0000-000080220000}"/>
    <cellStyle name="Bom 4 4" xfId="8052" xr:uid="{00000000-0005-0000-0000-000081220000}"/>
    <cellStyle name="Bom 4 5" xfId="8053" xr:uid="{00000000-0005-0000-0000-000082220000}"/>
    <cellStyle name="Bom 5" xfId="8054" xr:uid="{00000000-0005-0000-0000-000083220000}"/>
    <cellStyle name="Bom 5 2" xfId="25771" xr:uid="{00000000-0005-0000-0000-000084220000}"/>
    <cellStyle name="Bom 6" xfId="8055" xr:uid="{00000000-0005-0000-0000-000085220000}"/>
    <cellStyle name="Bom 7" xfId="8056" xr:uid="{00000000-0005-0000-0000-000086220000}"/>
    <cellStyle name="Buena" xfId="8057" xr:uid="{00000000-0005-0000-0000-000087220000}"/>
    <cellStyle name="Bullet" xfId="66" xr:uid="{00000000-0005-0000-0000-000088220000}"/>
    <cellStyle name="Cabe‡alho 1" xfId="8058" xr:uid="{00000000-0005-0000-0000-000089220000}"/>
    <cellStyle name="Cabe‡alho 2" xfId="8059" xr:uid="{00000000-0005-0000-0000-00008A220000}"/>
    <cellStyle name="Cabeçalho 1" xfId="67" xr:uid="{00000000-0005-0000-0000-00008B220000}"/>
    <cellStyle name="Cabeçalho 1 2" xfId="8060" xr:uid="{00000000-0005-0000-0000-00008C220000}"/>
    <cellStyle name="Cabeçalho 2" xfId="68" xr:uid="{00000000-0005-0000-0000-00008D220000}"/>
    <cellStyle name="Cabeçalho 2 2" xfId="8061" xr:uid="{00000000-0005-0000-0000-00008E220000}"/>
    <cellStyle name="Cabeçalho 3" xfId="69" xr:uid="{00000000-0005-0000-0000-00008F220000}"/>
    <cellStyle name="Cabeçalho 4" xfId="70" xr:uid="{00000000-0005-0000-0000-000090220000}"/>
    <cellStyle name="Calc" xfId="8062" xr:uid="{00000000-0005-0000-0000-000091220000}"/>
    <cellStyle name="Calc 2" xfId="24533" xr:uid="{00000000-0005-0000-0000-000092220000}"/>
    <cellStyle name="Calculation" xfId="71" xr:uid="{00000000-0005-0000-0000-000093220000}"/>
    <cellStyle name="Calculation 10" xfId="72" xr:uid="{00000000-0005-0000-0000-000094220000}"/>
    <cellStyle name="Calculation 10 2" xfId="27833" xr:uid="{63320C20-B20A-4041-95D8-559EAD290F98}"/>
    <cellStyle name="Calculation 11" xfId="73" xr:uid="{00000000-0005-0000-0000-000095220000}"/>
    <cellStyle name="Calculation 11 2" xfId="27834" xr:uid="{0647345F-6B66-4791-8EA9-C04FB0E192DF}"/>
    <cellStyle name="Calculation 12" xfId="74" xr:uid="{00000000-0005-0000-0000-000096220000}"/>
    <cellStyle name="Calculation 12 2" xfId="27835" xr:uid="{10C6746C-A341-44E4-8745-36495E4BCE79}"/>
    <cellStyle name="Calculation 13" xfId="75" xr:uid="{00000000-0005-0000-0000-000097220000}"/>
    <cellStyle name="Calculation 13 2" xfId="27836" xr:uid="{C6E3DFA1-5F24-41B3-87CF-EA1A08159DD5}"/>
    <cellStyle name="Calculation 14" xfId="76" xr:uid="{00000000-0005-0000-0000-000098220000}"/>
    <cellStyle name="Calculation 14 2" xfId="27837" xr:uid="{B649ADE1-DFED-495D-A507-34A555B39F37}"/>
    <cellStyle name="Calculation 15" xfId="77" xr:uid="{00000000-0005-0000-0000-000099220000}"/>
    <cellStyle name="Calculation 15 2" xfId="27838" xr:uid="{52A9FF1F-8A10-450D-AFEE-1BEE93198DBB}"/>
    <cellStyle name="Calculation 16" xfId="78" xr:uid="{00000000-0005-0000-0000-00009A220000}"/>
    <cellStyle name="Calculation 16 2" xfId="27839" xr:uid="{4E32838C-70E5-4B6E-9733-1D2D20B72B70}"/>
    <cellStyle name="Calculation 17" xfId="79" xr:uid="{00000000-0005-0000-0000-00009B220000}"/>
    <cellStyle name="Calculation 17 2" xfId="27840" xr:uid="{7699FDC3-5345-43D0-83FB-17535995FB74}"/>
    <cellStyle name="Calculation 18" xfId="80" xr:uid="{00000000-0005-0000-0000-00009C220000}"/>
    <cellStyle name="Calculation 18 2" xfId="27841" xr:uid="{9B32ED0D-043D-4CB7-8C89-F57089232265}"/>
    <cellStyle name="Calculation 19" xfId="8063" xr:uid="{00000000-0005-0000-0000-00009D220000}"/>
    <cellStyle name="Calculation 2" xfId="81" xr:uid="{00000000-0005-0000-0000-00009E220000}"/>
    <cellStyle name="Calculation 2 2" xfId="8065" xr:uid="{00000000-0005-0000-0000-00009F220000}"/>
    <cellStyle name="Calculation 2 2 2" xfId="24536" xr:uid="{00000000-0005-0000-0000-0000A0220000}"/>
    <cellStyle name="Calculation 2 2 2 2" xfId="32545" xr:uid="{613C9A68-5AE1-4780-8BC6-1417982D54C1}"/>
    <cellStyle name="Calculation 2 2 3" xfId="25774" xr:uid="{00000000-0005-0000-0000-0000A1220000}"/>
    <cellStyle name="Calculation 2 3" xfId="8064" xr:uid="{00000000-0005-0000-0000-0000A2220000}"/>
    <cellStyle name="Calculation 2 4" xfId="24535" xr:uid="{00000000-0005-0000-0000-0000A3220000}"/>
    <cellStyle name="Calculation 2 4 2" xfId="32544" xr:uid="{CF1F5E99-4A2B-4784-BDDB-B96B623C6EAA}"/>
    <cellStyle name="Calculation 2 5" xfId="25773" xr:uid="{00000000-0005-0000-0000-0000A4220000}"/>
    <cellStyle name="Calculation 20" xfId="24534" xr:uid="{00000000-0005-0000-0000-0000A5220000}"/>
    <cellStyle name="Calculation 20 2" xfId="32543" xr:uid="{211754E3-F417-4631-9908-CC2F710DE4FF}"/>
    <cellStyle name="Calculation 21" xfId="25772" xr:uid="{00000000-0005-0000-0000-0000A6220000}"/>
    <cellStyle name="Calculation 3" xfId="82" xr:uid="{00000000-0005-0000-0000-0000A7220000}"/>
    <cellStyle name="Calculation 3 2" xfId="8067" xr:uid="{00000000-0005-0000-0000-0000A8220000}"/>
    <cellStyle name="Calculation 3 2 2" xfId="24538" xr:uid="{00000000-0005-0000-0000-0000A9220000}"/>
    <cellStyle name="Calculation 3 2 2 2" xfId="32547" xr:uid="{09761200-CFFA-4C40-8C50-ABACF3F617EB}"/>
    <cellStyle name="Calculation 3 3" xfId="8066" xr:uid="{00000000-0005-0000-0000-0000AA220000}"/>
    <cellStyle name="Calculation 3 4" xfId="24537" xr:uid="{00000000-0005-0000-0000-0000AB220000}"/>
    <cellStyle name="Calculation 3 4 2" xfId="32546" xr:uid="{1FD016FE-D2AE-4183-9996-95C17E098B36}"/>
    <cellStyle name="Calculation 3 5" xfId="25775" xr:uid="{00000000-0005-0000-0000-0000AC220000}"/>
    <cellStyle name="Calculation 4" xfId="83" xr:uid="{00000000-0005-0000-0000-0000AD220000}"/>
    <cellStyle name="Calculation 4 2" xfId="8069" xr:uid="{00000000-0005-0000-0000-0000AE220000}"/>
    <cellStyle name="Calculation 4 2 2" xfId="24540" xr:uid="{00000000-0005-0000-0000-0000AF220000}"/>
    <cellStyle name="Calculation 4 2 2 2" xfId="32549" xr:uid="{3C9EE7CD-E223-4CCE-89FB-37867F519BFB}"/>
    <cellStyle name="Calculation 4 3" xfId="8068" xr:uid="{00000000-0005-0000-0000-0000B0220000}"/>
    <cellStyle name="Calculation 4 4" xfId="24539" xr:uid="{00000000-0005-0000-0000-0000B1220000}"/>
    <cellStyle name="Calculation 4 4 2" xfId="32548" xr:uid="{35C9C0FF-8434-4897-B723-77D288F0DD72}"/>
    <cellStyle name="Calculation 4 5" xfId="27842" xr:uid="{BCD47F51-7329-41F6-9B52-336CB3B93954}"/>
    <cellStyle name="Calculation 5" xfId="84" xr:uid="{00000000-0005-0000-0000-0000B2220000}"/>
    <cellStyle name="Calculation 5 2" xfId="8071" xr:uid="{00000000-0005-0000-0000-0000B3220000}"/>
    <cellStyle name="Calculation 5 2 2" xfId="24542" xr:uid="{00000000-0005-0000-0000-0000B4220000}"/>
    <cellStyle name="Calculation 5 2 2 2" xfId="32551" xr:uid="{EF1AD0D2-C6A5-4B31-ACAD-32C7BB120EFB}"/>
    <cellStyle name="Calculation 5 3" xfId="8070" xr:uid="{00000000-0005-0000-0000-0000B5220000}"/>
    <cellStyle name="Calculation 5 4" xfId="24541" xr:uid="{00000000-0005-0000-0000-0000B6220000}"/>
    <cellStyle name="Calculation 5 4 2" xfId="32550" xr:uid="{A0116B9A-9F5D-479F-84FD-AA6488211606}"/>
    <cellStyle name="Calculation 5 5" xfId="27843" xr:uid="{28E403A8-9669-4F03-AE40-BC61D7A4D189}"/>
    <cellStyle name="Calculation 6" xfId="85" xr:uid="{00000000-0005-0000-0000-0000B7220000}"/>
    <cellStyle name="Calculation 6 2" xfId="8073" xr:uid="{00000000-0005-0000-0000-0000B8220000}"/>
    <cellStyle name="Calculation 6 2 2" xfId="24544" xr:uid="{00000000-0005-0000-0000-0000B9220000}"/>
    <cellStyle name="Calculation 6 2 2 2" xfId="32553" xr:uid="{ADE94A34-8169-41EF-9013-D5C2ECBF079B}"/>
    <cellStyle name="Calculation 6 3" xfId="8072" xr:uid="{00000000-0005-0000-0000-0000BA220000}"/>
    <cellStyle name="Calculation 6 4" xfId="24543" xr:uid="{00000000-0005-0000-0000-0000BB220000}"/>
    <cellStyle name="Calculation 6 4 2" xfId="32552" xr:uid="{1184E3D6-F058-4655-A525-F80318E33DD1}"/>
    <cellStyle name="Calculation 6 5" xfId="27844" xr:uid="{11B07E1C-B817-484D-AFD6-28CA671F713B}"/>
    <cellStyle name="Calculation 7" xfId="86" xr:uid="{00000000-0005-0000-0000-0000BC220000}"/>
    <cellStyle name="Calculation 7 2" xfId="8075" xr:uid="{00000000-0005-0000-0000-0000BD220000}"/>
    <cellStyle name="Calculation 7 2 2" xfId="24546" xr:uid="{00000000-0005-0000-0000-0000BE220000}"/>
    <cellStyle name="Calculation 7 2 2 2" xfId="32555" xr:uid="{6538B85B-7449-4D21-BB12-90B0EFEC7227}"/>
    <cellStyle name="Calculation 7 3" xfId="8074" xr:uid="{00000000-0005-0000-0000-0000BF220000}"/>
    <cellStyle name="Calculation 7 4" xfId="24545" xr:uid="{00000000-0005-0000-0000-0000C0220000}"/>
    <cellStyle name="Calculation 7 4 2" xfId="32554" xr:uid="{9EB0ED05-EE81-4CD2-A251-44880686B29B}"/>
    <cellStyle name="Calculation 7 5" xfId="27845" xr:uid="{25041941-31FC-413E-B0C2-238D1ADC9EAD}"/>
    <cellStyle name="Calculation 8" xfId="87" xr:uid="{00000000-0005-0000-0000-0000C1220000}"/>
    <cellStyle name="Calculation 8 2" xfId="8076" xr:uid="{00000000-0005-0000-0000-0000C2220000}"/>
    <cellStyle name="Calculation 8 3" xfId="24547" xr:uid="{00000000-0005-0000-0000-0000C3220000}"/>
    <cellStyle name="Calculation 8 3 2" xfId="32556" xr:uid="{7FD06C83-6F24-4A61-907E-555BDC400DC3}"/>
    <cellStyle name="Calculation 8 4" xfId="27846" xr:uid="{0B6311C0-518D-4B17-9374-97541A820FA4}"/>
    <cellStyle name="Calculation 9" xfId="88" xr:uid="{00000000-0005-0000-0000-0000C4220000}"/>
    <cellStyle name="Calculation 9 2" xfId="27847" xr:uid="{8A3F8CE5-F01A-42E1-898D-451725BFD644}"/>
    <cellStyle name="Cálculo" xfId="89" builtinId="22" customBuiltin="1"/>
    <cellStyle name="Cálculo 2" xfId="8077" xr:uid="{00000000-0005-0000-0000-0000C6220000}"/>
    <cellStyle name="Cálculo 2 10" xfId="25776" xr:uid="{00000000-0005-0000-0000-0000C7220000}"/>
    <cellStyle name="Cálculo 2 2" xfId="8078" xr:uid="{00000000-0005-0000-0000-0000C8220000}"/>
    <cellStyle name="Cálculo 2 2 2" xfId="8079" xr:uid="{00000000-0005-0000-0000-0000C9220000}"/>
    <cellStyle name="Cálculo 2 2 2 2" xfId="24550" xr:uid="{00000000-0005-0000-0000-0000CA220000}"/>
    <cellStyle name="Cálculo 2 2 2 2 2" xfId="32559" xr:uid="{C4B3C5E5-E007-4BA8-A07C-E5CBD31F3AAC}"/>
    <cellStyle name="Cálculo 2 2 3" xfId="24549" xr:uid="{00000000-0005-0000-0000-0000CB220000}"/>
    <cellStyle name="Cálculo 2 2 3 2" xfId="32558" xr:uid="{57610AF6-6D59-4BE5-A16E-0947C754F183}"/>
    <cellStyle name="Cálculo 2 2 4" xfId="25777" xr:uid="{00000000-0005-0000-0000-0000CC220000}"/>
    <cellStyle name="Cálculo 2 3" xfId="8080" xr:uid="{00000000-0005-0000-0000-0000CD220000}"/>
    <cellStyle name="Cálculo 2 3 2" xfId="8081" xr:uid="{00000000-0005-0000-0000-0000CE220000}"/>
    <cellStyle name="Cálculo 2 3 2 2" xfId="24552" xr:uid="{00000000-0005-0000-0000-0000CF220000}"/>
    <cellStyle name="Cálculo 2 3 2 2 2" xfId="32561" xr:uid="{C3AE4F0A-2958-49DB-BDF9-65FD46373575}"/>
    <cellStyle name="Cálculo 2 3 3" xfId="24551" xr:uid="{00000000-0005-0000-0000-0000D0220000}"/>
    <cellStyle name="Cálculo 2 3 3 2" xfId="32560" xr:uid="{39D25943-8824-4CB8-9381-04E2A41B5976}"/>
    <cellStyle name="Cálculo 2 4" xfId="8082" xr:uid="{00000000-0005-0000-0000-0000D1220000}"/>
    <cellStyle name="Cálculo 2 4 2" xfId="8083" xr:uid="{00000000-0005-0000-0000-0000D2220000}"/>
    <cellStyle name="Cálculo 2 4 2 2" xfId="24554" xr:uid="{00000000-0005-0000-0000-0000D3220000}"/>
    <cellStyle name="Cálculo 2 4 2 2 2" xfId="32563" xr:uid="{CFE02E09-6DEA-4A30-BE10-BFA2A2FEA2FB}"/>
    <cellStyle name="Cálculo 2 4 3" xfId="24553" xr:uid="{00000000-0005-0000-0000-0000D4220000}"/>
    <cellStyle name="Cálculo 2 4 3 2" xfId="32562" xr:uid="{7EA6B1E1-E1FE-4619-8BDC-CA540FB4FEF7}"/>
    <cellStyle name="Cálculo 2 5" xfId="8084" xr:uid="{00000000-0005-0000-0000-0000D5220000}"/>
    <cellStyle name="Cálculo 2 5 2" xfId="8085" xr:uid="{00000000-0005-0000-0000-0000D6220000}"/>
    <cellStyle name="Cálculo 2 5 2 2" xfId="24556" xr:uid="{00000000-0005-0000-0000-0000D7220000}"/>
    <cellStyle name="Cálculo 2 5 2 2 2" xfId="32565" xr:uid="{FA1BDB37-9A70-41D7-A81F-A57986BCC48D}"/>
    <cellStyle name="Cálculo 2 5 3" xfId="24555" xr:uid="{00000000-0005-0000-0000-0000D8220000}"/>
    <cellStyle name="Cálculo 2 5 3 2" xfId="32564" xr:uid="{497121D9-BB00-4356-AB67-9A6F06D87E9C}"/>
    <cellStyle name="Cálculo 2 6" xfId="8086" xr:uid="{00000000-0005-0000-0000-0000D9220000}"/>
    <cellStyle name="Cálculo 2 6 2" xfId="8087" xr:uid="{00000000-0005-0000-0000-0000DA220000}"/>
    <cellStyle name="Cálculo 2 6 2 2" xfId="24558" xr:uid="{00000000-0005-0000-0000-0000DB220000}"/>
    <cellStyle name="Cálculo 2 6 2 2 2" xfId="32567" xr:uid="{0959D853-E6DA-44E4-AC1C-228739892BFC}"/>
    <cellStyle name="Cálculo 2 6 3" xfId="24557" xr:uid="{00000000-0005-0000-0000-0000DC220000}"/>
    <cellStyle name="Cálculo 2 6 3 2" xfId="32566" xr:uid="{E5AD25C1-C402-4696-A715-80F8BE0F2AE4}"/>
    <cellStyle name="Cálculo 2 7" xfId="8088" xr:uid="{00000000-0005-0000-0000-0000DD220000}"/>
    <cellStyle name="Cálculo 2 7 2" xfId="8089" xr:uid="{00000000-0005-0000-0000-0000DE220000}"/>
    <cellStyle name="Cálculo 2 7 2 2" xfId="24560" xr:uid="{00000000-0005-0000-0000-0000DF220000}"/>
    <cellStyle name="Cálculo 2 7 2 2 2" xfId="32569" xr:uid="{FEE4BD31-637E-49F3-B453-6BA2B4108ED4}"/>
    <cellStyle name="Cálculo 2 7 3" xfId="24559" xr:uid="{00000000-0005-0000-0000-0000E0220000}"/>
    <cellStyle name="Cálculo 2 7 3 2" xfId="32568" xr:uid="{62D96301-40B2-499E-933E-8A434B225D13}"/>
    <cellStyle name="Cálculo 2 8" xfId="8090" xr:uid="{00000000-0005-0000-0000-0000E1220000}"/>
    <cellStyle name="Cálculo 2 8 2" xfId="24561" xr:uid="{00000000-0005-0000-0000-0000E2220000}"/>
    <cellStyle name="Cálculo 2 8 2 2" xfId="32570" xr:uid="{80BAAC62-C65F-49F5-A86E-4E35AE29BCCB}"/>
    <cellStyle name="Cálculo 2 9" xfId="24548" xr:uid="{00000000-0005-0000-0000-0000E3220000}"/>
    <cellStyle name="Cálculo 2 9 2" xfId="32557" xr:uid="{B11EF069-49E2-4849-9A4F-71D297207A09}"/>
    <cellStyle name="Cálculo 3" xfId="8091" xr:uid="{00000000-0005-0000-0000-0000E4220000}"/>
    <cellStyle name="Cálculo 3 2" xfId="8092" xr:uid="{00000000-0005-0000-0000-0000E5220000}"/>
    <cellStyle name="Cálculo 3 2 2" xfId="8093" xr:uid="{00000000-0005-0000-0000-0000E6220000}"/>
    <cellStyle name="Cálculo 3 2 2 2" xfId="24564" xr:uid="{00000000-0005-0000-0000-0000E7220000}"/>
    <cellStyle name="Cálculo 3 2 2 2 2" xfId="32573" xr:uid="{3CA30469-7F7C-4E82-8474-B11F28BEFB23}"/>
    <cellStyle name="Cálculo 3 2 3" xfId="24563" xr:uid="{00000000-0005-0000-0000-0000E8220000}"/>
    <cellStyle name="Cálculo 3 2 3 2" xfId="32572" xr:uid="{6B51B80F-B6D1-4B96-B0AB-B45EE47B80B7}"/>
    <cellStyle name="Cálculo 3 2 4" xfId="25779" xr:uid="{00000000-0005-0000-0000-0000E9220000}"/>
    <cellStyle name="Cálculo 3 3" xfId="8094" xr:uid="{00000000-0005-0000-0000-0000EA220000}"/>
    <cellStyle name="Cálculo 3 3 2" xfId="8095" xr:uid="{00000000-0005-0000-0000-0000EB220000}"/>
    <cellStyle name="Cálculo 3 3 2 2" xfId="24566" xr:uid="{00000000-0005-0000-0000-0000EC220000}"/>
    <cellStyle name="Cálculo 3 3 2 2 2" xfId="32575" xr:uid="{926B50DA-691E-4195-B0D6-8B29E645149D}"/>
    <cellStyle name="Cálculo 3 3 3" xfId="24565" xr:uid="{00000000-0005-0000-0000-0000ED220000}"/>
    <cellStyle name="Cálculo 3 3 3 2" xfId="32574" xr:uid="{03E83491-7133-4DF6-B0F9-4F8FF22CCA45}"/>
    <cellStyle name="Cálculo 3 4" xfId="8096" xr:uid="{00000000-0005-0000-0000-0000EE220000}"/>
    <cellStyle name="Cálculo 3 4 2" xfId="8097" xr:uid="{00000000-0005-0000-0000-0000EF220000}"/>
    <cellStyle name="Cálculo 3 4 2 2" xfId="24568" xr:uid="{00000000-0005-0000-0000-0000F0220000}"/>
    <cellStyle name="Cálculo 3 4 2 2 2" xfId="32577" xr:uid="{FF181517-0D46-4C65-9AE5-E8A34A82CE21}"/>
    <cellStyle name="Cálculo 3 4 3" xfId="24567" xr:uid="{00000000-0005-0000-0000-0000F1220000}"/>
    <cellStyle name="Cálculo 3 4 3 2" xfId="32576" xr:uid="{25F79065-F5A7-4E87-82A3-7D7AE8E7F121}"/>
    <cellStyle name="Cálculo 3 5" xfId="8098" xr:uid="{00000000-0005-0000-0000-0000F2220000}"/>
    <cellStyle name="Cálculo 3 5 2" xfId="8099" xr:uid="{00000000-0005-0000-0000-0000F3220000}"/>
    <cellStyle name="Cálculo 3 5 2 2" xfId="24570" xr:uid="{00000000-0005-0000-0000-0000F4220000}"/>
    <cellStyle name="Cálculo 3 5 2 2 2" xfId="32579" xr:uid="{1744AC53-0FD6-4B25-A601-368EE5827B38}"/>
    <cellStyle name="Cálculo 3 5 3" xfId="24569" xr:uid="{00000000-0005-0000-0000-0000F5220000}"/>
    <cellStyle name="Cálculo 3 5 3 2" xfId="32578" xr:uid="{B53CA0F4-9785-44A3-A758-2BEF16FF1D9C}"/>
    <cellStyle name="Cálculo 3 6" xfId="8100" xr:uid="{00000000-0005-0000-0000-0000F6220000}"/>
    <cellStyle name="Cálculo 3 6 2" xfId="24571" xr:uid="{00000000-0005-0000-0000-0000F7220000}"/>
    <cellStyle name="Cálculo 3 6 2 2" xfId="32580" xr:uid="{97D54B4D-C505-4A1C-AE2E-7A7FB8BCF509}"/>
    <cellStyle name="Cálculo 3 7" xfId="24562" xr:uid="{00000000-0005-0000-0000-0000F8220000}"/>
    <cellStyle name="Cálculo 3 7 2" xfId="32571" xr:uid="{09B15C1A-21C7-4196-8055-2EE1E8B752F2}"/>
    <cellStyle name="Cálculo 3 8" xfId="25778" xr:uid="{00000000-0005-0000-0000-0000F9220000}"/>
    <cellStyle name="Cálculo 4" xfId="8101" xr:uid="{00000000-0005-0000-0000-0000FA220000}"/>
    <cellStyle name="Cálculo 4 2" xfId="8102" xr:uid="{00000000-0005-0000-0000-0000FB220000}"/>
    <cellStyle name="Cálculo 4 2 2" xfId="8103" xr:uid="{00000000-0005-0000-0000-0000FC220000}"/>
    <cellStyle name="Cálculo 4 2 2 2" xfId="24574" xr:uid="{00000000-0005-0000-0000-0000FD220000}"/>
    <cellStyle name="Cálculo 4 2 2 2 2" xfId="32583" xr:uid="{03531BEE-079A-4379-9DD5-8DC87E2E51BD}"/>
    <cellStyle name="Cálculo 4 2 3" xfId="24573" xr:uid="{00000000-0005-0000-0000-0000FE220000}"/>
    <cellStyle name="Cálculo 4 2 3 2" xfId="32582" xr:uid="{48CFEF98-D75A-4B59-AB52-EC1B04B270A7}"/>
    <cellStyle name="Cálculo 4 3" xfId="8104" xr:uid="{00000000-0005-0000-0000-0000FF220000}"/>
    <cellStyle name="Cálculo 4 3 2" xfId="8105" xr:uid="{00000000-0005-0000-0000-000000230000}"/>
    <cellStyle name="Cálculo 4 3 2 2" xfId="24576" xr:uid="{00000000-0005-0000-0000-000001230000}"/>
    <cellStyle name="Cálculo 4 3 2 2 2" xfId="32585" xr:uid="{A781F216-7788-45FD-B0C0-F72E22E84B2D}"/>
    <cellStyle name="Cálculo 4 3 3" xfId="24575" xr:uid="{00000000-0005-0000-0000-000002230000}"/>
    <cellStyle name="Cálculo 4 3 3 2" xfId="32584" xr:uid="{3D004392-AD77-44DC-9984-2886B9C21204}"/>
    <cellStyle name="Cálculo 4 4" xfId="8106" xr:uid="{00000000-0005-0000-0000-000003230000}"/>
    <cellStyle name="Cálculo 4 4 2" xfId="8107" xr:uid="{00000000-0005-0000-0000-000004230000}"/>
    <cellStyle name="Cálculo 4 4 2 2" xfId="24578" xr:uid="{00000000-0005-0000-0000-000005230000}"/>
    <cellStyle name="Cálculo 4 4 2 2 2" xfId="32587" xr:uid="{EF07859C-8DB1-4F10-B8D0-938310F9A416}"/>
    <cellStyle name="Cálculo 4 4 3" xfId="24577" xr:uid="{00000000-0005-0000-0000-000006230000}"/>
    <cellStyle name="Cálculo 4 4 3 2" xfId="32586" xr:uid="{46CC6CCC-2D72-4AD1-8BF2-A0A574AC1B51}"/>
    <cellStyle name="Cálculo 4 5" xfId="8108" xr:uid="{00000000-0005-0000-0000-000007230000}"/>
    <cellStyle name="Cálculo 4 5 2" xfId="8109" xr:uid="{00000000-0005-0000-0000-000008230000}"/>
    <cellStyle name="Cálculo 4 5 2 2" xfId="24580" xr:uid="{00000000-0005-0000-0000-000009230000}"/>
    <cellStyle name="Cálculo 4 5 2 2 2" xfId="32589" xr:uid="{D6198608-1126-4398-900B-4B7CF60B8AAA}"/>
    <cellStyle name="Cálculo 4 5 3" xfId="24579" xr:uid="{00000000-0005-0000-0000-00000A230000}"/>
    <cellStyle name="Cálculo 4 5 3 2" xfId="32588" xr:uid="{6A7392E1-6E39-46D0-A26B-74C6778CC20F}"/>
    <cellStyle name="Cálculo 4 6" xfId="8110" xr:uid="{00000000-0005-0000-0000-00000B230000}"/>
    <cellStyle name="Cálculo 4 6 2" xfId="24581" xr:uid="{00000000-0005-0000-0000-00000C230000}"/>
    <cellStyle name="Cálculo 4 6 2 2" xfId="32590" xr:uid="{871A850E-5861-4FC1-A6B7-4B89594A27FD}"/>
    <cellStyle name="Cálculo 4 7" xfId="24572" xr:uid="{00000000-0005-0000-0000-00000D230000}"/>
    <cellStyle name="Cálculo 4 7 2" xfId="32581" xr:uid="{62223ECC-B35C-42C1-94EE-B916D06E2ACF}"/>
    <cellStyle name="Cálculo 5" xfId="8111" xr:uid="{00000000-0005-0000-0000-00000E230000}"/>
    <cellStyle name="Cálculo 5 2" xfId="8112" xr:uid="{00000000-0005-0000-0000-00000F230000}"/>
    <cellStyle name="Cálculo 5 2 2" xfId="24583" xr:uid="{00000000-0005-0000-0000-000010230000}"/>
    <cellStyle name="Cálculo 5 2 2 2" xfId="32592" xr:uid="{8CA628A7-F3F8-49BC-A989-19C50459B8FC}"/>
    <cellStyle name="Cálculo 5 3" xfId="24582" xr:uid="{00000000-0005-0000-0000-000011230000}"/>
    <cellStyle name="Cálculo 5 3 2" xfId="32591" xr:uid="{5188E3E1-FAA1-46B6-B3F3-2875FD860036}"/>
    <cellStyle name="Cálculo 5 4" xfId="25780" xr:uid="{00000000-0005-0000-0000-000012230000}"/>
    <cellStyle name="Cálculo 6" xfId="8113" xr:uid="{00000000-0005-0000-0000-000013230000}"/>
    <cellStyle name="Cálculo 6 2" xfId="8114" xr:uid="{00000000-0005-0000-0000-000014230000}"/>
    <cellStyle name="Cálculo 6 2 2" xfId="24585" xr:uid="{00000000-0005-0000-0000-000015230000}"/>
    <cellStyle name="Cálculo 6 2 2 2" xfId="32594" xr:uid="{54B227D1-4ACC-470F-A12F-558BA6D5D1DE}"/>
    <cellStyle name="Cálculo 6 3" xfId="24584" xr:uid="{00000000-0005-0000-0000-000016230000}"/>
    <cellStyle name="Cálculo 6 3 2" xfId="32593" xr:uid="{432B2552-90B1-4047-A357-03BEF5F4043E}"/>
    <cellStyle name="Cálculo 7" xfId="8115" xr:uid="{00000000-0005-0000-0000-000017230000}"/>
    <cellStyle name="Cálculo 7 2" xfId="8116" xr:uid="{00000000-0005-0000-0000-000018230000}"/>
    <cellStyle name="Cálculo 7 2 2" xfId="24587" xr:uid="{00000000-0005-0000-0000-000019230000}"/>
    <cellStyle name="Cálculo 7 2 2 2" xfId="32596" xr:uid="{4E172706-4BE1-43C7-8678-B2C13675BC46}"/>
    <cellStyle name="Cálculo 7 3" xfId="24586" xr:uid="{00000000-0005-0000-0000-00001A230000}"/>
    <cellStyle name="Cálculo 7 3 2" xfId="32595" xr:uid="{16F13BF3-ED77-484A-B55F-5CF062CED2F3}"/>
    <cellStyle name="čárky [0]_Business Plan MCE" xfId="8117" xr:uid="{00000000-0005-0000-0000-00001B230000}"/>
    <cellStyle name="čárky_Business Plan MCE" xfId="8118" xr:uid="{00000000-0005-0000-0000-00001C230000}"/>
    <cellStyle name="Carteira" xfId="8119" xr:uid="{00000000-0005-0000-0000-00001D230000}"/>
    <cellStyle name="Celda de comprobación" xfId="8120" xr:uid="{00000000-0005-0000-0000-00001E230000}"/>
    <cellStyle name="Celda vinculada" xfId="8121" xr:uid="{00000000-0005-0000-0000-00001F230000}"/>
    <cellStyle name="Célula de Verificação" xfId="90" builtinId="23" customBuiltin="1"/>
    <cellStyle name="Célula de Verificação 2" xfId="8122" xr:uid="{00000000-0005-0000-0000-000021230000}"/>
    <cellStyle name="Célula de Verificação 2 2" xfId="8123" xr:uid="{00000000-0005-0000-0000-000022230000}"/>
    <cellStyle name="Célula de Verificação 2 2 2" xfId="25782" xr:uid="{00000000-0005-0000-0000-000023230000}"/>
    <cellStyle name="Célula de Verificação 2 3" xfId="8124" xr:uid="{00000000-0005-0000-0000-000024230000}"/>
    <cellStyle name="Célula de Verificação 2 4" xfId="8125" xr:uid="{00000000-0005-0000-0000-000025230000}"/>
    <cellStyle name="Célula de Verificação 2 5" xfId="8126" xr:uid="{00000000-0005-0000-0000-000026230000}"/>
    <cellStyle name="Célula de Verificação 2 6" xfId="25781" xr:uid="{00000000-0005-0000-0000-000027230000}"/>
    <cellStyle name="Célula de Verificação 3" xfId="8127" xr:uid="{00000000-0005-0000-0000-000028230000}"/>
    <cellStyle name="Célula de Verificação 3 2" xfId="8128" xr:uid="{00000000-0005-0000-0000-000029230000}"/>
    <cellStyle name="Célula de Verificação 3 2 2" xfId="25784" xr:uid="{00000000-0005-0000-0000-00002A230000}"/>
    <cellStyle name="Célula de Verificação 3 3" xfId="8129" xr:uid="{00000000-0005-0000-0000-00002B230000}"/>
    <cellStyle name="Célula de Verificação 3 4" xfId="8130" xr:uid="{00000000-0005-0000-0000-00002C230000}"/>
    <cellStyle name="Célula de Verificação 3 5" xfId="8131" xr:uid="{00000000-0005-0000-0000-00002D230000}"/>
    <cellStyle name="Célula de Verificação 3 6" xfId="25783" xr:uid="{00000000-0005-0000-0000-00002E230000}"/>
    <cellStyle name="Célula de Verificação 4" xfId="8132" xr:uid="{00000000-0005-0000-0000-00002F230000}"/>
    <cellStyle name="Célula de Verificação 4 2" xfId="8133" xr:uid="{00000000-0005-0000-0000-000030230000}"/>
    <cellStyle name="Célula de Verificação 4 3" xfId="8134" xr:uid="{00000000-0005-0000-0000-000031230000}"/>
    <cellStyle name="Célula de Verificação 4 4" xfId="8135" xr:uid="{00000000-0005-0000-0000-000032230000}"/>
    <cellStyle name="Célula de Verificação 4 5" xfId="8136" xr:uid="{00000000-0005-0000-0000-000033230000}"/>
    <cellStyle name="Célula de Verificação 5" xfId="8137" xr:uid="{00000000-0005-0000-0000-000034230000}"/>
    <cellStyle name="Célula de Verificação 5 2" xfId="25785" xr:uid="{00000000-0005-0000-0000-000035230000}"/>
    <cellStyle name="Célula de Verificação 6" xfId="8138" xr:uid="{00000000-0005-0000-0000-000036230000}"/>
    <cellStyle name="Célula de Verificação 7" xfId="8139" xr:uid="{00000000-0005-0000-0000-000037230000}"/>
    <cellStyle name="Célula Ligada" xfId="91" xr:uid="{00000000-0005-0000-0000-000038230000}"/>
    <cellStyle name="Célula Vinculada" xfId="92" builtinId="24" customBuiltin="1"/>
    <cellStyle name="Célula Vinculada 2" xfId="8140" xr:uid="{00000000-0005-0000-0000-00003A230000}"/>
    <cellStyle name="Célula Vinculada 2 2" xfId="8141" xr:uid="{00000000-0005-0000-0000-00003B230000}"/>
    <cellStyle name="Célula Vinculada 2 2 2" xfId="25787" xr:uid="{00000000-0005-0000-0000-00003C230000}"/>
    <cellStyle name="Célula Vinculada 2 3" xfId="8142" xr:uid="{00000000-0005-0000-0000-00003D230000}"/>
    <cellStyle name="Célula Vinculada 2 4" xfId="8143" xr:uid="{00000000-0005-0000-0000-00003E230000}"/>
    <cellStyle name="Célula Vinculada 2 5" xfId="8144" xr:uid="{00000000-0005-0000-0000-00003F230000}"/>
    <cellStyle name="Célula Vinculada 2 6" xfId="25786" xr:uid="{00000000-0005-0000-0000-000040230000}"/>
    <cellStyle name="Célula Vinculada 3" xfId="8145" xr:uid="{00000000-0005-0000-0000-000041230000}"/>
    <cellStyle name="Célula Vinculada 3 2" xfId="8146" xr:uid="{00000000-0005-0000-0000-000042230000}"/>
    <cellStyle name="Célula Vinculada 3 2 2" xfId="25789" xr:uid="{00000000-0005-0000-0000-000043230000}"/>
    <cellStyle name="Célula Vinculada 3 3" xfId="8147" xr:uid="{00000000-0005-0000-0000-000044230000}"/>
    <cellStyle name="Célula Vinculada 3 4" xfId="8148" xr:uid="{00000000-0005-0000-0000-000045230000}"/>
    <cellStyle name="Célula Vinculada 3 5" xfId="8149" xr:uid="{00000000-0005-0000-0000-000046230000}"/>
    <cellStyle name="Célula Vinculada 3 6" xfId="25788" xr:uid="{00000000-0005-0000-0000-000047230000}"/>
    <cellStyle name="Célula Vinculada 4" xfId="8150" xr:uid="{00000000-0005-0000-0000-000048230000}"/>
    <cellStyle name="Célula Vinculada 4 2" xfId="8151" xr:uid="{00000000-0005-0000-0000-000049230000}"/>
    <cellStyle name="Célula Vinculada 4 3" xfId="8152" xr:uid="{00000000-0005-0000-0000-00004A230000}"/>
    <cellStyle name="Célula Vinculada 4 4" xfId="8153" xr:uid="{00000000-0005-0000-0000-00004B230000}"/>
    <cellStyle name="Célula Vinculada 4 5" xfId="8154" xr:uid="{00000000-0005-0000-0000-00004C230000}"/>
    <cellStyle name="Célula Vinculada 5" xfId="8155" xr:uid="{00000000-0005-0000-0000-00004D230000}"/>
    <cellStyle name="Célula Vinculada 5 2" xfId="25790" xr:uid="{00000000-0005-0000-0000-00004E230000}"/>
    <cellStyle name="Célula Vinculada 6" xfId="8156" xr:uid="{00000000-0005-0000-0000-00004F230000}"/>
    <cellStyle name="Célula Vinculada 7" xfId="8157" xr:uid="{00000000-0005-0000-0000-000050230000}"/>
    <cellStyle name="Check Cell" xfId="93" xr:uid="{00000000-0005-0000-0000-000051230000}"/>
    <cellStyle name="Check Cell 2" xfId="8159" xr:uid="{00000000-0005-0000-0000-000052230000}"/>
    <cellStyle name="Check Cell 2 2" xfId="25792" xr:uid="{00000000-0005-0000-0000-000053230000}"/>
    <cellStyle name="Check Cell 2 3" xfId="25791" xr:uid="{00000000-0005-0000-0000-000054230000}"/>
    <cellStyle name="Check Cell 3" xfId="8160" xr:uid="{00000000-0005-0000-0000-000055230000}"/>
    <cellStyle name="Check Cell 4" xfId="8158" xr:uid="{00000000-0005-0000-0000-000056230000}"/>
    <cellStyle name="Comma  - Style1" xfId="94" xr:uid="{00000000-0005-0000-0000-000057230000}"/>
    <cellStyle name="Comma  - Style1 2" xfId="8161" xr:uid="{00000000-0005-0000-0000-000058230000}"/>
    <cellStyle name="Comma  - Style2" xfId="95" xr:uid="{00000000-0005-0000-0000-000059230000}"/>
    <cellStyle name="Comma  - Style2 2" xfId="8162" xr:uid="{00000000-0005-0000-0000-00005A230000}"/>
    <cellStyle name="Comma  - Style3" xfId="96" xr:uid="{00000000-0005-0000-0000-00005B230000}"/>
    <cellStyle name="Comma  - Style3 2" xfId="8163" xr:uid="{00000000-0005-0000-0000-00005C230000}"/>
    <cellStyle name="Comma  - Style4" xfId="97" xr:uid="{00000000-0005-0000-0000-00005D230000}"/>
    <cellStyle name="Comma  - Style4 2" xfId="8164" xr:uid="{00000000-0005-0000-0000-00005E230000}"/>
    <cellStyle name="Comma  - Style5" xfId="98" xr:uid="{00000000-0005-0000-0000-00005F230000}"/>
    <cellStyle name="Comma  - Style5 2" xfId="8165" xr:uid="{00000000-0005-0000-0000-000060230000}"/>
    <cellStyle name="Comma  - Style6" xfId="99" xr:uid="{00000000-0005-0000-0000-000061230000}"/>
    <cellStyle name="Comma  - Style6 2" xfId="8166" xr:uid="{00000000-0005-0000-0000-000062230000}"/>
    <cellStyle name="Comma  - Style7" xfId="100" xr:uid="{00000000-0005-0000-0000-000063230000}"/>
    <cellStyle name="Comma  - Style7 2" xfId="8167" xr:uid="{00000000-0005-0000-0000-000064230000}"/>
    <cellStyle name="Comma  - Style8" xfId="101" xr:uid="{00000000-0005-0000-0000-000065230000}"/>
    <cellStyle name="Comma  - Style8 2" xfId="8168" xr:uid="{00000000-0005-0000-0000-000066230000}"/>
    <cellStyle name="Comma [0]_A" xfId="102" xr:uid="{00000000-0005-0000-0000-000067230000}"/>
    <cellStyle name="Comma 0" xfId="103" xr:uid="{00000000-0005-0000-0000-000068230000}"/>
    <cellStyle name="Comma 0*" xfId="104" xr:uid="{00000000-0005-0000-0000-000069230000}"/>
    <cellStyle name="Comma 10" xfId="8169" xr:uid="{00000000-0005-0000-0000-00006A230000}"/>
    <cellStyle name="Comma 10 2" xfId="8170" xr:uid="{00000000-0005-0000-0000-00006B230000}"/>
    <cellStyle name="Comma 10 2 2" xfId="28189" xr:uid="{9BA89D9D-8FC4-464A-9FF1-7802EF3A7A7A}"/>
    <cellStyle name="Comma 10 3" xfId="8171" xr:uid="{00000000-0005-0000-0000-00006C230000}"/>
    <cellStyle name="Comma 10 4" xfId="28188" xr:uid="{434A8B85-C7A0-4464-AD9A-EB7397EFCAF8}"/>
    <cellStyle name="Comma 100" xfId="8172" xr:uid="{00000000-0005-0000-0000-00006D230000}"/>
    <cellStyle name="Comma 101" xfId="8173" xr:uid="{00000000-0005-0000-0000-00006E230000}"/>
    <cellStyle name="Comma 11" xfId="8174" xr:uid="{00000000-0005-0000-0000-00006F230000}"/>
    <cellStyle name="Comma 11 2" xfId="8175" xr:uid="{00000000-0005-0000-0000-000070230000}"/>
    <cellStyle name="Comma 11 3" xfId="28190" xr:uid="{70AAAD15-5A76-4A40-8675-6956BB4A797C}"/>
    <cellStyle name="Comma 12" xfId="8176" xr:uid="{00000000-0005-0000-0000-000071230000}"/>
    <cellStyle name="Comma 12 2" xfId="8177" xr:uid="{00000000-0005-0000-0000-000072230000}"/>
    <cellStyle name="Comma 12 3" xfId="28191" xr:uid="{D19D73BE-611F-4A82-B170-9D90404BBC08}"/>
    <cellStyle name="Comma 13" xfId="8178" xr:uid="{00000000-0005-0000-0000-000073230000}"/>
    <cellStyle name="Comma 13 2" xfId="8179" xr:uid="{00000000-0005-0000-0000-000074230000}"/>
    <cellStyle name="Comma 13 3" xfId="28192" xr:uid="{C5CAECAB-605A-4E36-AB70-EE3B741C4428}"/>
    <cellStyle name="Comma 14" xfId="8180" xr:uid="{00000000-0005-0000-0000-000075230000}"/>
    <cellStyle name="Comma 16" xfId="8181" xr:uid="{00000000-0005-0000-0000-000076230000}"/>
    <cellStyle name="Comma 17" xfId="8182" xr:uid="{00000000-0005-0000-0000-000077230000}"/>
    <cellStyle name="Comma 18" xfId="8183" xr:uid="{00000000-0005-0000-0000-000078230000}"/>
    <cellStyle name="Comma 19" xfId="8184" xr:uid="{00000000-0005-0000-0000-000079230000}"/>
    <cellStyle name="Comma 2" xfId="105" xr:uid="{00000000-0005-0000-0000-00007A230000}"/>
    <cellStyle name="Comma 2 10" xfId="8185" xr:uid="{00000000-0005-0000-0000-00007B230000}"/>
    <cellStyle name="Comma 2 10 2" xfId="28193" xr:uid="{0AEE7F9B-ABFF-4A62-8C09-B9D5C06A38FC}"/>
    <cellStyle name="Comma 2 100" xfId="8186" xr:uid="{00000000-0005-0000-0000-00007C230000}"/>
    <cellStyle name="Comma 2 100 2" xfId="28194" xr:uid="{388FB565-83C0-4805-9247-DA997762BE6A}"/>
    <cellStyle name="Comma 2 101" xfId="8187" xr:uid="{00000000-0005-0000-0000-00007D230000}"/>
    <cellStyle name="Comma 2 101 2" xfId="28195" xr:uid="{3A55F33C-41BF-46A8-BD52-1F87E3A5533E}"/>
    <cellStyle name="Comma 2 11" xfId="8188" xr:uid="{00000000-0005-0000-0000-00007E230000}"/>
    <cellStyle name="Comma 2 11 2" xfId="28196" xr:uid="{FC607E21-ED9E-47FB-AB0B-6F3D85216E35}"/>
    <cellStyle name="Comma 2 12" xfId="8189" xr:uid="{00000000-0005-0000-0000-00007F230000}"/>
    <cellStyle name="Comma 2 12 2" xfId="28197" xr:uid="{2DB5B45B-7475-400F-820F-10BC68DA7EB6}"/>
    <cellStyle name="Comma 2 13" xfId="8190" xr:uid="{00000000-0005-0000-0000-000080230000}"/>
    <cellStyle name="Comma 2 13 2" xfId="28198" xr:uid="{BA2F0C42-8668-43E0-A0A2-9F58DA008C78}"/>
    <cellStyle name="Comma 2 14" xfId="8191" xr:uid="{00000000-0005-0000-0000-000081230000}"/>
    <cellStyle name="Comma 2 14 2" xfId="28199" xr:uid="{96174F11-9FA0-42EE-BD96-A1785A0B14E7}"/>
    <cellStyle name="Comma 2 15" xfId="8192" xr:uid="{00000000-0005-0000-0000-000082230000}"/>
    <cellStyle name="Comma 2 15 2" xfId="28200" xr:uid="{6A8538CD-9865-49D2-9C3B-0A150BFC77F6}"/>
    <cellStyle name="Comma 2 16" xfId="8193" xr:uid="{00000000-0005-0000-0000-000083230000}"/>
    <cellStyle name="Comma 2 16 2" xfId="28201" xr:uid="{FB577092-0FB8-4B6F-B0E0-1057AC71EE81}"/>
    <cellStyle name="Comma 2 17" xfId="8194" xr:uid="{00000000-0005-0000-0000-000084230000}"/>
    <cellStyle name="Comma 2 17 2" xfId="28202" xr:uid="{29C0ACE7-3E47-4856-ADE9-9E89E0545BE8}"/>
    <cellStyle name="Comma 2 18" xfId="8195" xr:uid="{00000000-0005-0000-0000-000085230000}"/>
    <cellStyle name="Comma 2 18 2" xfId="28203" xr:uid="{4DBC748E-7E76-4BA8-A61E-84D35A73449B}"/>
    <cellStyle name="Comma 2 19" xfId="8196" xr:uid="{00000000-0005-0000-0000-000086230000}"/>
    <cellStyle name="Comma 2 19 2" xfId="28204" xr:uid="{631AD5E3-664E-429F-9168-0E316EB33264}"/>
    <cellStyle name="Comma 2 2" xfId="8197" xr:uid="{00000000-0005-0000-0000-000087230000}"/>
    <cellStyle name="Comma 2 2 2" xfId="28205" xr:uid="{61640041-4B26-41F0-B5A9-248112CDC28F}"/>
    <cellStyle name="Comma 2 20" xfId="8198" xr:uid="{00000000-0005-0000-0000-000088230000}"/>
    <cellStyle name="Comma 2 20 2" xfId="28206" xr:uid="{BACC6219-C1ED-40FD-AAE9-738724D8D93D}"/>
    <cellStyle name="Comma 2 21" xfId="8199" xr:uid="{00000000-0005-0000-0000-000089230000}"/>
    <cellStyle name="Comma 2 21 2" xfId="28207" xr:uid="{1E33CBFB-CD00-4729-96CF-25E48C3C6745}"/>
    <cellStyle name="Comma 2 22" xfId="8200" xr:uid="{00000000-0005-0000-0000-00008A230000}"/>
    <cellStyle name="Comma 2 22 2" xfId="28208" xr:uid="{A04449CF-D85B-4598-8704-C8EDDF7D99C2}"/>
    <cellStyle name="Comma 2 23" xfId="8201" xr:uid="{00000000-0005-0000-0000-00008B230000}"/>
    <cellStyle name="Comma 2 23 2" xfId="28209" xr:uid="{349F99D8-D85B-4B7B-B501-66C7E45EDDE7}"/>
    <cellStyle name="Comma 2 24" xfId="8202" xr:uid="{00000000-0005-0000-0000-00008C230000}"/>
    <cellStyle name="Comma 2 24 2" xfId="28210" xr:uid="{78A90974-D277-4906-BBD4-3AE14F2ACDFA}"/>
    <cellStyle name="Comma 2 25" xfId="8203" xr:uid="{00000000-0005-0000-0000-00008D230000}"/>
    <cellStyle name="Comma 2 25 2" xfId="28211" xr:uid="{AF961B8B-4F93-4396-B131-82153A3A0E1B}"/>
    <cellStyle name="Comma 2 26" xfId="8204" xr:uid="{00000000-0005-0000-0000-00008E230000}"/>
    <cellStyle name="Comma 2 26 2" xfId="28212" xr:uid="{FD6CD7EF-82AD-412A-81D0-A94F1FBAF21A}"/>
    <cellStyle name="Comma 2 27" xfId="8205" xr:uid="{00000000-0005-0000-0000-00008F230000}"/>
    <cellStyle name="Comma 2 27 2" xfId="28213" xr:uid="{1BD37F53-2312-4B77-BDA6-5EFD7C499380}"/>
    <cellStyle name="Comma 2 28" xfId="8206" xr:uid="{00000000-0005-0000-0000-000090230000}"/>
    <cellStyle name="Comma 2 28 2" xfId="28214" xr:uid="{77A26664-BCE8-4C40-ADE1-9152BC49AEA2}"/>
    <cellStyle name="Comma 2 29" xfId="8207" xr:uid="{00000000-0005-0000-0000-000091230000}"/>
    <cellStyle name="Comma 2 29 2" xfId="28215" xr:uid="{DEE41926-ED46-4A02-9907-5B1C6376DA5B}"/>
    <cellStyle name="Comma 2 3" xfId="8208" xr:uid="{00000000-0005-0000-0000-000092230000}"/>
    <cellStyle name="Comma 2 3 2" xfId="28216" xr:uid="{63610DCF-7CB3-4580-8504-052C6C189837}"/>
    <cellStyle name="Comma 2 30" xfId="8209" xr:uid="{00000000-0005-0000-0000-000093230000}"/>
    <cellStyle name="Comma 2 30 2" xfId="28217" xr:uid="{B6C4A57D-77C8-43A0-BF50-47FF5430B846}"/>
    <cellStyle name="Comma 2 31" xfId="8210" xr:uid="{00000000-0005-0000-0000-000094230000}"/>
    <cellStyle name="Comma 2 31 2" xfId="28218" xr:uid="{60F1081C-09E9-479F-B01D-3C6B83729382}"/>
    <cellStyle name="Comma 2 32" xfId="8211" xr:uid="{00000000-0005-0000-0000-000095230000}"/>
    <cellStyle name="Comma 2 32 2" xfId="28219" xr:uid="{5532A628-C35C-4C65-93A3-522DFAE57192}"/>
    <cellStyle name="Comma 2 33" xfId="8212" xr:uid="{00000000-0005-0000-0000-000096230000}"/>
    <cellStyle name="Comma 2 33 2" xfId="28220" xr:uid="{918058FC-20C7-448D-9CD9-E942FC7F6319}"/>
    <cellStyle name="Comma 2 34" xfId="8213" xr:uid="{00000000-0005-0000-0000-000097230000}"/>
    <cellStyle name="Comma 2 34 2" xfId="28221" xr:uid="{00E2FD94-476C-4586-B8A7-747E3F9F5452}"/>
    <cellStyle name="Comma 2 35" xfId="8214" xr:uid="{00000000-0005-0000-0000-000098230000}"/>
    <cellStyle name="Comma 2 35 2" xfId="28222" xr:uid="{723D6D0D-0490-4D66-A47E-536BFCA69C7A}"/>
    <cellStyle name="Comma 2 36" xfId="8215" xr:uid="{00000000-0005-0000-0000-000099230000}"/>
    <cellStyle name="Comma 2 36 2" xfId="28223" xr:uid="{03E47CB2-32C2-42DD-B331-06A6CDDA9726}"/>
    <cellStyle name="Comma 2 37" xfId="8216" xr:uid="{00000000-0005-0000-0000-00009A230000}"/>
    <cellStyle name="Comma 2 37 2" xfId="28224" xr:uid="{1178A6B4-5EC4-43DE-B219-3522E206E515}"/>
    <cellStyle name="Comma 2 38" xfId="8217" xr:uid="{00000000-0005-0000-0000-00009B230000}"/>
    <cellStyle name="Comma 2 38 2" xfId="28225" xr:uid="{3BAE9C9B-9824-4A09-B6CD-70226657B015}"/>
    <cellStyle name="Comma 2 39" xfId="8218" xr:uid="{00000000-0005-0000-0000-00009C230000}"/>
    <cellStyle name="Comma 2 39 2" xfId="28226" xr:uid="{1EE9EEBF-281A-4AA1-8FF3-E36FC6549B56}"/>
    <cellStyle name="Comma 2 4" xfId="8219" xr:uid="{00000000-0005-0000-0000-00009D230000}"/>
    <cellStyle name="Comma 2 4 2" xfId="28227" xr:uid="{C4065C42-42C2-4A4C-8D4D-94B676579C46}"/>
    <cellStyle name="Comma 2 40" xfId="8220" xr:uid="{00000000-0005-0000-0000-00009E230000}"/>
    <cellStyle name="Comma 2 40 2" xfId="28228" xr:uid="{121EF07A-B39B-432B-A683-665C8C300482}"/>
    <cellStyle name="Comma 2 41" xfId="8221" xr:uid="{00000000-0005-0000-0000-00009F230000}"/>
    <cellStyle name="Comma 2 41 2" xfId="28229" xr:uid="{8FFCD187-CB4E-422A-8C12-AB73845721D8}"/>
    <cellStyle name="Comma 2 42" xfId="8222" xr:uid="{00000000-0005-0000-0000-0000A0230000}"/>
    <cellStyle name="Comma 2 42 2" xfId="28230" xr:uid="{829D6D47-E650-4D7C-8F1B-D1E73AB89F41}"/>
    <cellStyle name="Comma 2 43" xfId="8223" xr:uid="{00000000-0005-0000-0000-0000A1230000}"/>
    <cellStyle name="Comma 2 43 2" xfId="28231" xr:uid="{BF965A94-A9FA-45C8-A2AF-025F34AEE74E}"/>
    <cellStyle name="Comma 2 44" xfId="8224" xr:uid="{00000000-0005-0000-0000-0000A2230000}"/>
    <cellStyle name="Comma 2 44 2" xfId="28232" xr:uid="{F24B93D9-319E-4C81-B62D-0D8A17D11297}"/>
    <cellStyle name="Comma 2 45" xfId="8225" xr:uid="{00000000-0005-0000-0000-0000A3230000}"/>
    <cellStyle name="Comma 2 45 2" xfId="28233" xr:uid="{540E86BA-003B-4714-A502-B10FDE0A4692}"/>
    <cellStyle name="Comma 2 46" xfId="8226" xr:uid="{00000000-0005-0000-0000-0000A4230000}"/>
    <cellStyle name="Comma 2 46 2" xfId="28234" xr:uid="{F2AE4A43-2FAE-48EE-93A9-E4929BFFCE2A}"/>
    <cellStyle name="Comma 2 47" xfId="8227" xr:uid="{00000000-0005-0000-0000-0000A5230000}"/>
    <cellStyle name="Comma 2 47 2" xfId="28235" xr:uid="{E7249A0D-7294-429F-B831-009F01AA084B}"/>
    <cellStyle name="Comma 2 48" xfId="8228" xr:uid="{00000000-0005-0000-0000-0000A6230000}"/>
    <cellStyle name="Comma 2 48 2" xfId="28236" xr:uid="{34C6F570-AD77-4379-AE0E-C926FB641093}"/>
    <cellStyle name="Comma 2 49" xfId="8229" xr:uid="{00000000-0005-0000-0000-0000A7230000}"/>
    <cellStyle name="Comma 2 49 2" xfId="28237" xr:uid="{7EF64AD2-1DF2-4E3E-9F20-68CBE9F88759}"/>
    <cellStyle name="Comma 2 5" xfId="8230" xr:uid="{00000000-0005-0000-0000-0000A8230000}"/>
    <cellStyle name="Comma 2 5 2" xfId="28238" xr:uid="{9F3F1BB8-0A72-4E11-9371-73B3717918B3}"/>
    <cellStyle name="Comma 2 50" xfId="8231" xr:uid="{00000000-0005-0000-0000-0000A9230000}"/>
    <cellStyle name="Comma 2 50 2" xfId="28239" xr:uid="{F4E5BDEC-A07A-45A6-8F4A-9351D735C528}"/>
    <cellStyle name="Comma 2 51" xfId="8232" xr:uid="{00000000-0005-0000-0000-0000AA230000}"/>
    <cellStyle name="Comma 2 51 2" xfId="28240" xr:uid="{DAF0CDD3-D2C2-4169-9304-F816D5CC5200}"/>
    <cellStyle name="Comma 2 52" xfId="8233" xr:uid="{00000000-0005-0000-0000-0000AB230000}"/>
    <cellStyle name="Comma 2 52 2" xfId="28241" xr:uid="{DFD143AF-4809-48AA-9C34-20ED87B7BD9B}"/>
    <cellStyle name="Comma 2 53" xfId="8234" xr:uid="{00000000-0005-0000-0000-0000AC230000}"/>
    <cellStyle name="Comma 2 53 2" xfId="28242" xr:uid="{34A95510-75AD-43C3-A277-4F2201A8937C}"/>
    <cellStyle name="Comma 2 54" xfId="8235" xr:uid="{00000000-0005-0000-0000-0000AD230000}"/>
    <cellStyle name="Comma 2 54 2" xfId="28243" xr:uid="{51D7AEB7-AA50-42CC-AC30-71C987879377}"/>
    <cellStyle name="Comma 2 55" xfId="8236" xr:uid="{00000000-0005-0000-0000-0000AE230000}"/>
    <cellStyle name="Comma 2 55 2" xfId="28244" xr:uid="{1CA07463-C6E6-4B4B-82AA-65BE8B57CE00}"/>
    <cellStyle name="Comma 2 56" xfId="8237" xr:uid="{00000000-0005-0000-0000-0000AF230000}"/>
    <cellStyle name="Comma 2 56 2" xfId="28245" xr:uid="{5F4AA836-8E4B-4B99-8AC9-0D8E8D9727D3}"/>
    <cellStyle name="Comma 2 57" xfId="8238" xr:uid="{00000000-0005-0000-0000-0000B0230000}"/>
    <cellStyle name="Comma 2 57 2" xfId="28246" xr:uid="{4C3D7022-8139-4126-B8F4-9E58B082E5DF}"/>
    <cellStyle name="Comma 2 58" xfId="8239" xr:uid="{00000000-0005-0000-0000-0000B1230000}"/>
    <cellStyle name="Comma 2 58 2" xfId="28247" xr:uid="{1AC4124C-27E1-42FB-B14E-39E5DF1EAF5F}"/>
    <cellStyle name="Comma 2 59" xfId="8240" xr:uid="{00000000-0005-0000-0000-0000B2230000}"/>
    <cellStyle name="Comma 2 59 2" xfId="28248" xr:uid="{6B205A34-4F71-4BC7-8F80-A505EC57A9E5}"/>
    <cellStyle name="Comma 2 6" xfId="8241" xr:uid="{00000000-0005-0000-0000-0000B3230000}"/>
    <cellStyle name="Comma 2 6 2" xfId="28249" xr:uid="{FF965BBC-81FA-47A8-9EF0-C7012D48BDF0}"/>
    <cellStyle name="Comma 2 60" xfId="8242" xr:uid="{00000000-0005-0000-0000-0000B4230000}"/>
    <cellStyle name="Comma 2 60 2" xfId="28250" xr:uid="{BB341FAB-FAA3-4DAC-A312-2B0D3FFF0916}"/>
    <cellStyle name="Comma 2 61" xfId="8243" xr:uid="{00000000-0005-0000-0000-0000B5230000}"/>
    <cellStyle name="Comma 2 61 2" xfId="28251" xr:uid="{6D30DB9F-6C60-4833-835F-06B1C668C198}"/>
    <cellStyle name="Comma 2 62" xfId="8244" xr:uid="{00000000-0005-0000-0000-0000B6230000}"/>
    <cellStyle name="Comma 2 62 2" xfId="28252" xr:uid="{CC673C34-763B-4E1C-9350-D385C7CD2C27}"/>
    <cellStyle name="Comma 2 63" xfId="8245" xr:uid="{00000000-0005-0000-0000-0000B7230000}"/>
    <cellStyle name="Comma 2 63 2" xfId="28253" xr:uid="{9062EBF6-C980-47BD-87A4-0A3255C8A49E}"/>
    <cellStyle name="Comma 2 64" xfId="8246" xr:uid="{00000000-0005-0000-0000-0000B8230000}"/>
    <cellStyle name="Comma 2 64 2" xfId="28254" xr:uid="{004DEAB2-0AC0-4382-90FE-4374C2A3BD50}"/>
    <cellStyle name="Comma 2 65" xfId="8247" xr:uid="{00000000-0005-0000-0000-0000B9230000}"/>
    <cellStyle name="Comma 2 65 2" xfId="28255" xr:uid="{2DF50DC5-A047-4F13-9731-35576B26213A}"/>
    <cellStyle name="Comma 2 66" xfId="8248" xr:uid="{00000000-0005-0000-0000-0000BA230000}"/>
    <cellStyle name="Comma 2 66 2" xfId="28256" xr:uid="{AAF08D43-22DB-4EFD-9BE7-C5EA93488201}"/>
    <cellStyle name="Comma 2 67" xfId="8249" xr:uid="{00000000-0005-0000-0000-0000BB230000}"/>
    <cellStyle name="Comma 2 67 2" xfId="28257" xr:uid="{DFAD3518-A2E2-41EC-B9B6-8A69EF14DD4C}"/>
    <cellStyle name="Comma 2 68" xfId="8250" xr:uid="{00000000-0005-0000-0000-0000BC230000}"/>
    <cellStyle name="Comma 2 68 2" xfId="28258" xr:uid="{0FF35B67-F560-4611-ADFC-8906332BE95E}"/>
    <cellStyle name="Comma 2 69" xfId="8251" xr:uid="{00000000-0005-0000-0000-0000BD230000}"/>
    <cellStyle name="Comma 2 69 2" xfId="28259" xr:uid="{A741980B-67D4-491E-BFBC-2340882A3F00}"/>
    <cellStyle name="Comma 2 7" xfId="8252" xr:uid="{00000000-0005-0000-0000-0000BE230000}"/>
    <cellStyle name="Comma 2 7 2" xfId="28260" xr:uid="{3C9677A5-4CBD-4C64-9AC8-186B7D4DBAC7}"/>
    <cellStyle name="Comma 2 70" xfId="8253" xr:uid="{00000000-0005-0000-0000-0000BF230000}"/>
    <cellStyle name="Comma 2 70 2" xfId="28261" xr:uid="{23C135D7-6955-445E-AFB4-436A2EA4BA55}"/>
    <cellStyle name="Comma 2 71" xfId="8254" xr:uid="{00000000-0005-0000-0000-0000C0230000}"/>
    <cellStyle name="Comma 2 71 2" xfId="28262" xr:uid="{4E153098-EB01-439D-9D5B-99EBC7898DF3}"/>
    <cellStyle name="Comma 2 72" xfId="8255" xr:uid="{00000000-0005-0000-0000-0000C1230000}"/>
    <cellStyle name="Comma 2 72 2" xfId="28263" xr:uid="{87919E02-89F8-44D3-ADAC-A52475D3F861}"/>
    <cellStyle name="Comma 2 73" xfId="8256" xr:uid="{00000000-0005-0000-0000-0000C2230000}"/>
    <cellStyle name="Comma 2 73 2" xfId="28264" xr:uid="{1E7CB81D-A418-4558-88B3-737FE2CE9067}"/>
    <cellStyle name="Comma 2 74" xfId="8257" xr:uid="{00000000-0005-0000-0000-0000C3230000}"/>
    <cellStyle name="Comma 2 74 2" xfId="28265" xr:uid="{281860FA-DF61-480D-B451-95DF2F02DE97}"/>
    <cellStyle name="Comma 2 75" xfId="8258" xr:uid="{00000000-0005-0000-0000-0000C4230000}"/>
    <cellStyle name="Comma 2 75 2" xfId="28266" xr:uid="{50B81CC5-04EF-4791-A8C3-44E5CEB27508}"/>
    <cellStyle name="Comma 2 76" xfId="8259" xr:uid="{00000000-0005-0000-0000-0000C5230000}"/>
    <cellStyle name="Comma 2 76 2" xfId="28267" xr:uid="{DC47C394-78E3-4822-B1A2-20B3D2D1D2E0}"/>
    <cellStyle name="Comma 2 77" xfId="8260" xr:uid="{00000000-0005-0000-0000-0000C6230000}"/>
    <cellStyle name="Comma 2 77 2" xfId="28268" xr:uid="{28769597-E4CC-4CD5-9DC3-E25A4910AB92}"/>
    <cellStyle name="Comma 2 78" xfId="8261" xr:uid="{00000000-0005-0000-0000-0000C7230000}"/>
    <cellStyle name="Comma 2 78 2" xfId="28269" xr:uid="{A950B63E-861C-40D1-B5F2-9DCD7810FCCB}"/>
    <cellStyle name="Comma 2 79" xfId="8262" xr:uid="{00000000-0005-0000-0000-0000C8230000}"/>
    <cellStyle name="Comma 2 79 2" xfId="28270" xr:uid="{F29EC864-963D-41EE-9E12-B54F1BDE8508}"/>
    <cellStyle name="Comma 2 8" xfId="8263" xr:uid="{00000000-0005-0000-0000-0000C9230000}"/>
    <cellStyle name="Comma 2 8 2" xfId="28271" xr:uid="{A96837DB-48A0-4BD1-8C24-F3D6F57CE880}"/>
    <cellStyle name="Comma 2 80" xfId="8264" xr:uid="{00000000-0005-0000-0000-0000CA230000}"/>
    <cellStyle name="Comma 2 80 2" xfId="28272" xr:uid="{27DD25B5-FA3A-4555-BFAA-7CAB60715ACC}"/>
    <cellStyle name="Comma 2 81" xfId="8265" xr:uid="{00000000-0005-0000-0000-0000CB230000}"/>
    <cellStyle name="Comma 2 81 2" xfId="28273" xr:uid="{F1976424-C3DF-4D02-8D39-2174C5589C17}"/>
    <cellStyle name="Comma 2 82" xfId="8266" xr:uid="{00000000-0005-0000-0000-0000CC230000}"/>
    <cellStyle name="Comma 2 82 2" xfId="28274" xr:uid="{A4237B3B-1E4F-4AA9-8E97-23D38AE9CD2E}"/>
    <cellStyle name="Comma 2 83" xfId="8267" xr:uid="{00000000-0005-0000-0000-0000CD230000}"/>
    <cellStyle name="Comma 2 83 2" xfId="28275" xr:uid="{BC30BEBA-D19D-4D74-9961-95E1376DE43B}"/>
    <cellStyle name="Comma 2 84" xfId="8268" xr:uid="{00000000-0005-0000-0000-0000CE230000}"/>
    <cellStyle name="Comma 2 84 2" xfId="28276" xr:uid="{189E17E1-05CB-4F44-B70F-D46EFCDEDB6A}"/>
    <cellStyle name="Comma 2 85" xfId="8269" xr:uid="{00000000-0005-0000-0000-0000CF230000}"/>
    <cellStyle name="Comma 2 85 2" xfId="28277" xr:uid="{A148A175-7103-47A7-B6B1-49AD6CD84089}"/>
    <cellStyle name="Comma 2 86" xfId="8270" xr:uid="{00000000-0005-0000-0000-0000D0230000}"/>
    <cellStyle name="Comma 2 86 2" xfId="28278" xr:uid="{6FACE024-D1BF-4D78-99FD-A386392E10EB}"/>
    <cellStyle name="Comma 2 87" xfId="8271" xr:uid="{00000000-0005-0000-0000-0000D1230000}"/>
    <cellStyle name="Comma 2 87 2" xfId="28279" xr:uid="{D834FE70-097F-4AD6-ADE2-69508A70D118}"/>
    <cellStyle name="Comma 2 88" xfId="8272" xr:uid="{00000000-0005-0000-0000-0000D2230000}"/>
    <cellStyle name="Comma 2 88 2" xfId="28280" xr:uid="{10DBD851-C5F2-4834-ACC0-EB676B46AA1F}"/>
    <cellStyle name="Comma 2 89" xfId="8273" xr:uid="{00000000-0005-0000-0000-0000D3230000}"/>
    <cellStyle name="Comma 2 89 2" xfId="28281" xr:uid="{DD62CB03-03A6-431F-AE50-1FAAE81B9AA7}"/>
    <cellStyle name="Comma 2 9" xfId="8274" xr:uid="{00000000-0005-0000-0000-0000D4230000}"/>
    <cellStyle name="Comma 2 9 2" xfId="28282" xr:uid="{F2597B13-CAE9-48CA-A782-B4F647C1771E}"/>
    <cellStyle name="Comma 2 90" xfId="8275" xr:uid="{00000000-0005-0000-0000-0000D5230000}"/>
    <cellStyle name="Comma 2 90 2" xfId="28283" xr:uid="{75492E67-F784-458B-8893-5A638E82B44C}"/>
    <cellStyle name="Comma 2 91" xfId="8276" xr:uid="{00000000-0005-0000-0000-0000D6230000}"/>
    <cellStyle name="Comma 2 91 2" xfId="28284" xr:uid="{DA7DC5D3-B1FD-4A1D-AE3F-4A5E953FE1DD}"/>
    <cellStyle name="Comma 2 92" xfId="8277" xr:uid="{00000000-0005-0000-0000-0000D7230000}"/>
    <cellStyle name="Comma 2 92 2" xfId="28285" xr:uid="{BC4A5250-F243-47EF-9026-2760C3781271}"/>
    <cellStyle name="Comma 2 93" xfId="8278" xr:uid="{00000000-0005-0000-0000-0000D8230000}"/>
    <cellStyle name="Comma 2 93 2" xfId="28286" xr:uid="{A2E0F1D7-D10F-477C-9A28-D346DC556622}"/>
    <cellStyle name="Comma 2 94" xfId="8279" xr:uid="{00000000-0005-0000-0000-0000D9230000}"/>
    <cellStyle name="Comma 2 94 2" xfId="28287" xr:uid="{C5CC750E-23AD-46D0-9AD0-B88B8F6A6E2F}"/>
    <cellStyle name="Comma 2 95" xfId="8280" xr:uid="{00000000-0005-0000-0000-0000DA230000}"/>
    <cellStyle name="Comma 2 95 2" xfId="28288" xr:uid="{98783769-96C3-4833-B33D-DB96C4F03585}"/>
    <cellStyle name="Comma 2 96" xfId="8281" xr:uid="{00000000-0005-0000-0000-0000DB230000}"/>
    <cellStyle name="Comma 2 96 2" xfId="28289" xr:uid="{2EA068A5-823E-4AF6-B24B-B12B40E86803}"/>
    <cellStyle name="Comma 2 97" xfId="8282" xr:uid="{00000000-0005-0000-0000-0000DC230000}"/>
    <cellStyle name="Comma 2 97 2" xfId="28290" xr:uid="{AB27DD60-E5F7-490A-972D-970D31009182}"/>
    <cellStyle name="Comma 2 98" xfId="8283" xr:uid="{00000000-0005-0000-0000-0000DD230000}"/>
    <cellStyle name="Comma 2 98 2" xfId="28291" xr:uid="{A46E61E3-261C-4B3E-AEB2-1547449453BC}"/>
    <cellStyle name="Comma 2 99" xfId="8284" xr:uid="{00000000-0005-0000-0000-0000DE230000}"/>
    <cellStyle name="Comma 2 99 2" xfId="28292" xr:uid="{5746837C-6A4B-4E29-A865-5C8C091BEFC0}"/>
    <cellStyle name="Comma 2*" xfId="106" xr:uid="{00000000-0005-0000-0000-0000DF230000}"/>
    <cellStyle name="Comma 2_Tabelas RI MAR2010" xfId="107" xr:uid="{00000000-0005-0000-0000-0000E0230000}"/>
    <cellStyle name="Comma 20" xfId="8285" xr:uid="{00000000-0005-0000-0000-0000E1230000}"/>
    <cellStyle name="Comma 21" xfId="8286" xr:uid="{00000000-0005-0000-0000-0000E2230000}"/>
    <cellStyle name="Comma 22" xfId="8287" xr:uid="{00000000-0005-0000-0000-0000E3230000}"/>
    <cellStyle name="Comma 23" xfId="8288" xr:uid="{00000000-0005-0000-0000-0000E4230000}"/>
    <cellStyle name="Comma 24" xfId="8289" xr:uid="{00000000-0005-0000-0000-0000E5230000}"/>
    <cellStyle name="Comma 25" xfId="8290" xr:uid="{00000000-0005-0000-0000-0000E6230000}"/>
    <cellStyle name="Comma 26" xfId="8291" xr:uid="{00000000-0005-0000-0000-0000E7230000}"/>
    <cellStyle name="Comma 27" xfId="8292" xr:uid="{00000000-0005-0000-0000-0000E8230000}"/>
    <cellStyle name="Comma 29" xfId="8293" xr:uid="{00000000-0005-0000-0000-0000E9230000}"/>
    <cellStyle name="Comma 3" xfId="8294" xr:uid="{00000000-0005-0000-0000-0000EA230000}"/>
    <cellStyle name="Comma 30" xfId="8295" xr:uid="{00000000-0005-0000-0000-0000EB230000}"/>
    <cellStyle name="Comma 31" xfId="8296" xr:uid="{00000000-0005-0000-0000-0000EC230000}"/>
    <cellStyle name="Comma 32" xfId="8297" xr:uid="{00000000-0005-0000-0000-0000ED230000}"/>
    <cellStyle name="Comma 33" xfId="8298" xr:uid="{00000000-0005-0000-0000-0000EE230000}"/>
    <cellStyle name="Comma 34" xfId="8299" xr:uid="{00000000-0005-0000-0000-0000EF230000}"/>
    <cellStyle name="Comma 35" xfId="8300" xr:uid="{00000000-0005-0000-0000-0000F0230000}"/>
    <cellStyle name="Comma 36" xfId="8301" xr:uid="{00000000-0005-0000-0000-0000F1230000}"/>
    <cellStyle name="Comma 37" xfId="8302" xr:uid="{00000000-0005-0000-0000-0000F2230000}"/>
    <cellStyle name="Comma 39" xfId="8303" xr:uid="{00000000-0005-0000-0000-0000F3230000}"/>
    <cellStyle name="Comma 4" xfId="8304" xr:uid="{00000000-0005-0000-0000-0000F4230000}"/>
    <cellStyle name="Comma 40" xfId="8305" xr:uid="{00000000-0005-0000-0000-0000F5230000}"/>
    <cellStyle name="Comma 41" xfId="8306" xr:uid="{00000000-0005-0000-0000-0000F6230000}"/>
    <cellStyle name="Comma 42" xfId="8307" xr:uid="{00000000-0005-0000-0000-0000F7230000}"/>
    <cellStyle name="Comma 43" xfId="8308" xr:uid="{00000000-0005-0000-0000-0000F8230000}"/>
    <cellStyle name="Comma 44" xfId="8309" xr:uid="{00000000-0005-0000-0000-0000F9230000}"/>
    <cellStyle name="Comma 46" xfId="8310" xr:uid="{00000000-0005-0000-0000-0000FA230000}"/>
    <cellStyle name="Comma 47" xfId="8311" xr:uid="{00000000-0005-0000-0000-0000FB230000}"/>
    <cellStyle name="Comma 48" xfId="8312" xr:uid="{00000000-0005-0000-0000-0000FC230000}"/>
    <cellStyle name="Comma 49" xfId="8313" xr:uid="{00000000-0005-0000-0000-0000FD230000}"/>
    <cellStyle name="Comma 5" xfId="8314" xr:uid="{00000000-0005-0000-0000-0000FE230000}"/>
    <cellStyle name="Comma 5 2" xfId="8315" xr:uid="{00000000-0005-0000-0000-0000FF230000}"/>
    <cellStyle name="Comma 50" xfId="8316" xr:uid="{00000000-0005-0000-0000-000000240000}"/>
    <cellStyle name="Comma 51" xfId="8317" xr:uid="{00000000-0005-0000-0000-000001240000}"/>
    <cellStyle name="Comma 52" xfId="8318" xr:uid="{00000000-0005-0000-0000-000002240000}"/>
    <cellStyle name="Comma 53" xfId="8319" xr:uid="{00000000-0005-0000-0000-000003240000}"/>
    <cellStyle name="Comma 54" xfId="8320" xr:uid="{00000000-0005-0000-0000-000004240000}"/>
    <cellStyle name="Comma 55" xfId="8321" xr:uid="{00000000-0005-0000-0000-000005240000}"/>
    <cellStyle name="Comma 56" xfId="8322" xr:uid="{00000000-0005-0000-0000-000006240000}"/>
    <cellStyle name="Comma 57" xfId="8323" xr:uid="{00000000-0005-0000-0000-000007240000}"/>
    <cellStyle name="Comma 58" xfId="8324" xr:uid="{00000000-0005-0000-0000-000008240000}"/>
    <cellStyle name="Comma 59" xfId="8325" xr:uid="{00000000-0005-0000-0000-000009240000}"/>
    <cellStyle name="Comma 6" xfId="8326" xr:uid="{00000000-0005-0000-0000-00000A240000}"/>
    <cellStyle name="Comma 60" xfId="8327" xr:uid="{00000000-0005-0000-0000-00000B240000}"/>
    <cellStyle name="Comma 61" xfId="8328" xr:uid="{00000000-0005-0000-0000-00000C240000}"/>
    <cellStyle name="Comma 62" xfId="8329" xr:uid="{00000000-0005-0000-0000-00000D240000}"/>
    <cellStyle name="Comma 63" xfId="8330" xr:uid="{00000000-0005-0000-0000-00000E240000}"/>
    <cellStyle name="Comma 64" xfId="8331" xr:uid="{00000000-0005-0000-0000-00000F240000}"/>
    <cellStyle name="Comma 65" xfId="8332" xr:uid="{00000000-0005-0000-0000-000010240000}"/>
    <cellStyle name="Comma 66" xfId="8333" xr:uid="{00000000-0005-0000-0000-000011240000}"/>
    <cellStyle name="Comma 67" xfId="8334" xr:uid="{00000000-0005-0000-0000-000012240000}"/>
    <cellStyle name="Comma 68" xfId="8335" xr:uid="{00000000-0005-0000-0000-000013240000}"/>
    <cellStyle name="Comma 69" xfId="8336" xr:uid="{00000000-0005-0000-0000-000014240000}"/>
    <cellStyle name="Comma 7" xfId="8337" xr:uid="{00000000-0005-0000-0000-000015240000}"/>
    <cellStyle name="Comma 7 2" xfId="8338" xr:uid="{00000000-0005-0000-0000-000016240000}"/>
    <cellStyle name="Comma 7 2 2" xfId="8339" xr:uid="{00000000-0005-0000-0000-000017240000}"/>
    <cellStyle name="Comma 7 2 2 2" xfId="8340" xr:uid="{00000000-0005-0000-0000-000018240000}"/>
    <cellStyle name="Comma 7 2 3" xfId="8341" xr:uid="{00000000-0005-0000-0000-000019240000}"/>
    <cellStyle name="Comma 7 3" xfId="8342" xr:uid="{00000000-0005-0000-0000-00001A240000}"/>
    <cellStyle name="Comma 70" xfId="8343" xr:uid="{00000000-0005-0000-0000-00001B240000}"/>
    <cellStyle name="Comma 71" xfId="8344" xr:uid="{00000000-0005-0000-0000-00001C240000}"/>
    <cellStyle name="Comma 72" xfId="8345" xr:uid="{00000000-0005-0000-0000-00001D240000}"/>
    <cellStyle name="Comma 73" xfId="8346" xr:uid="{00000000-0005-0000-0000-00001E240000}"/>
    <cellStyle name="Comma 74" xfId="8347" xr:uid="{00000000-0005-0000-0000-00001F240000}"/>
    <cellStyle name="Comma 75" xfId="8348" xr:uid="{00000000-0005-0000-0000-000020240000}"/>
    <cellStyle name="Comma 76" xfId="8349" xr:uid="{00000000-0005-0000-0000-000021240000}"/>
    <cellStyle name="Comma 77" xfId="8350" xr:uid="{00000000-0005-0000-0000-000022240000}"/>
    <cellStyle name="Comma 78" xfId="8351" xr:uid="{00000000-0005-0000-0000-000023240000}"/>
    <cellStyle name="Comma 79" xfId="8352" xr:uid="{00000000-0005-0000-0000-000024240000}"/>
    <cellStyle name="Comma 8" xfId="8353" xr:uid="{00000000-0005-0000-0000-000025240000}"/>
    <cellStyle name="Comma 8 2" xfId="8354" xr:uid="{00000000-0005-0000-0000-000026240000}"/>
    <cellStyle name="Comma 8 2 2" xfId="28293" xr:uid="{27DBEFC8-7CF1-4E3F-BEAC-746CDD813679}"/>
    <cellStyle name="Comma 8 3" xfId="8355" xr:uid="{00000000-0005-0000-0000-000027240000}"/>
    <cellStyle name="Comma 8 3 2" xfId="28294" xr:uid="{C1E4F24E-5F91-42C8-921A-2083943BF22D}"/>
    <cellStyle name="Comma 80" xfId="8356" xr:uid="{00000000-0005-0000-0000-000028240000}"/>
    <cellStyle name="Comma 81" xfId="8357" xr:uid="{00000000-0005-0000-0000-000029240000}"/>
    <cellStyle name="Comma 82" xfId="8358" xr:uid="{00000000-0005-0000-0000-00002A240000}"/>
    <cellStyle name="Comma 83" xfId="8359" xr:uid="{00000000-0005-0000-0000-00002B240000}"/>
    <cellStyle name="Comma 84" xfId="8360" xr:uid="{00000000-0005-0000-0000-00002C240000}"/>
    <cellStyle name="Comma 85" xfId="8361" xr:uid="{00000000-0005-0000-0000-00002D240000}"/>
    <cellStyle name="Comma 86" xfId="8362" xr:uid="{00000000-0005-0000-0000-00002E240000}"/>
    <cellStyle name="Comma 87" xfId="8363" xr:uid="{00000000-0005-0000-0000-00002F240000}"/>
    <cellStyle name="Comma 88" xfId="8364" xr:uid="{00000000-0005-0000-0000-000030240000}"/>
    <cellStyle name="Comma 89" xfId="8365" xr:uid="{00000000-0005-0000-0000-000031240000}"/>
    <cellStyle name="Comma 9" xfId="8366" xr:uid="{00000000-0005-0000-0000-000032240000}"/>
    <cellStyle name="Comma 90" xfId="8367" xr:uid="{00000000-0005-0000-0000-000033240000}"/>
    <cellStyle name="Comma 91" xfId="8368" xr:uid="{00000000-0005-0000-0000-000034240000}"/>
    <cellStyle name="Comma 92" xfId="8369" xr:uid="{00000000-0005-0000-0000-000035240000}"/>
    <cellStyle name="Comma 93" xfId="8370" xr:uid="{00000000-0005-0000-0000-000036240000}"/>
    <cellStyle name="Comma 94" xfId="8371" xr:uid="{00000000-0005-0000-0000-000037240000}"/>
    <cellStyle name="Comma 95" xfId="8372" xr:uid="{00000000-0005-0000-0000-000038240000}"/>
    <cellStyle name="Comma 96" xfId="8373" xr:uid="{00000000-0005-0000-0000-000039240000}"/>
    <cellStyle name="Comma 97" xfId="8374" xr:uid="{00000000-0005-0000-0000-00003A240000}"/>
    <cellStyle name="Comma 98" xfId="8375" xr:uid="{00000000-0005-0000-0000-00003B240000}"/>
    <cellStyle name="Comma 99" xfId="8376" xr:uid="{00000000-0005-0000-0000-00003C240000}"/>
    <cellStyle name="Comma_A" xfId="108" xr:uid="{00000000-0005-0000-0000-00003D240000}"/>
    <cellStyle name="Comma0" xfId="8377" xr:uid="{00000000-0005-0000-0000-00003E240000}"/>
    <cellStyle name="Cor1" xfId="109" xr:uid="{00000000-0005-0000-0000-00003F240000}"/>
    <cellStyle name="Cor2" xfId="110" xr:uid="{00000000-0005-0000-0000-000040240000}"/>
    <cellStyle name="Cor3" xfId="111" xr:uid="{00000000-0005-0000-0000-000041240000}"/>
    <cellStyle name="Cor4" xfId="112" xr:uid="{00000000-0005-0000-0000-000042240000}"/>
    <cellStyle name="Cor5" xfId="113" xr:uid="{00000000-0005-0000-0000-000043240000}"/>
    <cellStyle name="Cor6" xfId="114" xr:uid="{00000000-0005-0000-0000-000044240000}"/>
    <cellStyle name="Correcto" xfId="115" xr:uid="{00000000-0005-0000-0000-000045240000}"/>
    <cellStyle name="Currency [0]_A" xfId="116" xr:uid="{00000000-0005-0000-0000-000046240000}"/>
    <cellStyle name="Currency 0" xfId="117" xr:uid="{00000000-0005-0000-0000-000047240000}"/>
    <cellStyle name="Currency 0 2" xfId="8378" xr:uid="{00000000-0005-0000-0000-000048240000}"/>
    <cellStyle name="Currency 2" xfId="118" xr:uid="{00000000-0005-0000-0000-000049240000}"/>
    <cellStyle name="Currency 2 2" xfId="8379" xr:uid="{00000000-0005-0000-0000-00004A240000}"/>
    <cellStyle name="Currency 2*" xfId="119" xr:uid="{00000000-0005-0000-0000-00004B240000}"/>
    <cellStyle name="Currency 2* 2" xfId="8380" xr:uid="{00000000-0005-0000-0000-00004C240000}"/>
    <cellStyle name="Currency 2_Planilha Custo Fixo" xfId="8381" xr:uid="{00000000-0005-0000-0000-00004D240000}"/>
    <cellStyle name="Currency_A" xfId="120" xr:uid="{00000000-0005-0000-0000-00004E240000}"/>
    <cellStyle name="Currency0" xfId="8382" xr:uid="{00000000-0005-0000-0000-00004F240000}"/>
    <cellStyle name="Dash" xfId="121" xr:uid="{00000000-0005-0000-0000-000050240000}"/>
    <cellStyle name="Data" xfId="8383" xr:uid="{00000000-0005-0000-0000-000051240000}"/>
    <cellStyle name="Date" xfId="8384" xr:uid="{00000000-0005-0000-0000-000052240000}"/>
    <cellStyle name="Date Aligned" xfId="122" xr:uid="{00000000-0005-0000-0000-000053240000}"/>
    <cellStyle name="Date Aligned*" xfId="123" xr:uid="{00000000-0005-0000-0000-000054240000}"/>
    <cellStyle name="Design" xfId="8385" xr:uid="{00000000-0005-0000-0000-000055240000}"/>
    <cellStyle name="Dotted Line" xfId="124" xr:uid="{00000000-0005-0000-0000-000056240000}"/>
    <cellStyle name="DriversPercent" xfId="125" xr:uid="{00000000-0005-0000-0000-000057240000}"/>
    <cellStyle name="Encabezado 4" xfId="8386" xr:uid="{00000000-0005-0000-0000-000058240000}"/>
    <cellStyle name="Ênfase1" xfId="126" builtinId="29" customBuiltin="1"/>
    <cellStyle name="Ênfase1 2" xfId="8387" xr:uid="{00000000-0005-0000-0000-00005A240000}"/>
    <cellStyle name="Ênfase1 2 2" xfId="8388" xr:uid="{00000000-0005-0000-0000-00005B240000}"/>
    <cellStyle name="Ênfase1 2 2 2" xfId="25794" xr:uid="{00000000-0005-0000-0000-00005C240000}"/>
    <cellStyle name="Ênfase1 2 3" xfId="8389" xr:uid="{00000000-0005-0000-0000-00005D240000}"/>
    <cellStyle name="Ênfase1 2 4" xfId="8390" xr:uid="{00000000-0005-0000-0000-00005E240000}"/>
    <cellStyle name="Ênfase1 2 5" xfId="8391" xr:uid="{00000000-0005-0000-0000-00005F240000}"/>
    <cellStyle name="Ênfase1 2 6" xfId="25793" xr:uid="{00000000-0005-0000-0000-000060240000}"/>
    <cellStyle name="Ênfase1 3" xfId="8392" xr:uid="{00000000-0005-0000-0000-000061240000}"/>
    <cellStyle name="Ênfase1 3 2" xfId="8393" xr:uid="{00000000-0005-0000-0000-000062240000}"/>
    <cellStyle name="Ênfase1 3 2 2" xfId="25796" xr:uid="{00000000-0005-0000-0000-000063240000}"/>
    <cellStyle name="Ênfase1 3 3" xfId="8394" xr:uid="{00000000-0005-0000-0000-000064240000}"/>
    <cellStyle name="Ênfase1 3 4" xfId="8395" xr:uid="{00000000-0005-0000-0000-000065240000}"/>
    <cellStyle name="Ênfase1 3 5" xfId="8396" xr:uid="{00000000-0005-0000-0000-000066240000}"/>
    <cellStyle name="Ênfase1 3 6" xfId="25795" xr:uid="{00000000-0005-0000-0000-000067240000}"/>
    <cellStyle name="Ênfase1 4" xfId="8397" xr:uid="{00000000-0005-0000-0000-000068240000}"/>
    <cellStyle name="Ênfase1 4 2" xfId="8398" xr:uid="{00000000-0005-0000-0000-000069240000}"/>
    <cellStyle name="Ênfase1 4 3" xfId="8399" xr:uid="{00000000-0005-0000-0000-00006A240000}"/>
    <cellStyle name="Ênfase1 4 4" xfId="8400" xr:uid="{00000000-0005-0000-0000-00006B240000}"/>
    <cellStyle name="Ênfase1 4 5" xfId="8401" xr:uid="{00000000-0005-0000-0000-00006C240000}"/>
    <cellStyle name="Ênfase1 5" xfId="8402" xr:uid="{00000000-0005-0000-0000-00006D240000}"/>
    <cellStyle name="Ênfase1 5 2" xfId="25797" xr:uid="{00000000-0005-0000-0000-00006E240000}"/>
    <cellStyle name="Ênfase1 6" xfId="8403" xr:uid="{00000000-0005-0000-0000-00006F240000}"/>
    <cellStyle name="Ênfase1 7" xfId="8404" xr:uid="{00000000-0005-0000-0000-000070240000}"/>
    <cellStyle name="Ênfase2" xfId="127" builtinId="33" customBuiltin="1"/>
    <cellStyle name="Ênfase2 2" xfId="8405" xr:uid="{00000000-0005-0000-0000-000072240000}"/>
    <cellStyle name="Ênfase2 2 2" xfId="8406" xr:uid="{00000000-0005-0000-0000-000073240000}"/>
    <cellStyle name="Ênfase2 2 3" xfId="8407" xr:uid="{00000000-0005-0000-0000-000074240000}"/>
    <cellStyle name="Ênfase2 2 4" xfId="8408" xr:uid="{00000000-0005-0000-0000-000075240000}"/>
    <cellStyle name="Ênfase2 2 5" xfId="8409" xr:uid="{00000000-0005-0000-0000-000076240000}"/>
    <cellStyle name="Ênfase2 2 6" xfId="25798" xr:uid="{00000000-0005-0000-0000-000077240000}"/>
    <cellStyle name="Ênfase2 3" xfId="8410" xr:uid="{00000000-0005-0000-0000-000078240000}"/>
    <cellStyle name="Ênfase2 3 2" xfId="8411" xr:uid="{00000000-0005-0000-0000-000079240000}"/>
    <cellStyle name="Ênfase2 3 2 2" xfId="25800" xr:uid="{00000000-0005-0000-0000-00007A240000}"/>
    <cellStyle name="Ênfase2 3 3" xfId="8412" xr:uid="{00000000-0005-0000-0000-00007B240000}"/>
    <cellStyle name="Ênfase2 3 4" xfId="8413" xr:uid="{00000000-0005-0000-0000-00007C240000}"/>
    <cellStyle name="Ênfase2 3 5" xfId="8414" xr:uid="{00000000-0005-0000-0000-00007D240000}"/>
    <cellStyle name="Ênfase2 3 6" xfId="25799" xr:uid="{00000000-0005-0000-0000-00007E240000}"/>
    <cellStyle name="Ênfase2 4" xfId="8415" xr:uid="{00000000-0005-0000-0000-00007F240000}"/>
    <cellStyle name="Ênfase2 4 2" xfId="8416" xr:uid="{00000000-0005-0000-0000-000080240000}"/>
    <cellStyle name="Ênfase2 4 3" xfId="8417" xr:uid="{00000000-0005-0000-0000-000081240000}"/>
    <cellStyle name="Ênfase2 4 4" xfId="8418" xr:uid="{00000000-0005-0000-0000-000082240000}"/>
    <cellStyle name="Ênfase2 4 5" xfId="8419" xr:uid="{00000000-0005-0000-0000-000083240000}"/>
    <cellStyle name="Ênfase2 5" xfId="8420" xr:uid="{00000000-0005-0000-0000-000084240000}"/>
    <cellStyle name="Ênfase2 5 2" xfId="25801" xr:uid="{00000000-0005-0000-0000-000085240000}"/>
    <cellStyle name="Ênfase2 6" xfId="8421" xr:uid="{00000000-0005-0000-0000-000086240000}"/>
    <cellStyle name="Ênfase2 7" xfId="8422" xr:uid="{00000000-0005-0000-0000-000087240000}"/>
    <cellStyle name="Ênfase3" xfId="128" builtinId="37" customBuiltin="1"/>
    <cellStyle name="Ênfase3 2" xfId="8423" xr:uid="{00000000-0005-0000-0000-000089240000}"/>
    <cellStyle name="Ênfase3 2 2" xfId="8424" xr:uid="{00000000-0005-0000-0000-00008A240000}"/>
    <cellStyle name="Ênfase3 2 2 2" xfId="25803" xr:uid="{00000000-0005-0000-0000-00008B240000}"/>
    <cellStyle name="Ênfase3 2 3" xfId="8425" xr:uid="{00000000-0005-0000-0000-00008C240000}"/>
    <cellStyle name="Ênfase3 2 4" xfId="8426" xr:uid="{00000000-0005-0000-0000-00008D240000}"/>
    <cellStyle name="Ênfase3 2 5" xfId="8427" xr:uid="{00000000-0005-0000-0000-00008E240000}"/>
    <cellStyle name="Ênfase3 2 6" xfId="25802" xr:uid="{00000000-0005-0000-0000-00008F240000}"/>
    <cellStyle name="Ênfase3 3" xfId="8428" xr:uid="{00000000-0005-0000-0000-000090240000}"/>
    <cellStyle name="Ênfase3 3 2" xfId="8429" xr:uid="{00000000-0005-0000-0000-000091240000}"/>
    <cellStyle name="Ênfase3 3 2 2" xfId="25805" xr:uid="{00000000-0005-0000-0000-000092240000}"/>
    <cellStyle name="Ênfase3 3 3" xfId="8430" xr:uid="{00000000-0005-0000-0000-000093240000}"/>
    <cellStyle name="Ênfase3 3 4" xfId="8431" xr:uid="{00000000-0005-0000-0000-000094240000}"/>
    <cellStyle name="Ênfase3 3 5" xfId="8432" xr:uid="{00000000-0005-0000-0000-000095240000}"/>
    <cellStyle name="Ênfase3 3 6" xfId="25804" xr:uid="{00000000-0005-0000-0000-000096240000}"/>
    <cellStyle name="Ênfase3 4" xfId="8433" xr:uid="{00000000-0005-0000-0000-000097240000}"/>
    <cellStyle name="Ênfase3 4 2" xfId="8434" xr:uid="{00000000-0005-0000-0000-000098240000}"/>
    <cellStyle name="Ênfase3 4 3" xfId="8435" xr:uid="{00000000-0005-0000-0000-000099240000}"/>
    <cellStyle name="Ênfase3 4 4" xfId="8436" xr:uid="{00000000-0005-0000-0000-00009A240000}"/>
    <cellStyle name="Ênfase3 4 5" xfId="8437" xr:uid="{00000000-0005-0000-0000-00009B240000}"/>
    <cellStyle name="Ênfase3 5" xfId="8438" xr:uid="{00000000-0005-0000-0000-00009C240000}"/>
    <cellStyle name="Ênfase3 5 2" xfId="25806" xr:uid="{00000000-0005-0000-0000-00009D240000}"/>
    <cellStyle name="Ênfase3 6" xfId="8439" xr:uid="{00000000-0005-0000-0000-00009E240000}"/>
    <cellStyle name="Ênfase3 7" xfId="8440" xr:uid="{00000000-0005-0000-0000-00009F240000}"/>
    <cellStyle name="Ênfase4" xfId="129" builtinId="41" customBuiltin="1"/>
    <cellStyle name="Ênfase4 2" xfId="8441" xr:uid="{00000000-0005-0000-0000-0000A1240000}"/>
    <cellStyle name="Ênfase4 2 2" xfId="8442" xr:uid="{00000000-0005-0000-0000-0000A2240000}"/>
    <cellStyle name="Ênfase4 2 2 2" xfId="25808" xr:uid="{00000000-0005-0000-0000-0000A3240000}"/>
    <cellStyle name="Ênfase4 2 3" xfId="8443" xr:uid="{00000000-0005-0000-0000-0000A4240000}"/>
    <cellStyle name="Ênfase4 2 4" xfId="8444" xr:uid="{00000000-0005-0000-0000-0000A5240000}"/>
    <cellStyle name="Ênfase4 2 5" xfId="8445" xr:uid="{00000000-0005-0000-0000-0000A6240000}"/>
    <cellStyle name="Ênfase4 2 6" xfId="25807" xr:uid="{00000000-0005-0000-0000-0000A7240000}"/>
    <cellStyle name="Ênfase4 3" xfId="8446" xr:uid="{00000000-0005-0000-0000-0000A8240000}"/>
    <cellStyle name="Ênfase4 3 2" xfId="8447" xr:uid="{00000000-0005-0000-0000-0000A9240000}"/>
    <cellStyle name="Ênfase4 3 2 2" xfId="25810" xr:uid="{00000000-0005-0000-0000-0000AA240000}"/>
    <cellStyle name="Ênfase4 3 3" xfId="8448" xr:uid="{00000000-0005-0000-0000-0000AB240000}"/>
    <cellStyle name="Ênfase4 3 4" xfId="8449" xr:uid="{00000000-0005-0000-0000-0000AC240000}"/>
    <cellStyle name="Ênfase4 3 5" xfId="8450" xr:uid="{00000000-0005-0000-0000-0000AD240000}"/>
    <cellStyle name="Ênfase4 3 6" xfId="25809" xr:uid="{00000000-0005-0000-0000-0000AE240000}"/>
    <cellStyle name="Ênfase4 4" xfId="8451" xr:uid="{00000000-0005-0000-0000-0000AF240000}"/>
    <cellStyle name="Ênfase4 4 2" xfId="8452" xr:uid="{00000000-0005-0000-0000-0000B0240000}"/>
    <cellStyle name="Ênfase4 4 3" xfId="8453" xr:uid="{00000000-0005-0000-0000-0000B1240000}"/>
    <cellStyle name="Ênfase4 4 4" xfId="8454" xr:uid="{00000000-0005-0000-0000-0000B2240000}"/>
    <cellStyle name="Ênfase4 4 5" xfId="8455" xr:uid="{00000000-0005-0000-0000-0000B3240000}"/>
    <cellStyle name="Ênfase4 5" xfId="8456" xr:uid="{00000000-0005-0000-0000-0000B4240000}"/>
    <cellStyle name="Ênfase4 5 2" xfId="25811" xr:uid="{00000000-0005-0000-0000-0000B5240000}"/>
    <cellStyle name="Ênfase4 6" xfId="8457" xr:uid="{00000000-0005-0000-0000-0000B6240000}"/>
    <cellStyle name="Ênfase4 7" xfId="8458" xr:uid="{00000000-0005-0000-0000-0000B7240000}"/>
    <cellStyle name="Ênfase5" xfId="130" builtinId="45" customBuiltin="1"/>
    <cellStyle name="Ênfase5 2" xfId="8459" xr:uid="{00000000-0005-0000-0000-0000B9240000}"/>
    <cellStyle name="Ênfase5 2 2" xfId="8460" xr:uid="{00000000-0005-0000-0000-0000BA240000}"/>
    <cellStyle name="Ênfase5 2 2 2" xfId="25813" xr:uid="{00000000-0005-0000-0000-0000BB240000}"/>
    <cellStyle name="Ênfase5 2 3" xfId="8461" xr:uid="{00000000-0005-0000-0000-0000BC240000}"/>
    <cellStyle name="Ênfase5 2 4" xfId="8462" xr:uid="{00000000-0005-0000-0000-0000BD240000}"/>
    <cellStyle name="Ênfase5 2 5" xfId="8463" xr:uid="{00000000-0005-0000-0000-0000BE240000}"/>
    <cellStyle name="Ênfase5 2 6" xfId="25812" xr:uid="{00000000-0005-0000-0000-0000BF240000}"/>
    <cellStyle name="Ênfase5 3" xfId="8464" xr:uid="{00000000-0005-0000-0000-0000C0240000}"/>
    <cellStyle name="Ênfase5 3 2" xfId="8465" xr:uid="{00000000-0005-0000-0000-0000C1240000}"/>
    <cellStyle name="Ênfase5 3 2 2" xfId="25815" xr:uid="{00000000-0005-0000-0000-0000C2240000}"/>
    <cellStyle name="Ênfase5 3 3" xfId="8466" xr:uid="{00000000-0005-0000-0000-0000C3240000}"/>
    <cellStyle name="Ênfase5 3 4" xfId="8467" xr:uid="{00000000-0005-0000-0000-0000C4240000}"/>
    <cellStyle name="Ênfase5 3 5" xfId="8468" xr:uid="{00000000-0005-0000-0000-0000C5240000}"/>
    <cellStyle name="Ênfase5 3 6" xfId="25814" xr:uid="{00000000-0005-0000-0000-0000C6240000}"/>
    <cellStyle name="Ênfase5 4" xfId="8469" xr:uid="{00000000-0005-0000-0000-0000C7240000}"/>
    <cellStyle name="Ênfase5 4 2" xfId="8470" xr:uid="{00000000-0005-0000-0000-0000C8240000}"/>
    <cellStyle name="Ênfase5 4 3" xfId="8471" xr:uid="{00000000-0005-0000-0000-0000C9240000}"/>
    <cellStyle name="Ênfase5 4 4" xfId="8472" xr:uid="{00000000-0005-0000-0000-0000CA240000}"/>
    <cellStyle name="Ênfase5 4 5" xfId="8473" xr:uid="{00000000-0005-0000-0000-0000CB240000}"/>
    <cellStyle name="Ênfase5 5" xfId="8474" xr:uid="{00000000-0005-0000-0000-0000CC240000}"/>
    <cellStyle name="Ênfase5 5 2" xfId="25816" xr:uid="{00000000-0005-0000-0000-0000CD240000}"/>
    <cellStyle name="Ênfase5 6" xfId="8475" xr:uid="{00000000-0005-0000-0000-0000CE240000}"/>
    <cellStyle name="Ênfase5 7" xfId="8476" xr:uid="{00000000-0005-0000-0000-0000CF240000}"/>
    <cellStyle name="Ênfase6" xfId="131" builtinId="49" customBuiltin="1"/>
    <cellStyle name="Ênfase6 2" xfId="8477" xr:uid="{00000000-0005-0000-0000-0000D1240000}"/>
    <cellStyle name="Ênfase6 2 2" xfId="8478" xr:uid="{00000000-0005-0000-0000-0000D2240000}"/>
    <cellStyle name="Ênfase6 2 2 2" xfId="25818" xr:uid="{00000000-0005-0000-0000-0000D3240000}"/>
    <cellStyle name="Ênfase6 2 3" xfId="8479" xr:uid="{00000000-0005-0000-0000-0000D4240000}"/>
    <cellStyle name="Ênfase6 2 4" xfId="8480" xr:uid="{00000000-0005-0000-0000-0000D5240000}"/>
    <cellStyle name="Ênfase6 2 5" xfId="8481" xr:uid="{00000000-0005-0000-0000-0000D6240000}"/>
    <cellStyle name="Ênfase6 2 6" xfId="25817" xr:uid="{00000000-0005-0000-0000-0000D7240000}"/>
    <cellStyle name="Ênfase6 3" xfId="8482" xr:uid="{00000000-0005-0000-0000-0000D8240000}"/>
    <cellStyle name="Ênfase6 3 2" xfId="8483" xr:uid="{00000000-0005-0000-0000-0000D9240000}"/>
    <cellStyle name="Ênfase6 3 2 2" xfId="25820" xr:uid="{00000000-0005-0000-0000-0000DA240000}"/>
    <cellStyle name="Ênfase6 3 3" xfId="8484" xr:uid="{00000000-0005-0000-0000-0000DB240000}"/>
    <cellStyle name="Ênfase6 3 4" xfId="8485" xr:uid="{00000000-0005-0000-0000-0000DC240000}"/>
    <cellStyle name="Ênfase6 3 5" xfId="8486" xr:uid="{00000000-0005-0000-0000-0000DD240000}"/>
    <cellStyle name="Ênfase6 3 6" xfId="25819" xr:uid="{00000000-0005-0000-0000-0000DE240000}"/>
    <cellStyle name="Ênfase6 4" xfId="8487" xr:uid="{00000000-0005-0000-0000-0000DF240000}"/>
    <cellStyle name="Ênfase6 4 2" xfId="8488" xr:uid="{00000000-0005-0000-0000-0000E0240000}"/>
    <cellStyle name="Ênfase6 4 3" xfId="8489" xr:uid="{00000000-0005-0000-0000-0000E1240000}"/>
    <cellStyle name="Ênfase6 4 4" xfId="8490" xr:uid="{00000000-0005-0000-0000-0000E2240000}"/>
    <cellStyle name="Ênfase6 4 5" xfId="8491" xr:uid="{00000000-0005-0000-0000-0000E3240000}"/>
    <cellStyle name="Ênfase6 5" xfId="8492" xr:uid="{00000000-0005-0000-0000-0000E4240000}"/>
    <cellStyle name="Ênfase6 5 2" xfId="25821" xr:uid="{00000000-0005-0000-0000-0000E5240000}"/>
    <cellStyle name="Ênfase6 6" xfId="8493" xr:uid="{00000000-0005-0000-0000-0000E6240000}"/>
    <cellStyle name="Ênfase6 7" xfId="8494" xr:uid="{00000000-0005-0000-0000-0000E7240000}"/>
    <cellStyle name="Énfasis1" xfId="8495" xr:uid="{00000000-0005-0000-0000-0000E8240000}"/>
    <cellStyle name="Énfasis2" xfId="8496" xr:uid="{00000000-0005-0000-0000-0000E9240000}"/>
    <cellStyle name="Énfasis3" xfId="8497" xr:uid="{00000000-0005-0000-0000-0000EA240000}"/>
    <cellStyle name="Énfasis4" xfId="8498" xr:uid="{00000000-0005-0000-0000-0000EB240000}"/>
    <cellStyle name="Énfasis5" xfId="8499" xr:uid="{00000000-0005-0000-0000-0000EC240000}"/>
    <cellStyle name="Énfasis6" xfId="8500" xr:uid="{00000000-0005-0000-0000-0000ED240000}"/>
    <cellStyle name="Entrada" xfId="132" builtinId="20" customBuiltin="1"/>
    <cellStyle name="Entrada 2" xfId="8501" xr:uid="{00000000-0005-0000-0000-0000EF240000}"/>
    <cellStyle name="Entrada 2 10" xfId="25822" xr:uid="{00000000-0005-0000-0000-0000F0240000}"/>
    <cellStyle name="Entrada 2 2" xfId="8502" xr:uid="{00000000-0005-0000-0000-0000F1240000}"/>
    <cellStyle name="Entrada 2 2 2" xfId="8503" xr:uid="{00000000-0005-0000-0000-0000F2240000}"/>
    <cellStyle name="Entrada 2 2 2 2" xfId="24590" xr:uid="{00000000-0005-0000-0000-0000F3240000}"/>
    <cellStyle name="Entrada 2 2 2 2 2" xfId="32599" xr:uid="{93BA214D-0EED-48F6-BF3B-B93CA8755719}"/>
    <cellStyle name="Entrada 2 2 3" xfId="24589" xr:uid="{00000000-0005-0000-0000-0000F4240000}"/>
    <cellStyle name="Entrada 2 2 3 2" xfId="32598" xr:uid="{30C80648-414F-4D85-8545-FEEDE7DB6818}"/>
    <cellStyle name="Entrada 2 3" xfId="8504" xr:uid="{00000000-0005-0000-0000-0000F5240000}"/>
    <cellStyle name="Entrada 2 3 2" xfId="8505" xr:uid="{00000000-0005-0000-0000-0000F6240000}"/>
    <cellStyle name="Entrada 2 3 2 2" xfId="24592" xr:uid="{00000000-0005-0000-0000-0000F7240000}"/>
    <cellStyle name="Entrada 2 3 2 2 2" xfId="32601" xr:uid="{77FE739D-37C8-4D8D-94C6-2E0AE3EB566D}"/>
    <cellStyle name="Entrada 2 3 3" xfId="24591" xr:uid="{00000000-0005-0000-0000-0000F8240000}"/>
    <cellStyle name="Entrada 2 3 3 2" xfId="32600" xr:uid="{BC1A8CF3-CAD5-48A4-BB66-14E06A9B8B19}"/>
    <cellStyle name="Entrada 2 4" xfId="8506" xr:uid="{00000000-0005-0000-0000-0000F9240000}"/>
    <cellStyle name="Entrada 2 4 2" xfId="8507" xr:uid="{00000000-0005-0000-0000-0000FA240000}"/>
    <cellStyle name="Entrada 2 4 2 2" xfId="24594" xr:uid="{00000000-0005-0000-0000-0000FB240000}"/>
    <cellStyle name="Entrada 2 4 2 2 2" xfId="32603" xr:uid="{375CA425-EC7E-4919-A08A-37DEEDE1A7EE}"/>
    <cellStyle name="Entrada 2 4 3" xfId="24593" xr:uid="{00000000-0005-0000-0000-0000FC240000}"/>
    <cellStyle name="Entrada 2 4 3 2" xfId="32602" xr:uid="{225B2122-1C29-4C35-987D-F5C7E10A110C}"/>
    <cellStyle name="Entrada 2 5" xfId="8508" xr:uid="{00000000-0005-0000-0000-0000FD240000}"/>
    <cellStyle name="Entrada 2 5 2" xfId="8509" xr:uid="{00000000-0005-0000-0000-0000FE240000}"/>
    <cellStyle name="Entrada 2 5 2 2" xfId="24596" xr:uid="{00000000-0005-0000-0000-0000FF240000}"/>
    <cellStyle name="Entrada 2 5 2 2 2" xfId="32605" xr:uid="{854725F5-7AD1-4CAB-A0C0-19F6F0352483}"/>
    <cellStyle name="Entrada 2 5 3" xfId="24595" xr:uid="{00000000-0005-0000-0000-000000250000}"/>
    <cellStyle name="Entrada 2 5 3 2" xfId="32604" xr:uid="{6BC889C4-0D0E-4C22-B01B-BC5BDE76C3C0}"/>
    <cellStyle name="Entrada 2 6" xfId="8510" xr:uid="{00000000-0005-0000-0000-000001250000}"/>
    <cellStyle name="Entrada 2 6 2" xfId="8511" xr:uid="{00000000-0005-0000-0000-000002250000}"/>
    <cellStyle name="Entrada 2 6 2 2" xfId="24598" xr:uid="{00000000-0005-0000-0000-000003250000}"/>
    <cellStyle name="Entrada 2 6 2 2 2" xfId="32607" xr:uid="{79F006A1-B503-4F99-AE45-D7C5C3466ADD}"/>
    <cellStyle name="Entrada 2 6 3" xfId="24597" xr:uid="{00000000-0005-0000-0000-000004250000}"/>
    <cellStyle name="Entrada 2 6 3 2" xfId="32606" xr:uid="{BA67FA4E-81DB-41DE-A81B-7577B022857A}"/>
    <cellStyle name="Entrada 2 7" xfId="8512" xr:uid="{00000000-0005-0000-0000-000005250000}"/>
    <cellStyle name="Entrada 2 7 2" xfId="8513" xr:uid="{00000000-0005-0000-0000-000006250000}"/>
    <cellStyle name="Entrada 2 7 2 2" xfId="24600" xr:uid="{00000000-0005-0000-0000-000007250000}"/>
    <cellStyle name="Entrada 2 7 2 2 2" xfId="32609" xr:uid="{0207699D-59FC-44AA-B180-5980468F347D}"/>
    <cellStyle name="Entrada 2 7 3" xfId="24599" xr:uid="{00000000-0005-0000-0000-000008250000}"/>
    <cellStyle name="Entrada 2 7 3 2" xfId="32608" xr:uid="{0A537E69-52EF-4FE7-AAB2-7BABEB9E3943}"/>
    <cellStyle name="Entrada 2 8" xfId="8514" xr:uid="{00000000-0005-0000-0000-000009250000}"/>
    <cellStyle name="Entrada 2 8 2" xfId="24601" xr:uid="{00000000-0005-0000-0000-00000A250000}"/>
    <cellStyle name="Entrada 2 8 2 2" xfId="32610" xr:uid="{E7108B80-7B32-4D47-830F-12A493EAF66C}"/>
    <cellStyle name="Entrada 2 9" xfId="24588" xr:uid="{00000000-0005-0000-0000-00000B250000}"/>
    <cellStyle name="Entrada 2 9 2" xfId="32597" xr:uid="{A56A1BBE-A735-465D-ABDA-3B5EA97034C8}"/>
    <cellStyle name="Entrada 3" xfId="8515" xr:uid="{00000000-0005-0000-0000-00000C250000}"/>
    <cellStyle name="Entrada 3 2" xfId="8516" xr:uid="{00000000-0005-0000-0000-00000D250000}"/>
    <cellStyle name="Entrada 3 2 2" xfId="8517" xr:uid="{00000000-0005-0000-0000-00000E250000}"/>
    <cellStyle name="Entrada 3 2 2 2" xfId="24604" xr:uid="{00000000-0005-0000-0000-00000F250000}"/>
    <cellStyle name="Entrada 3 2 2 2 2" xfId="32613" xr:uid="{C0577C0E-81C8-42E9-859A-0E09D155DDC7}"/>
    <cellStyle name="Entrada 3 2 3" xfId="24603" xr:uid="{00000000-0005-0000-0000-000010250000}"/>
    <cellStyle name="Entrada 3 2 3 2" xfId="32612" xr:uid="{185E1DC2-BB3A-4BD0-ABFC-91D2D8921BDF}"/>
    <cellStyle name="Entrada 3 2 4" xfId="25824" xr:uid="{00000000-0005-0000-0000-000011250000}"/>
    <cellStyle name="Entrada 3 3" xfId="8518" xr:uid="{00000000-0005-0000-0000-000012250000}"/>
    <cellStyle name="Entrada 3 3 2" xfId="8519" xr:uid="{00000000-0005-0000-0000-000013250000}"/>
    <cellStyle name="Entrada 3 3 2 2" xfId="24606" xr:uid="{00000000-0005-0000-0000-000014250000}"/>
    <cellStyle name="Entrada 3 3 2 2 2" xfId="32615" xr:uid="{93DC11E2-585C-4551-BBCA-3F4C2179ECDF}"/>
    <cellStyle name="Entrada 3 3 3" xfId="24605" xr:uid="{00000000-0005-0000-0000-000015250000}"/>
    <cellStyle name="Entrada 3 3 3 2" xfId="32614" xr:uid="{AC1C7816-DB35-4DFF-96F4-5B577A5CDBC6}"/>
    <cellStyle name="Entrada 3 4" xfId="8520" xr:uid="{00000000-0005-0000-0000-000016250000}"/>
    <cellStyle name="Entrada 3 4 2" xfId="8521" xr:uid="{00000000-0005-0000-0000-000017250000}"/>
    <cellStyle name="Entrada 3 4 2 2" xfId="24608" xr:uid="{00000000-0005-0000-0000-000018250000}"/>
    <cellStyle name="Entrada 3 4 2 2 2" xfId="32617" xr:uid="{E12AD4DF-236C-428F-A881-CFE96FBF14BF}"/>
    <cellStyle name="Entrada 3 4 3" xfId="24607" xr:uid="{00000000-0005-0000-0000-000019250000}"/>
    <cellStyle name="Entrada 3 4 3 2" xfId="32616" xr:uid="{90F710D9-EA32-46C6-A2A0-B052FDC0D097}"/>
    <cellStyle name="Entrada 3 5" xfId="8522" xr:uid="{00000000-0005-0000-0000-00001A250000}"/>
    <cellStyle name="Entrada 3 5 2" xfId="8523" xr:uid="{00000000-0005-0000-0000-00001B250000}"/>
    <cellStyle name="Entrada 3 5 2 2" xfId="24610" xr:uid="{00000000-0005-0000-0000-00001C250000}"/>
    <cellStyle name="Entrada 3 5 2 2 2" xfId="32619" xr:uid="{B5243CDB-2315-4955-8EA6-09DED28FBE15}"/>
    <cellStyle name="Entrada 3 5 3" xfId="24609" xr:uid="{00000000-0005-0000-0000-00001D250000}"/>
    <cellStyle name="Entrada 3 5 3 2" xfId="32618" xr:uid="{9B842593-920C-47FA-9E37-8EBD9E483B4E}"/>
    <cellStyle name="Entrada 3 6" xfId="8524" xr:uid="{00000000-0005-0000-0000-00001E250000}"/>
    <cellStyle name="Entrada 3 6 2" xfId="24611" xr:uid="{00000000-0005-0000-0000-00001F250000}"/>
    <cellStyle name="Entrada 3 6 2 2" xfId="32620" xr:uid="{08E57D35-1147-473A-8785-7D93B3652A1F}"/>
    <cellStyle name="Entrada 3 7" xfId="24602" xr:uid="{00000000-0005-0000-0000-000020250000}"/>
    <cellStyle name="Entrada 3 7 2" xfId="32611" xr:uid="{9B100E4B-33E6-460A-9657-286A2AC91EFA}"/>
    <cellStyle name="Entrada 3 8" xfId="25823" xr:uid="{00000000-0005-0000-0000-000021250000}"/>
    <cellStyle name="Entrada 4" xfId="8525" xr:uid="{00000000-0005-0000-0000-000022250000}"/>
    <cellStyle name="Entrada 4 2" xfId="8526" xr:uid="{00000000-0005-0000-0000-000023250000}"/>
    <cellStyle name="Entrada 4 2 2" xfId="8527" xr:uid="{00000000-0005-0000-0000-000024250000}"/>
    <cellStyle name="Entrada 4 2 2 2" xfId="24614" xr:uid="{00000000-0005-0000-0000-000025250000}"/>
    <cellStyle name="Entrada 4 2 2 2 2" xfId="32623" xr:uid="{AFD214B3-BBEA-4FD0-90BE-8E44A4A9DD2F}"/>
    <cellStyle name="Entrada 4 2 3" xfId="24613" xr:uid="{00000000-0005-0000-0000-000026250000}"/>
    <cellStyle name="Entrada 4 2 3 2" xfId="32622" xr:uid="{85E3743B-C1CE-495F-9381-0C0A7BC79B11}"/>
    <cellStyle name="Entrada 4 3" xfId="8528" xr:uid="{00000000-0005-0000-0000-000027250000}"/>
    <cellStyle name="Entrada 4 3 2" xfId="8529" xr:uid="{00000000-0005-0000-0000-000028250000}"/>
    <cellStyle name="Entrada 4 3 2 2" xfId="24616" xr:uid="{00000000-0005-0000-0000-000029250000}"/>
    <cellStyle name="Entrada 4 3 2 2 2" xfId="32625" xr:uid="{FE74F148-1076-4CC0-AA70-AD2E1308D335}"/>
    <cellStyle name="Entrada 4 3 3" xfId="24615" xr:uid="{00000000-0005-0000-0000-00002A250000}"/>
    <cellStyle name="Entrada 4 3 3 2" xfId="32624" xr:uid="{E39835CB-D17A-4BA4-9D8F-D7413655E7E8}"/>
    <cellStyle name="Entrada 4 4" xfId="8530" xr:uid="{00000000-0005-0000-0000-00002B250000}"/>
    <cellStyle name="Entrada 4 4 2" xfId="8531" xr:uid="{00000000-0005-0000-0000-00002C250000}"/>
    <cellStyle name="Entrada 4 4 2 2" xfId="24618" xr:uid="{00000000-0005-0000-0000-00002D250000}"/>
    <cellStyle name="Entrada 4 4 2 2 2" xfId="32627" xr:uid="{5FB5EC7D-3A7F-4038-AE39-578B39093DD3}"/>
    <cellStyle name="Entrada 4 4 3" xfId="24617" xr:uid="{00000000-0005-0000-0000-00002E250000}"/>
    <cellStyle name="Entrada 4 4 3 2" xfId="32626" xr:uid="{24A1EECB-B33C-4D87-BEAC-8A1450341290}"/>
    <cellStyle name="Entrada 4 5" xfId="8532" xr:uid="{00000000-0005-0000-0000-00002F250000}"/>
    <cellStyle name="Entrada 4 5 2" xfId="8533" xr:uid="{00000000-0005-0000-0000-000030250000}"/>
    <cellStyle name="Entrada 4 5 2 2" xfId="24620" xr:uid="{00000000-0005-0000-0000-000031250000}"/>
    <cellStyle name="Entrada 4 5 2 2 2" xfId="32629" xr:uid="{356700F7-4DE4-4581-ABCA-A3AA9F1FA8EA}"/>
    <cellStyle name="Entrada 4 5 3" xfId="24619" xr:uid="{00000000-0005-0000-0000-000032250000}"/>
    <cellStyle name="Entrada 4 5 3 2" xfId="32628" xr:uid="{5916EEBB-73EB-406E-B2EA-277DB1CFCAC0}"/>
    <cellStyle name="Entrada 4 6" xfId="8534" xr:uid="{00000000-0005-0000-0000-000033250000}"/>
    <cellStyle name="Entrada 4 6 2" xfId="24621" xr:uid="{00000000-0005-0000-0000-000034250000}"/>
    <cellStyle name="Entrada 4 6 2 2" xfId="32630" xr:uid="{E19276A3-1068-4E82-BF4D-134C034EA962}"/>
    <cellStyle name="Entrada 4 7" xfId="24612" xr:uid="{00000000-0005-0000-0000-000035250000}"/>
    <cellStyle name="Entrada 4 7 2" xfId="32621" xr:uid="{23ECAF40-74F3-4266-9C0E-4FF58A3AE1FB}"/>
    <cellStyle name="Entrada 5" xfId="8535" xr:uid="{00000000-0005-0000-0000-000036250000}"/>
    <cellStyle name="Entrada 5 2" xfId="8536" xr:uid="{00000000-0005-0000-0000-000037250000}"/>
    <cellStyle name="Entrada 5 2 2" xfId="24623" xr:uid="{00000000-0005-0000-0000-000038250000}"/>
    <cellStyle name="Entrada 5 2 2 2" xfId="32632" xr:uid="{C7BC277F-6C16-4C59-B799-2ED6CF401EE3}"/>
    <cellStyle name="Entrada 5 2 3" xfId="25825" xr:uid="{00000000-0005-0000-0000-000039250000}"/>
    <cellStyle name="Entrada 5 3" xfId="24622" xr:uid="{00000000-0005-0000-0000-00003A250000}"/>
    <cellStyle name="Entrada 5 3 2" xfId="32631" xr:uid="{3E533C36-D20D-4DF3-9EB2-B9727892B042}"/>
    <cellStyle name="Entrada 6" xfId="8537" xr:uid="{00000000-0005-0000-0000-00003B250000}"/>
    <cellStyle name="Entrada 6 2" xfId="8538" xr:uid="{00000000-0005-0000-0000-00003C250000}"/>
    <cellStyle name="Entrada 6 2 2" xfId="24625" xr:uid="{00000000-0005-0000-0000-00003D250000}"/>
    <cellStyle name="Entrada 6 2 2 2" xfId="32634" xr:uid="{FA3FB7D5-828E-43C5-848E-B8D9696A99FE}"/>
    <cellStyle name="Entrada 6 3" xfId="24624" xr:uid="{00000000-0005-0000-0000-00003E250000}"/>
    <cellStyle name="Entrada 6 3 2" xfId="32633" xr:uid="{D23B2D77-FDDE-416B-ACD2-548E95A2898B}"/>
    <cellStyle name="Entrada 7" xfId="8539" xr:uid="{00000000-0005-0000-0000-00003F250000}"/>
    <cellStyle name="Entrada 7 2" xfId="8540" xr:uid="{00000000-0005-0000-0000-000040250000}"/>
    <cellStyle name="Entrada 7 2 2" xfId="24627" xr:uid="{00000000-0005-0000-0000-000041250000}"/>
    <cellStyle name="Entrada 7 2 2 2" xfId="32636" xr:uid="{7DBEC2F3-8A8C-4168-B331-935520D0DC05}"/>
    <cellStyle name="Entrada 7 3" xfId="24626" xr:uid="{00000000-0005-0000-0000-000042250000}"/>
    <cellStyle name="Entrada 7 3 2" xfId="32635" xr:uid="{6921ECDA-7863-4763-B757-66F661AB0865}"/>
    <cellStyle name="Estilo 1" xfId="8541" xr:uid="{00000000-0005-0000-0000-000043250000}"/>
    <cellStyle name="Estilo 2" xfId="8542" xr:uid="{00000000-0005-0000-0000-000044250000}"/>
    <cellStyle name="Estilo 2 2" xfId="28295" xr:uid="{5C66E34C-2519-452A-B97E-5CD1AC8D1621}"/>
    <cellStyle name="Euro" xfId="133" xr:uid="{00000000-0005-0000-0000-000045250000}"/>
    <cellStyle name="Euro 10" xfId="8543" xr:uid="{00000000-0005-0000-0000-000046250000}"/>
    <cellStyle name="Euro 11" xfId="8544" xr:uid="{00000000-0005-0000-0000-000047250000}"/>
    <cellStyle name="Euro 12" xfId="8545" xr:uid="{00000000-0005-0000-0000-000048250000}"/>
    <cellStyle name="Euro 2" xfId="134" xr:uid="{00000000-0005-0000-0000-000049250000}"/>
    <cellStyle name="Euro 2 10" xfId="8546" xr:uid="{00000000-0005-0000-0000-00004A250000}"/>
    <cellStyle name="Euro 2 11" xfId="8547" xr:uid="{00000000-0005-0000-0000-00004B250000}"/>
    <cellStyle name="Euro 2 12" xfId="8548" xr:uid="{00000000-0005-0000-0000-00004C250000}"/>
    <cellStyle name="Euro 2 13" xfId="8549" xr:uid="{00000000-0005-0000-0000-00004D250000}"/>
    <cellStyle name="Euro 2 14" xfId="8550" xr:uid="{00000000-0005-0000-0000-00004E250000}"/>
    <cellStyle name="Euro 2 15" xfId="8551" xr:uid="{00000000-0005-0000-0000-00004F250000}"/>
    <cellStyle name="Euro 2 16" xfId="8552" xr:uid="{00000000-0005-0000-0000-000050250000}"/>
    <cellStyle name="Euro 2 17" xfId="8553" xr:uid="{00000000-0005-0000-0000-000051250000}"/>
    <cellStyle name="Euro 2 18" xfId="8554" xr:uid="{00000000-0005-0000-0000-000052250000}"/>
    <cellStyle name="Euro 2 19" xfId="8555" xr:uid="{00000000-0005-0000-0000-000053250000}"/>
    <cellStyle name="Euro 2 2" xfId="135" xr:uid="{00000000-0005-0000-0000-000054250000}"/>
    <cellStyle name="Euro 2 2 10" xfId="8556" xr:uid="{00000000-0005-0000-0000-000055250000}"/>
    <cellStyle name="Euro 2 2 11" xfId="8557" xr:uid="{00000000-0005-0000-0000-000056250000}"/>
    <cellStyle name="Euro 2 2 12" xfId="8558" xr:uid="{00000000-0005-0000-0000-000057250000}"/>
    <cellStyle name="Euro 2 2 13" xfId="8559" xr:uid="{00000000-0005-0000-0000-000058250000}"/>
    <cellStyle name="Euro 2 2 14" xfId="8560" xr:uid="{00000000-0005-0000-0000-000059250000}"/>
    <cellStyle name="Euro 2 2 15" xfId="8561" xr:uid="{00000000-0005-0000-0000-00005A250000}"/>
    <cellStyle name="Euro 2 2 16" xfId="8562" xr:uid="{00000000-0005-0000-0000-00005B250000}"/>
    <cellStyle name="Euro 2 2 17" xfId="8563" xr:uid="{00000000-0005-0000-0000-00005C250000}"/>
    <cellStyle name="Euro 2 2 18" xfId="8564" xr:uid="{00000000-0005-0000-0000-00005D250000}"/>
    <cellStyle name="Euro 2 2 19" xfId="8565" xr:uid="{00000000-0005-0000-0000-00005E250000}"/>
    <cellStyle name="Euro 2 2 2" xfId="8566" xr:uid="{00000000-0005-0000-0000-00005F250000}"/>
    <cellStyle name="Euro 2 2 2 10" xfId="8567" xr:uid="{00000000-0005-0000-0000-000060250000}"/>
    <cellStyle name="Euro 2 2 2 11" xfId="8568" xr:uid="{00000000-0005-0000-0000-000061250000}"/>
    <cellStyle name="Euro 2 2 2 12" xfId="8569" xr:uid="{00000000-0005-0000-0000-000062250000}"/>
    <cellStyle name="Euro 2 2 2 13" xfId="8570" xr:uid="{00000000-0005-0000-0000-000063250000}"/>
    <cellStyle name="Euro 2 2 2 14" xfId="8571" xr:uid="{00000000-0005-0000-0000-000064250000}"/>
    <cellStyle name="Euro 2 2 2 2" xfId="8572" xr:uid="{00000000-0005-0000-0000-000065250000}"/>
    <cellStyle name="Euro 2 2 2 2 10" xfId="8573" xr:uid="{00000000-0005-0000-0000-000066250000}"/>
    <cellStyle name="Euro 2 2 2 2 11" xfId="8574" xr:uid="{00000000-0005-0000-0000-000067250000}"/>
    <cellStyle name="Euro 2 2 2 2 12" xfId="8575" xr:uid="{00000000-0005-0000-0000-000068250000}"/>
    <cellStyle name="Euro 2 2 2 2 13" xfId="8576" xr:uid="{00000000-0005-0000-0000-000069250000}"/>
    <cellStyle name="Euro 2 2 2 2 14" xfId="8577" xr:uid="{00000000-0005-0000-0000-00006A250000}"/>
    <cellStyle name="Euro 2 2 2 2 2" xfId="8578" xr:uid="{00000000-0005-0000-0000-00006B250000}"/>
    <cellStyle name="Euro 2 2 2 2 2 2" xfId="8579" xr:uid="{00000000-0005-0000-0000-00006C250000}"/>
    <cellStyle name="Euro 2 2 2 2 2 3" xfId="8580" xr:uid="{00000000-0005-0000-0000-00006D250000}"/>
    <cellStyle name="Euro 2 2 2 2 3" xfId="8581" xr:uid="{00000000-0005-0000-0000-00006E250000}"/>
    <cellStyle name="Euro 2 2 2 2 4" xfId="8582" xr:uid="{00000000-0005-0000-0000-00006F250000}"/>
    <cellStyle name="Euro 2 2 2 2 5" xfId="8583" xr:uid="{00000000-0005-0000-0000-000070250000}"/>
    <cellStyle name="Euro 2 2 2 2 6" xfId="8584" xr:uid="{00000000-0005-0000-0000-000071250000}"/>
    <cellStyle name="Euro 2 2 2 2 7" xfId="8585" xr:uid="{00000000-0005-0000-0000-000072250000}"/>
    <cellStyle name="Euro 2 2 2 2 8" xfId="8586" xr:uid="{00000000-0005-0000-0000-000073250000}"/>
    <cellStyle name="Euro 2 2 2 2 9" xfId="8587" xr:uid="{00000000-0005-0000-0000-000074250000}"/>
    <cellStyle name="Euro 2 2 2 3" xfId="8588" xr:uid="{00000000-0005-0000-0000-000075250000}"/>
    <cellStyle name="Euro 2 2 2 4" xfId="8589" xr:uid="{00000000-0005-0000-0000-000076250000}"/>
    <cellStyle name="Euro 2 2 2 5" xfId="8590" xr:uid="{00000000-0005-0000-0000-000077250000}"/>
    <cellStyle name="Euro 2 2 2 6" xfId="8591" xr:uid="{00000000-0005-0000-0000-000078250000}"/>
    <cellStyle name="Euro 2 2 2 7" xfId="8592" xr:uid="{00000000-0005-0000-0000-000079250000}"/>
    <cellStyle name="Euro 2 2 2 8" xfId="8593" xr:uid="{00000000-0005-0000-0000-00007A250000}"/>
    <cellStyle name="Euro 2 2 2 9" xfId="8594" xr:uid="{00000000-0005-0000-0000-00007B250000}"/>
    <cellStyle name="Euro 2 2 20" xfId="8595" xr:uid="{00000000-0005-0000-0000-00007C250000}"/>
    <cellStyle name="Euro 2 2 21" xfId="27085" xr:uid="{00000000-0005-0000-0000-00007D250000}"/>
    <cellStyle name="Euro 2 2 3" xfId="8596" xr:uid="{00000000-0005-0000-0000-00007E250000}"/>
    <cellStyle name="Euro 2 2 4" xfId="8597" xr:uid="{00000000-0005-0000-0000-00007F250000}"/>
    <cellStyle name="Euro 2 2 5" xfId="8598" xr:uid="{00000000-0005-0000-0000-000080250000}"/>
    <cellStyle name="Euro 2 2 6" xfId="8599" xr:uid="{00000000-0005-0000-0000-000081250000}"/>
    <cellStyle name="Euro 2 2 7" xfId="8600" xr:uid="{00000000-0005-0000-0000-000082250000}"/>
    <cellStyle name="Euro 2 2 8" xfId="8601" xr:uid="{00000000-0005-0000-0000-000083250000}"/>
    <cellStyle name="Euro 2 2 9" xfId="8602" xr:uid="{00000000-0005-0000-0000-000084250000}"/>
    <cellStyle name="Euro 2 20" xfId="8603" xr:uid="{00000000-0005-0000-0000-000085250000}"/>
    <cellStyle name="Euro 2 3" xfId="8604" xr:uid="{00000000-0005-0000-0000-000086250000}"/>
    <cellStyle name="Euro 2 3 2" xfId="8605" xr:uid="{00000000-0005-0000-0000-000087250000}"/>
    <cellStyle name="Euro 2 4" xfId="8606" xr:uid="{00000000-0005-0000-0000-000088250000}"/>
    <cellStyle name="Euro 2 5" xfId="8607" xr:uid="{00000000-0005-0000-0000-000089250000}"/>
    <cellStyle name="Euro 2 6" xfId="8608" xr:uid="{00000000-0005-0000-0000-00008A250000}"/>
    <cellStyle name="Euro 2 7" xfId="8609" xr:uid="{00000000-0005-0000-0000-00008B250000}"/>
    <cellStyle name="Euro 2 8" xfId="8610" xr:uid="{00000000-0005-0000-0000-00008C250000}"/>
    <cellStyle name="Euro 2 9" xfId="8611" xr:uid="{00000000-0005-0000-0000-00008D250000}"/>
    <cellStyle name="Euro 3" xfId="136" xr:uid="{00000000-0005-0000-0000-00008E250000}"/>
    <cellStyle name="Euro 3 10" xfId="8612" xr:uid="{00000000-0005-0000-0000-00008F250000}"/>
    <cellStyle name="Euro 3 11" xfId="8613" xr:uid="{00000000-0005-0000-0000-000090250000}"/>
    <cellStyle name="Euro 3 12" xfId="8614" xr:uid="{00000000-0005-0000-0000-000091250000}"/>
    <cellStyle name="Euro 3 13" xfId="8615" xr:uid="{00000000-0005-0000-0000-000092250000}"/>
    <cellStyle name="Euro 3 14" xfId="8616" xr:uid="{00000000-0005-0000-0000-000093250000}"/>
    <cellStyle name="Euro 3 15" xfId="8617" xr:uid="{00000000-0005-0000-0000-000094250000}"/>
    <cellStyle name="Euro 3 16" xfId="8618" xr:uid="{00000000-0005-0000-0000-000095250000}"/>
    <cellStyle name="Euro 3 17" xfId="8619" xr:uid="{00000000-0005-0000-0000-000096250000}"/>
    <cellStyle name="Euro 3 18" xfId="8620" xr:uid="{00000000-0005-0000-0000-000097250000}"/>
    <cellStyle name="Euro 3 19" xfId="8621" xr:uid="{00000000-0005-0000-0000-000098250000}"/>
    <cellStyle name="Euro 3 2" xfId="137" xr:uid="{00000000-0005-0000-0000-000099250000}"/>
    <cellStyle name="Euro 3 2 2" xfId="8622" xr:uid="{00000000-0005-0000-0000-00009A250000}"/>
    <cellStyle name="Euro 3 2 3" xfId="8623" xr:uid="{00000000-0005-0000-0000-00009B250000}"/>
    <cellStyle name="Euro 3 2 4" xfId="27086" xr:uid="{00000000-0005-0000-0000-00009C250000}"/>
    <cellStyle name="Euro 3 20" xfId="8624" xr:uid="{00000000-0005-0000-0000-00009D250000}"/>
    <cellStyle name="Euro 3 21" xfId="8625" xr:uid="{00000000-0005-0000-0000-00009E250000}"/>
    <cellStyle name="Euro 3 22" xfId="8626" xr:uid="{00000000-0005-0000-0000-00009F250000}"/>
    <cellStyle name="Euro 3 23" xfId="8627" xr:uid="{00000000-0005-0000-0000-0000A0250000}"/>
    <cellStyle name="Euro 3 3" xfId="8628" xr:uid="{00000000-0005-0000-0000-0000A1250000}"/>
    <cellStyle name="Euro 3 4" xfId="8629" xr:uid="{00000000-0005-0000-0000-0000A2250000}"/>
    <cellStyle name="Euro 3 5" xfId="8630" xr:uid="{00000000-0005-0000-0000-0000A3250000}"/>
    <cellStyle name="Euro 3 6" xfId="8631" xr:uid="{00000000-0005-0000-0000-0000A4250000}"/>
    <cellStyle name="Euro 3 7" xfId="8632" xr:uid="{00000000-0005-0000-0000-0000A5250000}"/>
    <cellStyle name="Euro 3 7 2" xfId="8633" xr:uid="{00000000-0005-0000-0000-0000A6250000}"/>
    <cellStyle name="Euro 3 7 3" xfId="8634" xr:uid="{00000000-0005-0000-0000-0000A7250000}"/>
    <cellStyle name="Euro 3 7 4" xfId="8635" xr:uid="{00000000-0005-0000-0000-0000A8250000}"/>
    <cellStyle name="Euro 3 8" xfId="8636" xr:uid="{00000000-0005-0000-0000-0000A9250000}"/>
    <cellStyle name="Euro 3 8 10" xfId="8637" xr:uid="{00000000-0005-0000-0000-0000AA250000}"/>
    <cellStyle name="Euro 3 8 11" xfId="8638" xr:uid="{00000000-0005-0000-0000-0000AB250000}"/>
    <cellStyle name="Euro 3 8 12" xfId="8639" xr:uid="{00000000-0005-0000-0000-0000AC250000}"/>
    <cellStyle name="Euro 3 8 13" xfId="8640" xr:uid="{00000000-0005-0000-0000-0000AD250000}"/>
    <cellStyle name="Euro 3 8 14" xfId="8641" xr:uid="{00000000-0005-0000-0000-0000AE250000}"/>
    <cellStyle name="Euro 3 8 15" xfId="8642" xr:uid="{00000000-0005-0000-0000-0000AF250000}"/>
    <cellStyle name="Euro 3 8 16" xfId="8643" xr:uid="{00000000-0005-0000-0000-0000B0250000}"/>
    <cellStyle name="Euro 3 8 17" xfId="8644" xr:uid="{00000000-0005-0000-0000-0000B1250000}"/>
    <cellStyle name="Euro 3 8 18" xfId="8645" xr:uid="{00000000-0005-0000-0000-0000B2250000}"/>
    <cellStyle name="Euro 3 8 19" xfId="8646" xr:uid="{00000000-0005-0000-0000-0000B3250000}"/>
    <cellStyle name="Euro 3 8 2" xfId="8647" xr:uid="{00000000-0005-0000-0000-0000B4250000}"/>
    <cellStyle name="Euro 3 8 2 10" xfId="8648" xr:uid="{00000000-0005-0000-0000-0000B5250000}"/>
    <cellStyle name="Euro 3 8 2 11" xfId="8649" xr:uid="{00000000-0005-0000-0000-0000B6250000}"/>
    <cellStyle name="Euro 3 8 2 12" xfId="8650" xr:uid="{00000000-0005-0000-0000-0000B7250000}"/>
    <cellStyle name="Euro 3 8 2 13" xfId="8651" xr:uid="{00000000-0005-0000-0000-0000B8250000}"/>
    <cellStyle name="Euro 3 8 2 14" xfId="8652" xr:uid="{00000000-0005-0000-0000-0000B9250000}"/>
    <cellStyle name="Euro 3 8 2 15" xfId="8653" xr:uid="{00000000-0005-0000-0000-0000BA250000}"/>
    <cellStyle name="Euro 3 8 2 16" xfId="8654" xr:uid="{00000000-0005-0000-0000-0000BB250000}"/>
    <cellStyle name="Euro 3 8 2 17" xfId="8655" xr:uid="{00000000-0005-0000-0000-0000BC250000}"/>
    <cellStyle name="Euro 3 8 2 18" xfId="8656" xr:uid="{00000000-0005-0000-0000-0000BD250000}"/>
    <cellStyle name="Euro 3 8 2 19" xfId="8657" xr:uid="{00000000-0005-0000-0000-0000BE250000}"/>
    <cellStyle name="Euro 3 8 2 2" xfId="8658" xr:uid="{00000000-0005-0000-0000-0000BF250000}"/>
    <cellStyle name="Euro 3 8 2 20" xfId="8659" xr:uid="{00000000-0005-0000-0000-0000C0250000}"/>
    <cellStyle name="Euro 3 8 2 21" xfId="8660" xr:uid="{00000000-0005-0000-0000-0000C1250000}"/>
    <cellStyle name="Euro 3 8 2 3" xfId="8661" xr:uid="{00000000-0005-0000-0000-0000C2250000}"/>
    <cellStyle name="Euro 3 8 2 4" xfId="8662" xr:uid="{00000000-0005-0000-0000-0000C3250000}"/>
    <cellStyle name="Euro 3 8 2 5" xfId="8663" xr:uid="{00000000-0005-0000-0000-0000C4250000}"/>
    <cellStyle name="Euro 3 8 2 6" xfId="8664" xr:uid="{00000000-0005-0000-0000-0000C5250000}"/>
    <cellStyle name="Euro 3 8 2 7" xfId="8665" xr:uid="{00000000-0005-0000-0000-0000C6250000}"/>
    <cellStyle name="Euro 3 8 2 8" xfId="8666" xr:uid="{00000000-0005-0000-0000-0000C7250000}"/>
    <cellStyle name="Euro 3 8 2 9" xfId="8667" xr:uid="{00000000-0005-0000-0000-0000C8250000}"/>
    <cellStyle name="Euro 3 8 20" xfId="8668" xr:uid="{00000000-0005-0000-0000-0000C9250000}"/>
    <cellStyle name="Euro 3 8 21" xfId="8669" xr:uid="{00000000-0005-0000-0000-0000CA250000}"/>
    <cellStyle name="Euro 3 8 22" xfId="8670" xr:uid="{00000000-0005-0000-0000-0000CB250000}"/>
    <cellStyle name="Euro 3 8 23" xfId="8671" xr:uid="{00000000-0005-0000-0000-0000CC250000}"/>
    <cellStyle name="Euro 3 8 24" xfId="8672" xr:uid="{00000000-0005-0000-0000-0000CD250000}"/>
    <cellStyle name="Euro 3 8 25" xfId="8673" xr:uid="{00000000-0005-0000-0000-0000CE250000}"/>
    <cellStyle name="Euro 3 8 26" xfId="8674" xr:uid="{00000000-0005-0000-0000-0000CF250000}"/>
    <cellStyle name="Euro 3 8 27" xfId="8675" xr:uid="{00000000-0005-0000-0000-0000D0250000}"/>
    <cellStyle name="Euro 3 8 28" xfId="8676" xr:uid="{00000000-0005-0000-0000-0000D1250000}"/>
    <cellStyle name="Euro 3 8 29" xfId="8677" xr:uid="{00000000-0005-0000-0000-0000D2250000}"/>
    <cellStyle name="Euro 3 8 3" xfId="8678" xr:uid="{00000000-0005-0000-0000-0000D3250000}"/>
    <cellStyle name="Euro 3 8 30" xfId="8679" xr:uid="{00000000-0005-0000-0000-0000D4250000}"/>
    <cellStyle name="Euro 3 8 31" xfId="8680" xr:uid="{00000000-0005-0000-0000-0000D5250000}"/>
    <cellStyle name="Euro 3 8 32" xfId="8681" xr:uid="{00000000-0005-0000-0000-0000D6250000}"/>
    <cellStyle name="Euro 3 8 33" xfId="8682" xr:uid="{00000000-0005-0000-0000-0000D7250000}"/>
    <cellStyle name="Euro 3 8 34" xfId="8683" xr:uid="{00000000-0005-0000-0000-0000D8250000}"/>
    <cellStyle name="Euro 3 8 4" xfId="8684" xr:uid="{00000000-0005-0000-0000-0000D9250000}"/>
    <cellStyle name="Euro 3 8 4 2" xfId="8685" xr:uid="{00000000-0005-0000-0000-0000DA250000}"/>
    <cellStyle name="Euro 3 8 4 3" xfId="8686" xr:uid="{00000000-0005-0000-0000-0000DB250000}"/>
    <cellStyle name="Euro 3 8 4 4" xfId="8687" xr:uid="{00000000-0005-0000-0000-0000DC250000}"/>
    <cellStyle name="Euro 3 8 5" xfId="8688" xr:uid="{00000000-0005-0000-0000-0000DD250000}"/>
    <cellStyle name="Euro 3 8 6" xfId="8689" xr:uid="{00000000-0005-0000-0000-0000DE250000}"/>
    <cellStyle name="Euro 3 8 7" xfId="8690" xr:uid="{00000000-0005-0000-0000-0000DF250000}"/>
    <cellStyle name="Euro 3 8 8" xfId="8691" xr:uid="{00000000-0005-0000-0000-0000E0250000}"/>
    <cellStyle name="Euro 3 8 9" xfId="8692" xr:uid="{00000000-0005-0000-0000-0000E1250000}"/>
    <cellStyle name="Euro 3 9" xfId="8693" xr:uid="{00000000-0005-0000-0000-0000E2250000}"/>
    <cellStyle name="Euro 4" xfId="138" xr:uid="{00000000-0005-0000-0000-0000E3250000}"/>
    <cellStyle name="Euro 4 10" xfId="8694" xr:uid="{00000000-0005-0000-0000-0000E4250000}"/>
    <cellStyle name="Euro 4 11" xfId="8695" xr:uid="{00000000-0005-0000-0000-0000E5250000}"/>
    <cellStyle name="Euro 4 12" xfId="8696" xr:uid="{00000000-0005-0000-0000-0000E6250000}"/>
    <cellStyle name="Euro 4 13" xfId="8697" xr:uid="{00000000-0005-0000-0000-0000E7250000}"/>
    <cellStyle name="Euro 4 14" xfId="8698" xr:uid="{00000000-0005-0000-0000-0000E8250000}"/>
    <cellStyle name="Euro 4 15" xfId="8699" xr:uid="{00000000-0005-0000-0000-0000E9250000}"/>
    <cellStyle name="Euro 4 16" xfId="8700" xr:uid="{00000000-0005-0000-0000-0000EA250000}"/>
    <cellStyle name="Euro 4 17" xfId="8701" xr:uid="{00000000-0005-0000-0000-0000EB250000}"/>
    <cellStyle name="Euro 4 18" xfId="8702" xr:uid="{00000000-0005-0000-0000-0000EC250000}"/>
    <cellStyle name="Euro 4 19" xfId="8703" xr:uid="{00000000-0005-0000-0000-0000ED250000}"/>
    <cellStyle name="Euro 4 2" xfId="139" xr:uid="{00000000-0005-0000-0000-0000EE250000}"/>
    <cellStyle name="Euro 4 2 2" xfId="27087" xr:uid="{00000000-0005-0000-0000-0000EF250000}"/>
    <cellStyle name="Euro 4 20" xfId="8704" xr:uid="{00000000-0005-0000-0000-0000F0250000}"/>
    <cellStyle name="Euro 4 21" xfId="8705" xr:uid="{00000000-0005-0000-0000-0000F1250000}"/>
    <cellStyle name="Euro 4 3" xfId="8706" xr:uid="{00000000-0005-0000-0000-0000F2250000}"/>
    <cellStyle name="Euro 4 4" xfId="8707" xr:uid="{00000000-0005-0000-0000-0000F3250000}"/>
    <cellStyle name="Euro 4 5" xfId="8708" xr:uid="{00000000-0005-0000-0000-0000F4250000}"/>
    <cellStyle name="Euro 4 6" xfId="8709" xr:uid="{00000000-0005-0000-0000-0000F5250000}"/>
    <cellStyle name="Euro 4 7" xfId="8710" xr:uid="{00000000-0005-0000-0000-0000F6250000}"/>
    <cellStyle name="Euro 4 7 2" xfId="8711" xr:uid="{00000000-0005-0000-0000-0000F7250000}"/>
    <cellStyle name="Euro 4 7 3" xfId="8712" xr:uid="{00000000-0005-0000-0000-0000F8250000}"/>
    <cellStyle name="Euro 4 7 4" xfId="8713" xr:uid="{00000000-0005-0000-0000-0000F9250000}"/>
    <cellStyle name="Euro 4 8" xfId="8714" xr:uid="{00000000-0005-0000-0000-0000FA250000}"/>
    <cellStyle name="Euro 4 8 10" xfId="8715" xr:uid="{00000000-0005-0000-0000-0000FB250000}"/>
    <cellStyle name="Euro 4 8 11" xfId="8716" xr:uid="{00000000-0005-0000-0000-0000FC250000}"/>
    <cellStyle name="Euro 4 8 12" xfId="8717" xr:uid="{00000000-0005-0000-0000-0000FD250000}"/>
    <cellStyle name="Euro 4 8 13" xfId="8718" xr:uid="{00000000-0005-0000-0000-0000FE250000}"/>
    <cellStyle name="Euro 4 8 14" xfId="8719" xr:uid="{00000000-0005-0000-0000-0000FF250000}"/>
    <cellStyle name="Euro 4 8 15" xfId="8720" xr:uid="{00000000-0005-0000-0000-000000260000}"/>
    <cellStyle name="Euro 4 8 16" xfId="8721" xr:uid="{00000000-0005-0000-0000-000001260000}"/>
    <cellStyle name="Euro 4 8 17" xfId="8722" xr:uid="{00000000-0005-0000-0000-000002260000}"/>
    <cellStyle name="Euro 4 8 18" xfId="8723" xr:uid="{00000000-0005-0000-0000-000003260000}"/>
    <cellStyle name="Euro 4 8 19" xfId="8724" xr:uid="{00000000-0005-0000-0000-000004260000}"/>
    <cellStyle name="Euro 4 8 2" xfId="8725" xr:uid="{00000000-0005-0000-0000-000005260000}"/>
    <cellStyle name="Euro 4 8 2 10" xfId="8726" xr:uid="{00000000-0005-0000-0000-000006260000}"/>
    <cellStyle name="Euro 4 8 2 11" xfId="8727" xr:uid="{00000000-0005-0000-0000-000007260000}"/>
    <cellStyle name="Euro 4 8 2 12" xfId="8728" xr:uid="{00000000-0005-0000-0000-000008260000}"/>
    <cellStyle name="Euro 4 8 2 13" xfId="8729" xr:uid="{00000000-0005-0000-0000-000009260000}"/>
    <cellStyle name="Euro 4 8 2 14" xfId="8730" xr:uid="{00000000-0005-0000-0000-00000A260000}"/>
    <cellStyle name="Euro 4 8 2 15" xfId="8731" xr:uid="{00000000-0005-0000-0000-00000B260000}"/>
    <cellStyle name="Euro 4 8 2 16" xfId="8732" xr:uid="{00000000-0005-0000-0000-00000C260000}"/>
    <cellStyle name="Euro 4 8 2 17" xfId="8733" xr:uid="{00000000-0005-0000-0000-00000D260000}"/>
    <cellStyle name="Euro 4 8 2 18" xfId="8734" xr:uid="{00000000-0005-0000-0000-00000E260000}"/>
    <cellStyle name="Euro 4 8 2 19" xfId="8735" xr:uid="{00000000-0005-0000-0000-00000F260000}"/>
    <cellStyle name="Euro 4 8 2 2" xfId="8736" xr:uid="{00000000-0005-0000-0000-000010260000}"/>
    <cellStyle name="Euro 4 8 2 20" xfId="8737" xr:uid="{00000000-0005-0000-0000-000011260000}"/>
    <cellStyle name="Euro 4 8 2 21" xfId="8738" xr:uid="{00000000-0005-0000-0000-000012260000}"/>
    <cellStyle name="Euro 4 8 2 3" xfId="8739" xr:uid="{00000000-0005-0000-0000-000013260000}"/>
    <cellStyle name="Euro 4 8 2 4" xfId="8740" xr:uid="{00000000-0005-0000-0000-000014260000}"/>
    <cellStyle name="Euro 4 8 2 5" xfId="8741" xr:uid="{00000000-0005-0000-0000-000015260000}"/>
    <cellStyle name="Euro 4 8 2 6" xfId="8742" xr:uid="{00000000-0005-0000-0000-000016260000}"/>
    <cellStyle name="Euro 4 8 2 7" xfId="8743" xr:uid="{00000000-0005-0000-0000-000017260000}"/>
    <cellStyle name="Euro 4 8 2 8" xfId="8744" xr:uid="{00000000-0005-0000-0000-000018260000}"/>
    <cellStyle name="Euro 4 8 2 9" xfId="8745" xr:uid="{00000000-0005-0000-0000-000019260000}"/>
    <cellStyle name="Euro 4 8 20" xfId="8746" xr:uid="{00000000-0005-0000-0000-00001A260000}"/>
    <cellStyle name="Euro 4 8 21" xfId="8747" xr:uid="{00000000-0005-0000-0000-00001B260000}"/>
    <cellStyle name="Euro 4 8 22" xfId="8748" xr:uid="{00000000-0005-0000-0000-00001C260000}"/>
    <cellStyle name="Euro 4 8 23" xfId="8749" xr:uid="{00000000-0005-0000-0000-00001D260000}"/>
    <cellStyle name="Euro 4 8 24" xfId="8750" xr:uid="{00000000-0005-0000-0000-00001E260000}"/>
    <cellStyle name="Euro 4 8 25" xfId="8751" xr:uid="{00000000-0005-0000-0000-00001F260000}"/>
    <cellStyle name="Euro 4 8 26" xfId="8752" xr:uid="{00000000-0005-0000-0000-000020260000}"/>
    <cellStyle name="Euro 4 8 27" xfId="8753" xr:uid="{00000000-0005-0000-0000-000021260000}"/>
    <cellStyle name="Euro 4 8 28" xfId="8754" xr:uid="{00000000-0005-0000-0000-000022260000}"/>
    <cellStyle name="Euro 4 8 29" xfId="8755" xr:uid="{00000000-0005-0000-0000-000023260000}"/>
    <cellStyle name="Euro 4 8 3" xfId="8756" xr:uid="{00000000-0005-0000-0000-000024260000}"/>
    <cellStyle name="Euro 4 8 30" xfId="8757" xr:uid="{00000000-0005-0000-0000-000025260000}"/>
    <cellStyle name="Euro 4 8 31" xfId="8758" xr:uid="{00000000-0005-0000-0000-000026260000}"/>
    <cellStyle name="Euro 4 8 32" xfId="8759" xr:uid="{00000000-0005-0000-0000-000027260000}"/>
    <cellStyle name="Euro 4 8 33" xfId="8760" xr:uid="{00000000-0005-0000-0000-000028260000}"/>
    <cellStyle name="Euro 4 8 34" xfId="8761" xr:uid="{00000000-0005-0000-0000-000029260000}"/>
    <cellStyle name="Euro 4 8 4" xfId="8762" xr:uid="{00000000-0005-0000-0000-00002A260000}"/>
    <cellStyle name="Euro 4 8 4 2" xfId="8763" xr:uid="{00000000-0005-0000-0000-00002B260000}"/>
    <cellStyle name="Euro 4 8 4 3" xfId="8764" xr:uid="{00000000-0005-0000-0000-00002C260000}"/>
    <cellStyle name="Euro 4 8 4 4" xfId="8765" xr:uid="{00000000-0005-0000-0000-00002D260000}"/>
    <cellStyle name="Euro 4 8 5" xfId="8766" xr:uid="{00000000-0005-0000-0000-00002E260000}"/>
    <cellStyle name="Euro 4 8 6" xfId="8767" xr:uid="{00000000-0005-0000-0000-00002F260000}"/>
    <cellStyle name="Euro 4 8 7" xfId="8768" xr:uid="{00000000-0005-0000-0000-000030260000}"/>
    <cellStyle name="Euro 4 8 8" xfId="8769" xr:uid="{00000000-0005-0000-0000-000031260000}"/>
    <cellStyle name="Euro 4 8 9" xfId="8770" xr:uid="{00000000-0005-0000-0000-000032260000}"/>
    <cellStyle name="Euro 4 9" xfId="8771" xr:uid="{00000000-0005-0000-0000-000033260000}"/>
    <cellStyle name="Euro 5" xfId="140" xr:uid="{00000000-0005-0000-0000-000034260000}"/>
    <cellStyle name="Euro 5 10" xfId="8772" xr:uid="{00000000-0005-0000-0000-000035260000}"/>
    <cellStyle name="Euro 5 11" xfId="8773" xr:uid="{00000000-0005-0000-0000-000036260000}"/>
    <cellStyle name="Euro 5 12" xfId="8774" xr:uid="{00000000-0005-0000-0000-000037260000}"/>
    <cellStyle name="Euro 5 13" xfId="8775" xr:uid="{00000000-0005-0000-0000-000038260000}"/>
    <cellStyle name="Euro 5 14" xfId="8776" xr:uid="{00000000-0005-0000-0000-000039260000}"/>
    <cellStyle name="Euro 5 15" xfId="8777" xr:uid="{00000000-0005-0000-0000-00003A260000}"/>
    <cellStyle name="Euro 5 16" xfId="27084" xr:uid="{00000000-0005-0000-0000-00003B260000}"/>
    <cellStyle name="Euro 5 2" xfId="8778" xr:uid="{00000000-0005-0000-0000-00003C260000}"/>
    <cellStyle name="Euro 5 2 10" xfId="8779" xr:uid="{00000000-0005-0000-0000-00003D260000}"/>
    <cellStyle name="Euro 5 2 11" xfId="8780" xr:uid="{00000000-0005-0000-0000-00003E260000}"/>
    <cellStyle name="Euro 5 2 12" xfId="8781" xr:uid="{00000000-0005-0000-0000-00003F260000}"/>
    <cellStyle name="Euro 5 2 13" xfId="8782" xr:uid="{00000000-0005-0000-0000-000040260000}"/>
    <cellStyle name="Euro 5 2 2" xfId="8783" xr:uid="{00000000-0005-0000-0000-000041260000}"/>
    <cellStyle name="Euro 5 2 3" xfId="8784" xr:uid="{00000000-0005-0000-0000-000042260000}"/>
    <cellStyle name="Euro 5 2 4" xfId="8785" xr:uid="{00000000-0005-0000-0000-000043260000}"/>
    <cellStyle name="Euro 5 2 5" xfId="8786" xr:uid="{00000000-0005-0000-0000-000044260000}"/>
    <cellStyle name="Euro 5 2 6" xfId="8787" xr:uid="{00000000-0005-0000-0000-000045260000}"/>
    <cellStyle name="Euro 5 2 7" xfId="8788" xr:uid="{00000000-0005-0000-0000-000046260000}"/>
    <cellStyle name="Euro 5 2 8" xfId="8789" xr:uid="{00000000-0005-0000-0000-000047260000}"/>
    <cellStyle name="Euro 5 2 9" xfId="8790" xr:uid="{00000000-0005-0000-0000-000048260000}"/>
    <cellStyle name="Euro 5 3" xfId="8791" xr:uid="{00000000-0005-0000-0000-000049260000}"/>
    <cellStyle name="Euro 5 4" xfId="8792" xr:uid="{00000000-0005-0000-0000-00004A260000}"/>
    <cellStyle name="Euro 5 5" xfId="8793" xr:uid="{00000000-0005-0000-0000-00004B260000}"/>
    <cellStyle name="Euro 5 6" xfId="8794" xr:uid="{00000000-0005-0000-0000-00004C260000}"/>
    <cellStyle name="Euro 5 7" xfId="8795" xr:uid="{00000000-0005-0000-0000-00004D260000}"/>
    <cellStyle name="Euro 5 8" xfId="8796" xr:uid="{00000000-0005-0000-0000-00004E260000}"/>
    <cellStyle name="Euro 5 9" xfId="8797" xr:uid="{00000000-0005-0000-0000-00004F260000}"/>
    <cellStyle name="Euro 6" xfId="8798" xr:uid="{00000000-0005-0000-0000-000050260000}"/>
    <cellStyle name="Euro 6 10" xfId="8799" xr:uid="{00000000-0005-0000-0000-000051260000}"/>
    <cellStyle name="Euro 6 11" xfId="8800" xr:uid="{00000000-0005-0000-0000-000052260000}"/>
    <cellStyle name="Euro 6 12" xfId="8801" xr:uid="{00000000-0005-0000-0000-000053260000}"/>
    <cellStyle name="Euro 6 13" xfId="8802" xr:uid="{00000000-0005-0000-0000-000054260000}"/>
    <cellStyle name="Euro 6 14" xfId="8803" xr:uid="{00000000-0005-0000-0000-000055260000}"/>
    <cellStyle name="Euro 6 15" xfId="8804" xr:uid="{00000000-0005-0000-0000-000056260000}"/>
    <cellStyle name="Euro 6 16" xfId="8805" xr:uid="{00000000-0005-0000-0000-000057260000}"/>
    <cellStyle name="Euro 6 17" xfId="8806" xr:uid="{00000000-0005-0000-0000-000058260000}"/>
    <cellStyle name="Euro 6 18" xfId="8807" xr:uid="{00000000-0005-0000-0000-000059260000}"/>
    <cellStyle name="Euro 6 19" xfId="8808" xr:uid="{00000000-0005-0000-0000-00005A260000}"/>
    <cellStyle name="Euro 6 2" xfId="8809" xr:uid="{00000000-0005-0000-0000-00005B260000}"/>
    <cellStyle name="Euro 6 20" xfId="8810" xr:uid="{00000000-0005-0000-0000-00005C260000}"/>
    <cellStyle name="Euro 6 21" xfId="8811" xr:uid="{00000000-0005-0000-0000-00005D260000}"/>
    <cellStyle name="Euro 6 3" xfId="8812" xr:uid="{00000000-0005-0000-0000-00005E260000}"/>
    <cellStyle name="Euro 6 4" xfId="8813" xr:uid="{00000000-0005-0000-0000-00005F260000}"/>
    <cellStyle name="Euro 6 5" xfId="8814" xr:uid="{00000000-0005-0000-0000-000060260000}"/>
    <cellStyle name="Euro 6 6" xfId="8815" xr:uid="{00000000-0005-0000-0000-000061260000}"/>
    <cellStyle name="Euro 6 7" xfId="8816" xr:uid="{00000000-0005-0000-0000-000062260000}"/>
    <cellStyle name="Euro 6 7 2" xfId="8817" xr:uid="{00000000-0005-0000-0000-000063260000}"/>
    <cellStyle name="Euro 6 7 3" xfId="8818" xr:uid="{00000000-0005-0000-0000-000064260000}"/>
    <cellStyle name="Euro 6 7 4" xfId="8819" xr:uid="{00000000-0005-0000-0000-000065260000}"/>
    <cellStyle name="Euro 6 8" xfId="8820" xr:uid="{00000000-0005-0000-0000-000066260000}"/>
    <cellStyle name="Euro 6 8 10" xfId="8821" xr:uid="{00000000-0005-0000-0000-000067260000}"/>
    <cellStyle name="Euro 6 8 11" xfId="8822" xr:uid="{00000000-0005-0000-0000-000068260000}"/>
    <cellStyle name="Euro 6 8 12" xfId="8823" xr:uid="{00000000-0005-0000-0000-000069260000}"/>
    <cellStyle name="Euro 6 8 13" xfId="8824" xr:uid="{00000000-0005-0000-0000-00006A260000}"/>
    <cellStyle name="Euro 6 8 14" xfId="8825" xr:uid="{00000000-0005-0000-0000-00006B260000}"/>
    <cellStyle name="Euro 6 8 15" xfId="8826" xr:uid="{00000000-0005-0000-0000-00006C260000}"/>
    <cellStyle name="Euro 6 8 16" xfId="8827" xr:uid="{00000000-0005-0000-0000-00006D260000}"/>
    <cellStyle name="Euro 6 8 17" xfId="8828" xr:uid="{00000000-0005-0000-0000-00006E260000}"/>
    <cellStyle name="Euro 6 8 18" xfId="8829" xr:uid="{00000000-0005-0000-0000-00006F260000}"/>
    <cellStyle name="Euro 6 8 19" xfId="8830" xr:uid="{00000000-0005-0000-0000-000070260000}"/>
    <cellStyle name="Euro 6 8 2" xfId="8831" xr:uid="{00000000-0005-0000-0000-000071260000}"/>
    <cellStyle name="Euro 6 8 2 10" xfId="8832" xr:uid="{00000000-0005-0000-0000-000072260000}"/>
    <cellStyle name="Euro 6 8 2 11" xfId="8833" xr:uid="{00000000-0005-0000-0000-000073260000}"/>
    <cellStyle name="Euro 6 8 2 12" xfId="8834" xr:uid="{00000000-0005-0000-0000-000074260000}"/>
    <cellStyle name="Euro 6 8 2 13" xfId="8835" xr:uid="{00000000-0005-0000-0000-000075260000}"/>
    <cellStyle name="Euro 6 8 2 14" xfId="8836" xr:uid="{00000000-0005-0000-0000-000076260000}"/>
    <cellStyle name="Euro 6 8 2 15" xfId="8837" xr:uid="{00000000-0005-0000-0000-000077260000}"/>
    <cellStyle name="Euro 6 8 2 16" xfId="8838" xr:uid="{00000000-0005-0000-0000-000078260000}"/>
    <cellStyle name="Euro 6 8 2 17" xfId="8839" xr:uid="{00000000-0005-0000-0000-000079260000}"/>
    <cellStyle name="Euro 6 8 2 18" xfId="8840" xr:uid="{00000000-0005-0000-0000-00007A260000}"/>
    <cellStyle name="Euro 6 8 2 19" xfId="8841" xr:uid="{00000000-0005-0000-0000-00007B260000}"/>
    <cellStyle name="Euro 6 8 2 2" xfId="8842" xr:uid="{00000000-0005-0000-0000-00007C260000}"/>
    <cellStyle name="Euro 6 8 2 20" xfId="8843" xr:uid="{00000000-0005-0000-0000-00007D260000}"/>
    <cellStyle name="Euro 6 8 2 21" xfId="8844" xr:uid="{00000000-0005-0000-0000-00007E260000}"/>
    <cellStyle name="Euro 6 8 2 3" xfId="8845" xr:uid="{00000000-0005-0000-0000-00007F260000}"/>
    <cellStyle name="Euro 6 8 2 4" xfId="8846" xr:uid="{00000000-0005-0000-0000-000080260000}"/>
    <cellStyle name="Euro 6 8 2 5" xfId="8847" xr:uid="{00000000-0005-0000-0000-000081260000}"/>
    <cellStyle name="Euro 6 8 2 6" xfId="8848" xr:uid="{00000000-0005-0000-0000-000082260000}"/>
    <cellStyle name="Euro 6 8 2 7" xfId="8849" xr:uid="{00000000-0005-0000-0000-000083260000}"/>
    <cellStyle name="Euro 6 8 2 8" xfId="8850" xr:uid="{00000000-0005-0000-0000-000084260000}"/>
    <cellStyle name="Euro 6 8 2 9" xfId="8851" xr:uid="{00000000-0005-0000-0000-000085260000}"/>
    <cellStyle name="Euro 6 8 20" xfId="8852" xr:uid="{00000000-0005-0000-0000-000086260000}"/>
    <cellStyle name="Euro 6 8 21" xfId="8853" xr:uid="{00000000-0005-0000-0000-000087260000}"/>
    <cellStyle name="Euro 6 8 22" xfId="8854" xr:uid="{00000000-0005-0000-0000-000088260000}"/>
    <cellStyle name="Euro 6 8 23" xfId="8855" xr:uid="{00000000-0005-0000-0000-000089260000}"/>
    <cellStyle name="Euro 6 8 24" xfId="8856" xr:uid="{00000000-0005-0000-0000-00008A260000}"/>
    <cellStyle name="Euro 6 8 25" xfId="8857" xr:uid="{00000000-0005-0000-0000-00008B260000}"/>
    <cellStyle name="Euro 6 8 26" xfId="8858" xr:uid="{00000000-0005-0000-0000-00008C260000}"/>
    <cellStyle name="Euro 6 8 27" xfId="8859" xr:uid="{00000000-0005-0000-0000-00008D260000}"/>
    <cellStyle name="Euro 6 8 28" xfId="8860" xr:uid="{00000000-0005-0000-0000-00008E260000}"/>
    <cellStyle name="Euro 6 8 29" xfId="8861" xr:uid="{00000000-0005-0000-0000-00008F260000}"/>
    <cellStyle name="Euro 6 8 3" xfId="8862" xr:uid="{00000000-0005-0000-0000-000090260000}"/>
    <cellStyle name="Euro 6 8 30" xfId="8863" xr:uid="{00000000-0005-0000-0000-000091260000}"/>
    <cellStyle name="Euro 6 8 31" xfId="8864" xr:uid="{00000000-0005-0000-0000-000092260000}"/>
    <cellStyle name="Euro 6 8 32" xfId="8865" xr:uid="{00000000-0005-0000-0000-000093260000}"/>
    <cellStyle name="Euro 6 8 33" xfId="8866" xr:uid="{00000000-0005-0000-0000-000094260000}"/>
    <cellStyle name="Euro 6 8 34" xfId="8867" xr:uid="{00000000-0005-0000-0000-000095260000}"/>
    <cellStyle name="Euro 6 8 4" xfId="8868" xr:uid="{00000000-0005-0000-0000-000096260000}"/>
    <cellStyle name="Euro 6 8 4 2" xfId="8869" xr:uid="{00000000-0005-0000-0000-000097260000}"/>
    <cellStyle name="Euro 6 8 4 3" xfId="8870" xr:uid="{00000000-0005-0000-0000-000098260000}"/>
    <cellStyle name="Euro 6 8 4 4" xfId="8871" xr:uid="{00000000-0005-0000-0000-000099260000}"/>
    <cellStyle name="Euro 6 8 5" xfId="8872" xr:uid="{00000000-0005-0000-0000-00009A260000}"/>
    <cellStyle name="Euro 6 8 6" xfId="8873" xr:uid="{00000000-0005-0000-0000-00009B260000}"/>
    <cellStyle name="Euro 6 8 7" xfId="8874" xr:uid="{00000000-0005-0000-0000-00009C260000}"/>
    <cellStyle name="Euro 6 8 8" xfId="8875" xr:uid="{00000000-0005-0000-0000-00009D260000}"/>
    <cellStyle name="Euro 6 8 9" xfId="8876" xr:uid="{00000000-0005-0000-0000-00009E260000}"/>
    <cellStyle name="Euro 6 9" xfId="8877" xr:uid="{00000000-0005-0000-0000-00009F260000}"/>
    <cellStyle name="Euro 7" xfId="8878" xr:uid="{00000000-0005-0000-0000-0000A0260000}"/>
    <cellStyle name="Euro 7 10" xfId="8879" xr:uid="{00000000-0005-0000-0000-0000A1260000}"/>
    <cellStyle name="Euro 7 11" xfId="8880" xr:uid="{00000000-0005-0000-0000-0000A2260000}"/>
    <cellStyle name="Euro 7 12" xfId="8881" xr:uid="{00000000-0005-0000-0000-0000A3260000}"/>
    <cellStyle name="Euro 7 13" xfId="8882" xr:uid="{00000000-0005-0000-0000-0000A4260000}"/>
    <cellStyle name="Euro 7 14" xfId="8883" xr:uid="{00000000-0005-0000-0000-0000A5260000}"/>
    <cellStyle name="Euro 7 15" xfId="8884" xr:uid="{00000000-0005-0000-0000-0000A6260000}"/>
    <cellStyle name="Euro 7 16" xfId="8885" xr:uid="{00000000-0005-0000-0000-0000A7260000}"/>
    <cellStyle name="Euro 7 17" xfId="8886" xr:uid="{00000000-0005-0000-0000-0000A8260000}"/>
    <cellStyle name="Euro 7 18" xfId="8887" xr:uid="{00000000-0005-0000-0000-0000A9260000}"/>
    <cellStyle name="Euro 7 19" xfId="8888" xr:uid="{00000000-0005-0000-0000-0000AA260000}"/>
    <cellStyle name="Euro 7 2" xfId="8889" xr:uid="{00000000-0005-0000-0000-0000AB260000}"/>
    <cellStyle name="Euro 7 20" xfId="8890" xr:uid="{00000000-0005-0000-0000-0000AC260000}"/>
    <cellStyle name="Euro 7 21" xfId="8891" xr:uid="{00000000-0005-0000-0000-0000AD260000}"/>
    <cellStyle name="Euro 7 3" xfId="8892" xr:uid="{00000000-0005-0000-0000-0000AE260000}"/>
    <cellStyle name="Euro 7 4" xfId="8893" xr:uid="{00000000-0005-0000-0000-0000AF260000}"/>
    <cellStyle name="Euro 7 5" xfId="8894" xr:uid="{00000000-0005-0000-0000-0000B0260000}"/>
    <cellStyle name="Euro 7 6" xfId="8895" xr:uid="{00000000-0005-0000-0000-0000B1260000}"/>
    <cellStyle name="Euro 7 7" xfId="8896" xr:uid="{00000000-0005-0000-0000-0000B2260000}"/>
    <cellStyle name="Euro 7 7 2" xfId="8897" xr:uid="{00000000-0005-0000-0000-0000B3260000}"/>
    <cellStyle name="Euro 7 7 3" xfId="8898" xr:uid="{00000000-0005-0000-0000-0000B4260000}"/>
    <cellStyle name="Euro 7 7 4" xfId="8899" xr:uid="{00000000-0005-0000-0000-0000B5260000}"/>
    <cellStyle name="Euro 7 8" xfId="8900" xr:uid="{00000000-0005-0000-0000-0000B6260000}"/>
    <cellStyle name="Euro 7 8 10" xfId="8901" xr:uid="{00000000-0005-0000-0000-0000B7260000}"/>
    <cellStyle name="Euro 7 8 11" xfId="8902" xr:uid="{00000000-0005-0000-0000-0000B8260000}"/>
    <cellStyle name="Euro 7 8 12" xfId="8903" xr:uid="{00000000-0005-0000-0000-0000B9260000}"/>
    <cellStyle name="Euro 7 8 13" xfId="8904" xr:uid="{00000000-0005-0000-0000-0000BA260000}"/>
    <cellStyle name="Euro 7 8 14" xfId="8905" xr:uid="{00000000-0005-0000-0000-0000BB260000}"/>
    <cellStyle name="Euro 7 8 15" xfId="8906" xr:uid="{00000000-0005-0000-0000-0000BC260000}"/>
    <cellStyle name="Euro 7 8 16" xfId="8907" xr:uid="{00000000-0005-0000-0000-0000BD260000}"/>
    <cellStyle name="Euro 7 8 17" xfId="8908" xr:uid="{00000000-0005-0000-0000-0000BE260000}"/>
    <cellStyle name="Euro 7 8 18" xfId="8909" xr:uid="{00000000-0005-0000-0000-0000BF260000}"/>
    <cellStyle name="Euro 7 8 19" xfId="8910" xr:uid="{00000000-0005-0000-0000-0000C0260000}"/>
    <cellStyle name="Euro 7 8 2" xfId="8911" xr:uid="{00000000-0005-0000-0000-0000C1260000}"/>
    <cellStyle name="Euro 7 8 2 10" xfId="8912" xr:uid="{00000000-0005-0000-0000-0000C2260000}"/>
    <cellStyle name="Euro 7 8 2 11" xfId="8913" xr:uid="{00000000-0005-0000-0000-0000C3260000}"/>
    <cellStyle name="Euro 7 8 2 12" xfId="8914" xr:uid="{00000000-0005-0000-0000-0000C4260000}"/>
    <cellStyle name="Euro 7 8 2 13" xfId="8915" xr:uid="{00000000-0005-0000-0000-0000C5260000}"/>
    <cellStyle name="Euro 7 8 2 14" xfId="8916" xr:uid="{00000000-0005-0000-0000-0000C6260000}"/>
    <cellStyle name="Euro 7 8 2 15" xfId="8917" xr:uid="{00000000-0005-0000-0000-0000C7260000}"/>
    <cellStyle name="Euro 7 8 2 16" xfId="8918" xr:uid="{00000000-0005-0000-0000-0000C8260000}"/>
    <cellStyle name="Euro 7 8 2 17" xfId="8919" xr:uid="{00000000-0005-0000-0000-0000C9260000}"/>
    <cellStyle name="Euro 7 8 2 18" xfId="8920" xr:uid="{00000000-0005-0000-0000-0000CA260000}"/>
    <cellStyle name="Euro 7 8 2 19" xfId="8921" xr:uid="{00000000-0005-0000-0000-0000CB260000}"/>
    <cellStyle name="Euro 7 8 2 2" xfId="8922" xr:uid="{00000000-0005-0000-0000-0000CC260000}"/>
    <cellStyle name="Euro 7 8 2 20" xfId="8923" xr:uid="{00000000-0005-0000-0000-0000CD260000}"/>
    <cellStyle name="Euro 7 8 2 21" xfId="8924" xr:uid="{00000000-0005-0000-0000-0000CE260000}"/>
    <cellStyle name="Euro 7 8 2 3" xfId="8925" xr:uid="{00000000-0005-0000-0000-0000CF260000}"/>
    <cellStyle name="Euro 7 8 2 4" xfId="8926" xr:uid="{00000000-0005-0000-0000-0000D0260000}"/>
    <cellStyle name="Euro 7 8 2 5" xfId="8927" xr:uid="{00000000-0005-0000-0000-0000D1260000}"/>
    <cellStyle name="Euro 7 8 2 6" xfId="8928" xr:uid="{00000000-0005-0000-0000-0000D2260000}"/>
    <cellStyle name="Euro 7 8 2 7" xfId="8929" xr:uid="{00000000-0005-0000-0000-0000D3260000}"/>
    <cellStyle name="Euro 7 8 2 8" xfId="8930" xr:uid="{00000000-0005-0000-0000-0000D4260000}"/>
    <cellStyle name="Euro 7 8 2 9" xfId="8931" xr:uid="{00000000-0005-0000-0000-0000D5260000}"/>
    <cellStyle name="Euro 7 8 20" xfId="8932" xr:uid="{00000000-0005-0000-0000-0000D6260000}"/>
    <cellStyle name="Euro 7 8 21" xfId="8933" xr:uid="{00000000-0005-0000-0000-0000D7260000}"/>
    <cellStyle name="Euro 7 8 22" xfId="8934" xr:uid="{00000000-0005-0000-0000-0000D8260000}"/>
    <cellStyle name="Euro 7 8 23" xfId="8935" xr:uid="{00000000-0005-0000-0000-0000D9260000}"/>
    <cellStyle name="Euro 7 8 24" xfId="8936" xr:uid="{00000000-0005-0000-0000-0000DA260000}"/>
    <cellStyle name="Euro 7 8 25" xfId="8937" xr:uid="{00000000-0005-0000-0000-0000DB260000}"/>
    <cellStyle name="Euro 7 8 26" xfId="8938" xr:uid="{00000000-0005-0000-0000-0000DC260000}"/>
    <cellStyle name="Euro 7 8 27" xfId="8939" xr:uid="{00000000-0005-0000-0000-0000DD260000}"/>
    <cellStyle name="Euro 7 8 28" xfId="8940" xr:uid="{00000000-0005-0000-0000-0000DE260000}"/>
    <cellStyle name="Euro 7 8 29" xfId="8941" xr:uid="{00000000-0005-0000-0000-0000DF260000}"/>
    <cellStyle name="Euro 7 8 3" xfId="8942" xr:uid="{00000000-0005-0000-0000-0000E0260000}"/>
    <cellStyle name="Euro 7 8 30" xfId="8943" xr:uid="{00000000-0005-0000-0000-0000E1260000}"/>
    <cellStyle name="Euro 7 8 31" xfId="8944" xr:uid="{00000000-0005-0000-0000-0000E2260000}"/>
    <cellStyle name="Euro 7 8 32" xfId="8945" xr:uid="{00000000-0005-0000-0000-0000E3260000}"/>
    <cellStyle name="Euro 7 8 33" xfId="8946" xr:uid="{00000000-0005-0000-0000-0000E4260000}"/>
    <cellStyle name="Euro 7 8 34" xfId="8947" xr:uid="{00000000-0005-0000-0000-0000E5260000}"/>
    <cellStyle name="Euro 7 8 4" xfId="8948" xr:uid="{00000000-0005-0000-0000-0000E6260000}"/>
    <cellStyle name="Euro 7 8 4 2" xfId="8949" xr:uid="{00000000-0005-0000-0000-0000E7260000}"/>
    <cellStyle name="Euro 7 8 4 3" xfId="8950" xr:uid="{00000000-0005-0000-0000-0000E8260000}"/>
    <cellStyle name="Euro 7 8 4 4" xfId="8951" xr:uid="{00000000-0005-0000-0000-0000E9260000}"/>
    <cellStyle name="Euro 7 8 5" xfId="8952" xr:uid="{00000000-0005-0000-0000-0000EA260000}"/>
    <cellStyle name="Euro 7 8 6" xfId="8953" xr:uid="{00000000-0005-0000-0000-0000EB260000}"/>
    <cellStyle name="Euro 7 8 7" xfId="8954" xr:uid="{00000000-0005-0000-0000-0000EC260000}"/>
    <cellStyle name="Euro 7 8 8" xfId="8955" xr:uid="{00000000-0005-0000-0000-0000ED260000}"/>
    <cellStyle name="Euro 7 8 9" xfId="8956" xr:uid="{00000000-0005-0000-0000-0000EE260000}"/>
    <cellStyle name="Euro 7 9" xfId="8957" xr:uid="{00000000-0005-0000-0000-0000EF260000}"/>
    <cellStyle name="Euro 8" xfId="8958" xr:uid="{00000000-0005-0000-0000-0000F0260000}"/>
    <cellStyle name="Euro 9" xfId="8959" xr:uid="{00000000-0005-0000-0000-0000F1260000}"/>
    <cellStyle name="Euro_2008 - Planilha Medição EAS Casco-002 OUT08" xfId="8960" xr:uid="{00000000-0005-0000-0000-0000F2260000}"/>
    <cellStyle name="Explanatory Text" xfId="141" xr:uid="{00000000-0005-0000-0000-0000F3260000}"/>
    <cellStyle name="Explanatory Text 2" xfId="8961" xr:uid="{00000000-0005-0000-0000-0000F4260000}"/>
    <cellStyle name="Explanatory Text 3" xfId="8962" xr:uid="{00000000-0005-0000-0000-0000F5260000}"/>
    <cellStyle name="EY House" xfId="8963" xr:uid="{00000000-0005-0000-0000-0000F6260000}"/>
    <cellStyle name="Fixed" xfId="8964" xr:uid="{00000000-0005-0000-0000-0000F7260000}"/>
    <cellStyle name="Fixo" xfId="8965" xr:uid="{00000000-0005-0000-0000-0000F8260000}"/>
    <cellStyle name="Followed Hyperlink_0331longsht" xfId="142" xr:uid="{00000000-0005-0000-0000-0000F9260000}"/>
    <cellStyle name="Footnote" xfId="143" xr:uid="{00000000-0005-0000-0000-0000FA260000}"/>
    <cellStyle name="Footnote 2" xfId="8966" xr:uid="{00000000-0005-0000-0000-0000FB260000}"/>
    <cellStyle name="fundoentrada" xfId="8967" xr:uid="{00000000-0005-0000-0000-0000FC260000}"/>
    <cellStyle name="Good" xfId="144" xr:uid="{00000000-0005-0000-0000-0000FD260000}"/>
    <cellStyle name="Good 2" xfId="8969" xr:uid="{00000000-0005-0000-0000-0000FE260000}"/>
    <cellStyle name="Good 2 2" xfId="25827" xr:uid="{00000000-0005-0000-0000-0000FF260000}"/>
    <cellStyle name="Good 2 3" xfId="25826" xr:uid="{00000000-0005-0000-0000-000000270000}"/>
    <cellStyle name="Good 3" xfId="8970" xr:uid="{00000000-0005-0000-0000-000001270000}"/>
    <cellStyle name="Good 4" xfId="8968" xr:uid="{00000000-0005-0000-0000-000002270000}"/>
    <cellStyle name="Green" xfId="8971" xr:uid="{00000000-0005-0000-0000-000003270000}"/>
    <cellStyle name="Grey" xfId="8972" xr:uid="{00000000-0005-0000-0000-000004270000}"/>
    <cellStyle name="Hard Percent" xfId="145" xr:uid="{00000000-0005-0000-0000-000005270000}"/>
    <cellStyle name="Header" xfId="146" xr:uid="{00000000-0005-0000-0000-000006270000}"/>
    <cellStyle name="Header 2" xfId="8973" xr:uid="{00000000-0005-0000-0000-000007270000}"/>
    <cellStyle name="Header1" xfId="8974" xr:uid="{00000000-0005-0000-0000-000008270000}"/>
    <cellStyle name="Header2" xfId="8975" xr:uid="{00000000-0005-0000-0000-000009270000}"/>
    <cellStyle name="Header2 2" xfId="24987" xr:uid="{00000000-0005-0000-0000-00000A270000}"/>
    <cellStyle name="Heading" xfId="8976" xr:uid="{00000000-0005-0000-0000-00000B270000}"/>
    <cellStyle name="Heading 1" xfId="147" xr:uid="{00000000-0005-0000-0000-00000C270000}"/>
    <cellStyle name="Heading 1 2" xfId="8978" xr:uid="{00000000-0005-0000-0000-00000D270000}"/>
    <cellStyle name="Heading 1 2 2" xfId="25829" xr:uid="{00000000-0005-0000-0000-00000E270000}"/>
    <cellStyle name="Heading 1 2 3" xfId="25828" xr:uid="{00000000-0005-0000-0000-00000F270000}"/>
    <cellStyle name="Heading 1 3" xfId="8979" xr:uid="{00000000-0005-0000-0000-000010270000}"/>
    <cellStyle name="Heading 1 4" xfId="8977" xr:uid="{00000000-0005-0000-0000-000011270000}"/>
    <cellStyle name="Heading 2" xfId="148" xr:uid="{00000000-0005-0000-0000-000012270000}"/>
    <cellStyle name="Heading 2 2" xfId="149" xr:uid="{00000000-0005-0000-0000-000013270000}"/>
    <cellStyle name="Heading 2 2 2" xfId="25831" xr:uid="{00000000-0005-0000-0000-000014270000}"/>
    <cellStyle name="Heading 2 2 3" xfId="25830" xr:uid="{00000000-0005-0000-0000-000015270000}"/>
    <cellStyle name="Heading 2 3" xfId="8981" xr:uid="{00000000-0005-0000-0000-000016270000}"/>
    <cellStyle name="Heading 2 4" xfId="8980" xr:uid="{00000000-0005-0000-0000-000017270000}"/>
    <cellStyle name="Heading 3" xfId="150" xr:uid="{00000000-0005-0000-0000-000018270000}"/>
    <cellStyle name="Heading 3 2" xfId="151" xr:uid="{00000000-0005-0000-0000-000019270000}"/>
    <cellStyle name="Heading 3 2 2" xfId="8983" xr:uid="{00000000-0005-0000-0000-00001A270000}"/>
    <cellStyle name="Heading 3 2 2 2" xfId="25833" xr:uid="{00000000-0005-0000-0000-00001B270000}"/>
    <cellStyle name="Heading 3 2 3" xfId="25832" xr:uid="{00000000-0005-0000-0000-00001C270000}"/>
    <cellStyle name="Heading 3 3" xfId="8984" xr:uid="{00000000-0005-0000-0000-00001D270000}"/>
    <cellStyle name="Heading 3 3 2" xfId="25834" xr:uid="{00000000-0005-0000-0000-00001E270000}"/>
    <cellStyle name="Heading 3 4" xfId="8982" xr:uid="{00000000-0005-0000-0000-00001F270000}"/>
    <cellStyle name="Heading 4" xfId="152" xr:uid="{00000000-0005-0000-0000-000020270000}"/>
    <cellStyle name="Heading 4 2" xfId="8986" xr:uid="{00000000-0005-0000-0000-000021270000}"/>
    <cellStyle name="Heading 4 2 2" xfId="25836" xr:uid="{00000000-0005-0000-0000-000022270000}"/>
    <cellStyle name="Heading 4 2 3" xfId="25835" xr:uid="{00000000-0005-0000-0000-000023270000}"/>
    <cellStyle name="Heading 4 3" xfId="8987" xr:uid="{00000000-0005-0000-0000-000024270000}"/>
    <cellStyle name="Heading 4 4" xfId="8985" xr:uid="{00000000-0005-0000-0000-000025270000}"/>
    <cellStyle name="Heading1" xfId="8988" xr:uid="{00000000-0005-0000-0000-000026270000}"/>
    <cellStyle name="Heading2" xfId="8989" xr:uid="{00000000-0005-0000-0000-000027270000}"/>
    <cellStyle name="Hipervínculo" xfId="8990" xr:uid="{00000000-0005-0000-0000-000028270000}"/>
    <cellStyle name="Hyperlink 2" xfId="8991" xr:uid="{00000000-0005-0000-0000-000029270000}"/>
    <cellStyle name="Hyperlink 2 2" xfId="8992" xr:uid="{00000000-0005-0000-0000-00002A270000}"/>
    <cellStyle name="Hyperlink 2 3" xfId="8993" xr:uid="{00000000-0005-0000-0000-00002B270000}"/>
    <cellStyle name="Imput [4]" xfId="8994" xr:uid="{00000000-0005-0000-0000-00002C270000}"/>
    <cellStyle name="Incorrecto" xfId="153" xr:uid="{00000000-0005-0000-0000-00002D270000}"/>
    <cellStyle name="Incorrecto 2" xfId="8995" xr:uid="{00000000-0005-0000-0000-00002E270000}"/>
    <cellStyle name="Incorreto 2" xfId="8996" xr:uid="{00000000-0005-0000-0000-000030270000}"/>
    <cellStyle name="Incorreto 2 2" xfId="8997" xr:uid="{00000000-0005-0000-0000-000031270000}"/>
    <cellStyle name="Incorreto 2 3" xfId="8998" xr:uid="{00000000-0005-0000-0000-000032270000}"/>
    <cellStyle name="Incorreto 2 4" xfId="8999" xr:uid="{00000000-0005-0000-0000-000033270000}"/>
    <cellStyle name="Incorreto 2 5" xfId="9000" xr:uid="{00000000-0005-0000-0000-000034270000}"/>
    <cellStyle name="Incorreto 2 6" xfId="25837" xr:uid="{00000000-0005-0000-0000-000035270000}"/>
    <cellStyle name="Incorreto 3" xfId="9001" xr:uid="{00000000-0005-0000-0000-000036270000}"/>
    <cellStyle name="Incorreto 3 2" xfId="9002" xr:uid="{00000000-0005-0000-0000-000037270000}"/>
    <cellStyle name="Incorreto 3 2 2" xfId="25839" xr:uid="{00000000-0005-0000-0000-000038270000}"/>
    <cellStyle name="Incorreto 3 3" xfId="9003" xr:uid="{00000000-0005-0000-0000-000039270000}"/>
    <cellStyle name="Incorreto 3 4" xfId="9004" xr:uid="{00000000-0005-0000-0000-00003A270000}"/>
    <cellStyle name="Incorreto 3 5" xfId="9005" xr:uid="{00000000-0005-0000-0000-00003B270000}"/>
    <cellStyle name="Incorreto 3 6" xfId="25838" xr:uid="{00000000-0005-0000-0000-00003C270000}"/>
    <cellStyle name="Incorreto 4" xfId="9006" xr:uid="{00000000-0005-0000-0000-00003D270000}"/>
    <cellStyle name="Incorreto 4 2" xfId="9007" xr:uid="{00000000-0005-0000-0000-00003E270000}"/>
    <cellStyle name="Incorreto 4 3" xfId="9008" xr:uid="{00000000-0005-0000-0000-00003F270000}"/>
    <cellStyle name="Incorreto 4 4" xfId="9009" xr:uid="{00000000-0005-0000-0000-000040270000}"/>
    <cellStyle name="Incorreto 4 5" xfId="9010" xr:uid="{00000000-0005-0000-0000-000041270000}"/>
    <cellStyle name="Incorreto 5" xfId="9011" xr:uid="{00000000-0005-0000-0000-000042270000}"/>
    <cellStyle name="Incorreto 5 2" xfId="25840" xr:uid="{00000000-0005-0000-0000-000043270000}"/>
    <cellStyle name="Incorreto 6" xfId="9012" xr:uid="{00000000-0005-0000-0000-000044270000}"/>
    <cellStyle name="Incorreto 7" xfId="9013" xr:uid="{00000000-0005-0000-0000-000045270000}"/>
    <cellStyle name="Indefinido" xfId="9014" xr:uid="{00000000-0005-0000-0000-000046270000}"/>
    <cellStyle name="Input" xfId="155" xr:uid="{00000000-0005-0000-0000-000047270000}"/>
    <cellStyle name="Input [yellow]" xfId="9016" xr:uid="{00000000-0005-0000-0000-000048270000}"/>
    <cellStyle name="Input 10" xfId="24628" xr:uid="{00000000-0005-0000-0000-000049270000}"/>
    <cellStyle name="Input 10 2" xfId="32637" xr:uid="{5F2B6C71-454D-47EA-9076-C39D5CD6755E}"/>
    <cellStyle name="Input 11" xfId="24989" xr:uid="{00000000-0005-0000-0000-00004A270000}"/>
    <cellStyle name="Input 12" xfId="25012" xr:uid="{00000000-0005-0000-0000-00004B270000}"/>
    <cellStyle name="Input 13" xfId="24988" xr:uid="{00000000-0005-0000-0000-00004C270000}"/>
    <cellStyle name="Input 14" xfId="25011" xr:uid="{00000000-0005-0000-0000-00004D270000}"/>
    <cellStyle name="Input 15" xfId="24990" xr:uid="{00000000-0005-0000-0000-00004E270000}"/>
    <cellStyle name="Input 16" xfId="25010" xr:uid="{00000000-0005-0000-0000-00004F270000}"/>
    <cellStyle name="Input 17" xfId="24991" xr:uid="{00000000-0005-0000-0000-000050270000}"/>
    <cellStyle name="Input 18" xfId="25009" xr:uid="{00000000-0005-0000-0000-000051270000}"/>
    <cellStyle name="Input 19" xfId="24992" xr:uid="{00000000-0005-0000-0000-000052270000}"/>
    <cellStyle name="Input 2" xfId="156" xr:uid="{00000000-0005-0000-0000-000053270000}"/>
    <cellStyle name="Input 2 2" xfId="9018" xr:uid="{00000000-0005-0000-0000-000054270000}"/>
    <cellStyle name="Input 2 2 2" xfId="24630" xr:uid="{00000000-0005-0000-0000-000055270000}"/>
    <cellStyle name="Input 2 2 2 2" xfId="32639" xr:uid="{48969B05-594A-4166-A0AA-8AD5E957F2E8}"/>
    <cellStyle name="Input 2 2 3" xfId="25842" xr:uid="{00000000-0005-0000-0000-000056270000}"/>
    <cellStyle name="Input 2 3" xfId="9017" xr:uid="{00000000-0005-0000-0000-000057270000}"/>
    <cellStyle name="Input 2 4" xfId="24629" xr:uid="{00000000-0005-0000-0000-000058270000}"/>
    <cellStyle name="Input 2 4 2" xfId="32638" xr:uid="{F1179A3E-2AD5-4CE2-9198-3C49D1F6BD77}"/>
    <cellStyle name="Input 2 5" xfId="25841" xr:uid="{00000000-0005-0000-0000-000059270000}"/>
    <cellStyle name="Input 20" xfId="25008" xr:uid="{00000000-0005-0000-0000-00005A270000}"/>
    <cellStyle name="Input 21" xfId="24993" xr:uid="{00000000-0005-0000-0000-00005B270000}"/>
    <cellStyle name="Input 22" xfId="25007" xr:uid="{00000000-0005-0000-0000-00005C270000}"/>
    <cellStyle name="Input 23" xfId="24994" xr:uid="{00000000-0005-0000-0000-00005D270000}"/>
    <cellStyle name="Input 24" xfId="25006" xr:uid="{00000000-0005-0000-0000-00005E270000}"/>
    <cellStyle name="Input 25" xfId="24995" xr:uid="{00000000-0005-0000-0000-00005F270000}"/>
    <cellStyle name="Input 26" xfId="25005" xr:uid="{00000000-0005-0000-0000-000060270000}"/>
    <cellStyle name="Input 27" xfId="24996" xr:uid="{00000000-0005-0000-0000-000061270000}"/>
    <cellStyle name="Input 28" xfId="25004" xr:uid="{00000000-0005-0000-0000-000062270000}"/>
    <cellStyle name="Input 29" xfId="24997" xr:uid="{00000000-0005-0000-0000-000063270000}"/>
    <cellStyle name="Input 3" xfId="9019" xr:uid="{00000000-0005-0000-0000-000064270000}"/>
    <cellStyle name="Input 3 2" xfId="9020" xr:uid="{00000000-0005-0000-0000-000065270000}"/>
    <cellStyle name="Input 3 2 2" xfId="24632" xr:uid="{00000000-0005-0000-0000-000066270000}"/>
    <cellStyle name="Input 3 2 2 2" xfId="32641" xr:uid="{903CE007-3726-4750-A2F5-5614FEE3A636}"/>
    <cellStyle name="Input 3 3" xfId="24631" xr:uid="{00000000-0005-0000-0000-000067270000}"/>
    <cellStyle name="Input 3 3 2" xfId="32640" xr:uid="{4AAE3EDD-E430-4F77-90FF-B1503CF66865}"/>
    <cellStyle name="Input 3 4" xfId="25843" xr:uid="{00000000-0005-0000-0000-000068270000}"/>
    <cellStyle name="Input 30" xfId="25003" xr:uid="{00000000-0005-0000-0000-000069270000}"/>
    <cellStyle name="Input 31" xfId="24998" xr:uid="{00000000-0005-0000-0000-00006A270000}"/>
    <cellStyle name="Input 32" xfId="25002" xr:uid="{00000000-0005-0000-0000-00006B270000}"/>
    <cellStyle name="Input 33" xfId="24999" xr:uid="{00000000-0005-0000-0000-00006C270000}"/>
    <cellStyle name="Input 34" xfId="25001" xr:uid="{00000000-0005-0000-0000-00006D270000}"/>
    <cellStyle name="Input 35" xfId="25000" xr:uid="{00000000-0005-0000-0000-00006E270000}"/>
    <cellStyle name="Input 4" xfId="9021" xr:uid="{00000000-0005-0000-0000-00006F270000}"/>
    <cellStyle name="Input 4 2" xfId="9022" xr:uid="{00000000-0005-0000-0000-000070270000}"/>
    <cellStyle name="Input 4 2 2" xfId="24634" xr:uid="{00000000-0005-0000-0000-000071270000}"/>
    <cellStyle name="Input 4 2 2 2" xfId="32643" xr:uid="{E1DAF0BD-7451-4D56-8548-785B4A5E1EEE}"/>
    <cellStyle name="Input 4 3" xfId="24633" xr:uid="{00000000-0005-0000-0000-000072270000}"/>
    <cellStyle name="Input 4 3 2" xfId="32642" xr:uid="{3C1A4D09-E8C5-432E-93F8-E38FD9FCB819}"/>
    <cellStyle name="Input 5" xfId="9023" xr:uid="{00000000-0005-0000-0000-000073270000}"/>
    <cellStyle name="Input 5 2" xfId="9024" xr:uid="{00000000-0005-0000-0000-000074270000}"/>
    <cellStyle name="Input 5 2 2" xfId="24636" xr:uid="{00000000-0005-0000-0000-000075270000}"/>
    <cellStyle name="Input 5 2 2 2" xfId="32645" xr:uid="{810F7DD4-4E1A-46BF-B0A8-4A914B4BD9A8}"/>
    <cellStyle name="Input 5 3" xfId="24635" xr:uid="{00000000-0005-0000-0000-000076270000}"/>
    <cellStyle name="Input 5 3 2" xfId="32644" xr:uid="{C4201B5E-2981-4995-B803-A47D8341ECF9}"/>
    <cellStyle name="Input 6" xfId="9025" xr:uid="{00000000-0005-0000-0000-000077270000}"/>
    <cellStyle name="Input 6 2" xfId="9026" xr:uid="{00000000-0005-0000-0000-000078270000}"/>
    <cellStyle name="Input 6 2 2" xfId="24638" xr:uid="{00000000-0005-0000-0000-000079270000}"/>
    <cellStyle name="Input 6 2 2 2" xfId="32647" xr:uid="{57728937-BEF0-4F02-9D30-120045E3648A}"/>
    <cellStyle name="Input 6 3" xfId="24637" xr:uid="{00000000-0005-0000-0000-00007A270000}"/>
    <cellStyle name="Input 6 3 2" xfId="32646" xr:uid="{43FB3661-CA04-46C9-993D-60A300E74A68}"/>
    <cellStyle name="Input 7" xfId="9027" xr:uid="{00000000-0005-0000-0000-00007B270000}"/>
    <cellStyle name="Input 7 2" xfId="9028" xr:uid="{00000000-0005-0000-0000-00007C270000}"/>
    <cellStyle name="Input 7 2 2" xfId="24640" xr:uid="{00000000-0005-0000-0000-00007D270000}"/>
    <cellStyle name="Input 7 2 2 2" xfId="32649" xr:uid="{297C6D58-BBD5-4430-A9F2-58E18F9A01D9}"/>
    <cellStyle name="Input 7 3" xfId="24639" xr:uid="{00000000-0005-0000-0000-00007E270000}"/>
    <cellStyle name="Input 7 3 2" xfId="32648" xr:uid="{F68B72A2-632A-4D70-9DA8-7E87A4505CAB}"/>
    <cellStyle name="Input 8" xfId="9029" xr:uid="{00000000-0005-0000-0000-00007F270000}"/>
    <cellStyle name="Input 8 2" xfId="24641" xr:uid="{00000000-0005-0000-0000-000080270000}"/>
    <cellStyle name="Input 8 2 2" xfId="32650" xr:uid="{AC076ECD-5D1D-4015-BC16-A46DED602320}"/>
    <cellStyle name="Input 9" xfId="9015" xr:uid="{00000000-0005-0000-0000-000081270000}"/>
    <cellStyle name="JR" xfId="9030" xr:uid="{00000000-0005-0000-0000-000082270000}"/>
    <cellStyle name="JR 10" xfId="9031" xr:uid="{00000000-0005-0000-0000-000083270000}"/>
    <cellStyle name="JR 11" xfId="9032" xr:uid="{00000000-0005-0000-0000-000084270000}"/>
    <cellStyle name="JR 12" xfId="9033" xr:uid="{00000000-0005-0000-0000-000085270000}"/>
    <cellStyle name="JR 2" xfId="9034" xr:uid="{00000000-0005-0000-0000-000086270000}"/>
    <cellStyle name="JR 3" xfId="9035" xr:uid="{00000000-0005-0000-0000-000087270000}"/>
    <cellStyle name="JR 4" xfId="9036" xr:uid="{00000000-0005-0000-0000-000088270000}"/>
    <cellStyle name="JR 5" xfId="9037" xr:uid="{00000000-0005-0000-0000-000089270000}"/>
    <cellStyle name="JR 6" xfId="9038" xr:uid="{00000000-0005-0000-0000-00008A270000}"/>
    <cellStyle name="JR 7" xfId="9039" xr:uid="{00000000-0005-0000-0000-00008B270000}"/>
    <cellStyle name="JR 8" xfId="9040" xr:uid="{00000000-0005-0000-0000-00008C270000}"/>
    <cellStyle name="JR 9" xfId="9041" xr:uid="{00000000-0005-0000-0000-00008D270000}"/>
    <cellStyle name="Linked Cell" xfId="157" xr:uid="{00000000-0005-0000-0000-00008E270000}"/>
    <cellStyle name="Linked Cell 2" xfId="9043" xr:uid="{00000000-0005-0000-0000-00008F270000}"/>
    <cellStyle name="Linked Cell 2 2" xfId="25845" xr:uid="{00000000-0005-0000-0000-000090270000}"/>
    <cellStyle name="Linked Cell 2 3" xfId="25844" xr:uid="{00000000-0005-0000-0000-000091270000}"/>
    <cellStyle name="Linked Cell 3" xfId="9044" xr:uid="{00000000-0005-0000-0000-000092270000}"/>
    <cellStyle name="Linked Cell 4" xfId="9042" xr:uid="{00000000-0005-0000-0000-000093270000}"/>
    <cellStyle name="MacroCode" xfId="9045" xr:uid="{00000000-0005-0000-0000-000094270000}"/>
    <cellStyle name="měny_Business Plan MCE" xfId="9046" xr:uid="{00000000-0005-0000-0000-000095270000}"/>
    <cellStyle name="Mike" xfId="9047" xr:uid="{00000000-0005-0000-0000-000096270000}"/>
    <cellStyle name="Millares_Curvas Investimento EPC28-9-04" xfId="9048" xr:uid="{00000000-0005-0000-0000-000097270000}"/>
    <cellStyle name="Milliers [0]_amortissement" xfId="9049" xr:uid="{00000000-0005-0000-0000-000098270000}"/>
    <cellStyle name="Milliers_amortissement" xfId="9050" xr:uid="{00000000-0005-0000-0000-000099270000}"/>
    <cellStyle name="Moeda 2" xfId="158" xr:uid="{00000000-0005-0000-0000-00009A270000}"/>
    <cellStyle name="Moeda 2 10" xfId="27353" xr:uid="{00000000-0005-0000-0000-00009B270000}"/>
    <cellStyle name="Moeda 2 10 2" xfId="33190" xr:uid="{3C76EA6D-0D30-41EF-B0DB-B03FEA4D99AB}"/>
    <cellStyle name="Moeda 2 11" xfId="27533" xr:uid="{00000000-0005-0000-0000-00009C270000}"/>
    <cellStyle name="Moeda 2 11 2" xfId="33345" xr:uid="{3CEDE449-DD62-4E7C-8173-1A70C7B18D11}"/>
    <cellStyle name="Moeda 2 12" xfId="27683" xr:uid="{00000000-0005-0000-0000-00009D270000}"/>
    <cellStyle name="Moeda 2 12 2" xfId="33494" xr:uid="{A8AF773D-DAAF-41B4-9FF6-C07BC7DD820A}"/>
    <cellStyle name="Moeda 2 2" xfId="159" xr:uid="{00000000-0005-0000-0000-00009E270000}"/>
    <cellStyle name="Moeda 2 2 10" xfId="27804" xr:uid="{00000000-0005-0000-0000-00009F270000}"/>
    <cellStyle name="Moeda 2 2 10 2" xfId="33615" xr:uid="{F267ACE0-24E7-49B4-9A4B-20F14514266C}"/>
    <cellStyle name="Moeda 2 2 2" xfId="9053" xr:uid="{00000000-0005-0000-0000-0000A0270000}"/>
    <cellStyle name="Moeda 2 2 3" xfId="9054" xr:uid="{00000000-0005-0000-0000-0000A1270000}"/>
    <cellStyle name="Moeda 2 2 4" xfId="9055" xr:uid="{00000000-0005-0000-0000-0000A2270000}"/>
    <cellStyle name="Moeda 2 2 5" xfId="9052" xr:uid="{00000000-0005-0000-0000-0000A3270000}"/>
    <cellStyle name="Moeda 2 2 6" xfId="27088" xr:uid="{00000000-0005-0000-0000-0000A4270000}"/>
    <cellStyle name="Moeda 2 2 6 2" xfId="32982" xr:uid="{94659C2B-8302-4B31-9462-12DCBB1D231B}"/>
    <cellStyle name="Moeda 2 2 7" xfId="27306" xr:uid="{00000000-0005-0000-0000-0000A5270000}"/>
    <cellStyle name="Moeda 2 2 7 2" xfId="33144" xr:uid="{E1697EF0-E79C-4705-AF8A-5B6FA7D025FA}"/>
    <cellStyle name="Moeda 2 2 8" xfId="27477" xr:uid="{00000000-0005-0000-0000-0000A6270000}"/>
    <cellStyle name="Moeda 2 2 8 2" xfId="33314" xr:uid="{57ADE5A6-5610-4355-B0BD-BFDE18A838B5}"/>
    <cellStyle name="Moeda 2 2 9" xfId="27647" xr:uid="{00000000-0005-0000-0000-0000A7270000}"/>
    <cellStyle name="Moeda 2 2 9 2" xfId="33458" xr:uid="{E984005C-6F54-4D65-8820-1CFE841728CE}"/>
    <cellStyle name="Moeda 2 3" xfId="9056" xr:uid="{00000000-0005-0000-0000-0000A8270000}"/>
    <cellStyle name="Moeda 2 4" xfId="9057" xr:uid="{00000000-0005-0000-0000-0000A9270000}"/>
    <cellStyle name="Moeda 2 5" xfId="9058" xr:uid="{00000000-0005-0000-0000-0000AA270000}"/>
    <cellStyle name="Moeda 2 6" xfId="9051" xr:uid="{00000000-0005-0000-0000-0000AB270000}"/>
    <cellStyle name="Moeda 2 6 2" xfId="28296" xr:uid="{E77D8AAF-9D8B-4F4A-B933-4F79D342FE5E}"/>
    <cellStyle name="Moeda 2 7" xfId="25846" xr:uid="{00000000-0005-0000-0000-0000AC270000}"/>
    <cellStyle name="Moeda 2 7 2" xfId="32924" xr:uid="{00615C91-19B8-4F3E-90DB-50A6BA254DF5}"/>
    <cellStyle name="Moeda 2 8" xfId="27173" xr:uid="{00000000-0005-0000-0000-0000AD270000}"/>
    <cellStyle name="Moeda 2 8 2" xfId="33016" xr:uid="{0AB47789-0F6F-4104-8A7D-9EF433AC9B93}"/>
    <cellStyle name="Moeda 2 9" xfId="27218" xr:uid="{00000000-0005-0000-0000-0000AE270000}"/>
    <cellStyle name="Moeda 3" xfId="160" xr:uid="{00000000-0005-0000-0000-0000AF270000}"/>
    <cellStyle name="Moeda 3 2" xfId="9060" xr:uid="{00000000-0005-0000-0000-0000B0270000}"/>
    <cellStyle name="Moeda 3 2 2" xfId="25847" xr:uid="{00000000-0005-0000-0000-0000B1270000}"/>
    <cellStyle name="Moeda 3 3" xfId="9061" xr:uid="{00000000-0005-0000-0000-0000B2270000}"/>
    <cellStyle name="Moeda 3 4" xfId="9062" xr:uid="{00000000-0005-0000-0000-0000B3270000}"/>
    <cellStyle name="Moeda 3 5" xfId="9063" xr:uid="{00000000-0005-0000-0000-0000B4270000}"/>
    <cellStyle name="Moeda 3 6" xfId="9059" xr:uid="{00000000-0005-0000-0000-0000B5270000}"/>
    <cellStyle name="Moeda 4" xfId="9064" xr:uid="{00000000-0005-0000-0000-0000B6270000}"/>
    <cellStyle name="Moeda 4 2" xfId="9065" xr:uid="{00000000-0005-0000-0000-0000B7270000}"/>
    <cellStyle name="Moeda 4 3" xfId="9066" xr:uid="{00000000-0005-0000-0000-0000B8270000}"/>
    <cellStyle name="Moeda 5" xfId="27831" xr:uid="{00000000-0005-0000-0000-0000B9270000}"/>
    <cellStyle name="Moeda 5 2" xfId="33642" xr:uid="{677561E9-5529-4E40-919D-9F6CD10CE861}"/>
    <cellStyle name="Moeda0" xfId="9067" xr:uid="{00000000-0005-0000-0000-0000BA270000}"/>
    <cellStyle name="Monétaire [0]_amortissement" xfId="9068" xr:uid="{00000000-0005-0000-0000-0000BB270000}"/>
    <cellStyle name="Monétaire_amortissement" xfId="9069" xr:uid="{00000000-0005-0000-0000-0000BC270000}"/>
    <cellStyle name="Multiple" xfId="161" xr:uid="{00000000-0005-0000-0000-0000BD270000}"/>
    <cellStyle name="Multiple [0]" xfId="9070" xr:uid="{00000000-0005-0000-0000-0000BE270000}"/>
    <cellStyle name="Multiple [1]" xfId="9071" xr:uid="{00000000-0005-0000-0000-0000BF270000}"/>
    <cellStyle name="Multiple [2]" xfId="9072" xr:uid="{00000000-0005-0000-0000-0000C0270000}"/>
    <cellStyle name="Neutra 2" xfId="9073" xr:uid="{00000000-0005-0000-0000-0000C2270000}"/>
    <cellStyle name="Neutra 2 2" xfId="9074" xr:uid="{00000000-0005-0000-0000-0000C3270000}"/>
    <cellStyle name="Neutra 2 2 2" xfId="25849" xr:uid="{00000000-0005-0000-0000-0000C4270000}"/>
    <cellStyle name="Neutra 2 3" xfId="9075" xr:uid="{00000000-0005-0000-0000-0000C5270000}"/>
    <cellStyle name="Neutra 2 4" xfId="9076" xr:uid="{00000000-0005-0000-0000-0000C6270000}"/>
    <cellStyle name="Neutra 2 5" xfId="9077" xr:uid="{00000000-0005-0000-0000-0000C7270000}"/>
    <cellStyle name="Neutra 2 6" xfId="25848" xr:uid="{00000000-0005-0000-0000-0000C8270000}"/>
    <cellStyle name="Neutra 3" xfId="9078" xr:uid="{00000000-0005-0000-0000-0000C9270000}"/>
    <cellStyle name="Neutra 3 2" xfId="9079" xr:uid="{00000000-0005-0000-0000-0000CA270000}"/>
    <cellStyle name="Neutra 3 2 2" xfId="25851" xr:uid="{00000000-0005-0000-0000-0000CB270000}"/>
    <cellStyle name="Neutra 3 3" xfId="9080" xr:uid="{00000000-0005-0000-0000-0000CC270000}"/>
    <cellStyle name="Neutra 3 4" xfId="9081" xr:uid="{00000000-0005-0000-0000-0000CD270000}"/>
    <cellStyle name="Neutra 3 5" xfId="9082" xr:uid="{00000000-0005-0000-0000-0000CE270000}"/>
    <cellStyle name="Neutra 3 6" xfId="25850" xr:uid="{00000000-0005-0000-0000-0000CF270000}"/>
    <cellStyle name="Neutra 4" xfId="9083" xr:uid="{00000000-0005-0000-0000-0000D0270000}"/>
    <cellStyle name="Neutra 4 2" xfId="9084" xr:uid="{00000000-0005-0000-0000-0000D1270000}"/>
    <cellStyle name="Neutra 4 3" xfId="9085" xr:uid="{00000000-0005-0000-0000-0000D2270000}"/>
    <cellStyle name="Neutra 4 4" xfId="9086" xr:uid="{00000000-0005-0000-0000-0000D3270000}"/>
    <cellStyle name="Neutra 4 5" xfId="9087" xr:uid="{00000000-0005-0000-0000-0000D4270000}"/>
    <cellStyle name="Neutra 5" xfId="9088" xr:uid="{00000000-0005-0000-0000-0000D5270000}"/>
    <cellStyle name="Neutra 5 2" xfId="25852" xr:uid="{00000000-0005-0000-0000-0000D6270000}"/>
    <cellStyle name="Neutra 6" xfId="9089" xr:uid="{00000000-0005-0000-0000-0000D7270000}"/>
    <cellStyle name="Neutra 7" xfId="9090" xr:uid="{00000000-0005-0000-0000-0000D8270000}"/>
    <cellStyle name="Neutral" xfId="162" xr:uid="{00000000-0005-0000-0000-0000D9270000}"/>
    <cellStyle name="Neutral 2" xfId="9092" xr:uid="{00000000-0005-0000-0000-0000DA270000}"/>
    <cellStyle name="Neutral 2 2" xfId="25854" xr:uid="{00000000-0005-0000-0000-0000DB270000}"/>
    <cellStyle name="Neutral 2 3" xfId="25853" xr:uid="{00000000-0005-0000-0000-0000DC270000}"/>
    <cellStyle name="Neutral 3" xfId="9093" xr:uid="{00000000-0005-0000-0000-0000DD270000}"/>
    <cellStyle name="Neutral 4" xfId="9091" xr:uid="{00000000-0005-0000-0000-0000DE270000}"/>
    <cellStyle name="Neutro" xfId="163" builtinId="28" customBuiltin="1"/>
    <cellStyle name="No-definido" xfId="9094" xr:uid="{00000000-0005-0000-0000-0000DF270000}"/>
    <cellStyle name="Normal" xfId="0" builtinId="0"/>
    <cellStyle name="Normal - Style1" xfId="164" xr:uid="{00000000-0005-0000-0000-0000E1270000}"/>
    <cellStyle name="Normal 10" xfId="165" xr:uid="{00000000-0005-0000-0000-0000E2270000}"/>
    <cellStyle name="Normal 10 2" xfId="166" xr:uid="{00000000-0005-0000-0000-0000E3270000}"/>
    <cellStyle name="Normal 10 2 2" xfId="167" xr:uid="{00000000-0005-0000-0000-0000E4270000}"/>
    <cellStyle name="Normal 10 2 2 2" xfId="168" xr:uid="{00000000-0005-0000-0000-0000E5270000}"/>
    <cellStyle name="Normal 10 2 2 3" xfId="9097" xr:uid="{00000000-0005-0000-0000-0000E6270000}"/>
    <cellStyle name="Normal 10 2 3" xfId="169" xr:uid="{00000000-0005-0000-0000-0000E7270000}"/>
    <cellStyle name="Normal 10 2 4" xfId="9096" xr:uid="{00000000-0005-0000-0000-0000E8270000}"/>
    <cellStyle name="Normal 10 3" xfId="170" xr:uid="{00000000-0005-0000-0000-0000E9270000}"/>
    <cellStyle name="Normal 10 3 2" xfId="171" xr:uid="{00000000-0005-0000-0000-0000EA270000}"/>
    <cellStyle name="Normal 10 4" xfId="172" xr:uid="{00000000-0005-0000-0000-0000EB270000}"/>
    <cellStyle name="Normal 10 5" xfId="173" xr:uid="{00000000-0005-0000-0000-0000EC270000}"/>
    <cellStyle name="Normal 10 6" xfId="9095" xr:uid="{00000000-0005-0000-0000-0000ED270000}"/>
    <cellStyle name="Normal 100" xfId="24527" xr:uid="{00000000-0005-0000-0000-0000EE270000}"/>
    <cellStyle name="Normal 100 2" xfId="32542" xr:uid="{4F9D4D0D-0F0C-447A-BDBF-AF26EA476E4B}"/>
    <cellStyle name="Normal 101" xfId="24974" xr:uid="{00000000-0005-0000-0000-0000EF270000}"/>
    <cellStyle name="Normal 102" xfId="25026" xr:uid="{00000000-0005-0000-0000-0000F0270000}"/>
    <cellStyle name="Normal 103" xfId="25028" xr:uid="{00000000-0005-0000-0000-0000F1270000}"/>
    <cellStyle name="Normal 104" xfId="25029" xr:uid="{00000000-0005-0000-0000-0000F2270000}"/>
    <cellStyle name="Normal 105" xfId="25030" xr:uid="{00000000-0005-0000-0000-0000F3270000}"/>
    <cellStyle name="Normal 106" xfId="25031" xr:uid="{00000000-0005-0000-0000-0000F4270000}"/>
    <cellStyle name="Normal 107" xfId="25032" xr:uid="{00000000-0005-0000-0000-0000F5270000}"/>
    <cellStyle name="Normal 108" xfId="25033" xr:uid="{00000000-0005-0000-0000-0000F6270000}"/>
    <cellStyle name="Normal 109" xfId="25034" xr:uid="{00000000-0005-0000-0000-0000F7270000}"/>
    <cellStyle name="Normal 11" xfId="174" xr:uid="{00000000-0005-0000-0000-0000F8270000}"/>
    <cellStyle name="Normal 11 2" xfId="175" xr:uid="{00000000-0005-0000-0000-0000F9270000}"/>
    <cellStyle name="Normal 11 2 2" xfId="9099" xr:uid="{00000000-0005-0000-0000-0000FA270000}"/>
    <cellStyle name="Normal 11 2 3" xfId="9100" xr:uid="{00000000-0005-0000-0000-0000FB270000}"/>
    <cellStyle name="Normal 11 3" xfId="176" xr:uid="{00000000-0005-0000-0000-0000FC270000}"/>
    <cellStyle name="Normal 11 3 2" xfId="177" xr:uid="{00000000-0005-0000-0000-0000FD270000}"/>
    <cellStyle name="Normal 11 4" xfId="178" xr:uid="{00000000-0005-0000-0000-0000FE270000}"/>
    <cellStyle name="Normal 11 5" xfId="179" xr:uid="{00000000-0005-0000-0000-0000FF270000}"/>
    <cellStyle name="Normal 11 6" xfId="180" xr:uid="{00000000-0005-0000-0000-000000280000}"/>
    <cellStyle name="Normal 11 7" xfId="181" xr:uid="{00000000-0005-0000-0000-000001280000}"/>
    <cellStyle name="Normal 11 8" xfId="182" xr:uid="{00000000-0005-0000-0000-000002280000}"/>
    <cellStyle name="Normal 11 9" xfId="9098" xr:uid="{00000000-0005-0000-0000-000003280000}"/>
    <cellStyle name="Normal 110" xfId="25035" xr:uid="{00000000-0005-0000-0000-000004280000}"/>
    <cellStyle name="Normal 111" xfId="25036" xr:uid="{00000000-0005-0000-0000-000005280000}"/>
    <cellStyle name="Normal 112" xfId="25037" xr:uid="{00000000-0005-0000-0000-000006280000}"/>
    <cellStyle name="Normal 113" xfId="25038" xr:uid="{00000000-0005-0000-0000-000007280000}"/>
    <cellStyle name="Normal 114" xfId="25039" xr:uid="{00000000-0005-0000-0000-000008280000}"/>
    <cellStyle name="Normal 115" xfId="25040" xr:uid="{00000000-0005-0000-0000-000009280000}"/>
    <cellStyle name="Normal 116" xfId="25041" xr:uid="{00000000-0005-0000-0000-00000A280000}"/>
    <cellStyle name="Normal 117" xfId="25042" xr:uid="{00000000-0005-0000-0000-00000B280000}"/>
    <cellStyle name="Normal 118" xfId="25043" xr:uid="{00000000-0005-0000-0000-00000C280000}"/>
    <cellStyle name="Normal 119" xfId="25044" xr:uid="{00000000-0005-0000-0000-00000D280000}"/>
    <cellStyle name="Normal 12" xfId="183" xr:uid="{00000000-0005-0000-0000-00000E280000}"/>
    <cellStyle name="Normal 12 2" xfId="184" xr:uid="{00000000-0005-0000-0000-00000F280000}"/>
    <cellStyle name="Normal 12 2 2" xfId="185" xr:uid="{00000000-0005-0000-0000-000010280000}"/>
    <cellStyle name="Normal 12 3" xfId="186" xr:uid="{00000000-0005-0000-0000-000011280000}"/>
    <cellStyle name="Normal 12 3 2" xfId="9102" xr:uid="{00000000-0005-0000-0000-000012280000}"/>
    <cellStyle name="Normal 12 4" xfId="9103" xr:uid="{00000000-0005-0000-0000-000013280000}"/>
    <cellStyle name="Normal 12 5" xfId="9101" xr:uid="{00000000-0005-0000-0000-000014280000}"/>
    <cellStyle name="Normal 12 8" xfId="9104" xr:uid="{00000000-0005-0000-0000-000015280000}"/>
    <cellStyle name="Normal 120" xfId="25045" xr:uid="{00000000-0005-0000-0000-000016280000}"/>
    <cellStyle name="Normal 121" xfId="25046" xr:uid="{00000000-0005-0000-0000-000017280000}"/>
    <cellStyle name="Normal 122" xfId="25047" xr:uid="{00000000-0005-0000-0000-000018280000}"/>
    <cellStyle name="Normal 123" xfId="25048" xr:uid="{00000000-0005-0000-0000-000019280000}"/>
    <cellStyle name="Normal 124" xfId="25049" xr:uid="{00000000-0005-0000-0000-00001A280000}"/>
    <cellStyle name="Normal 125" xfId="25050" xr:uid="{00000000-0005-0000-0000-00001B280000}"/>
    <cellStyle name="Normal 126" xfId="25051" xr:uid="{00000000-0005-0000-0000-00001C280000}"/>
    <cellStyle name="Normal 126 2" xfId="32923" xr:uid="{88E67DC0-7603-408F-9A37-9E962DD20510}"/>
    <cellStyle name="Normal 127" xfId="27149" xr:uid="{00000000-0005-0000-0000-00001D280000}"/>
    <cellStyle name="Normal 127 2" xfId="33001" xr:uid="{14CD8E7E-555E-4A58-A683-BA7546650DCA}"/>
    <cellStyle name="Normal 128" xfId="27150" xr:uid="{00000000-0005-0000-0000-00001E280000}"/>
    <cellStyle name="Normal 128 2" xfId="33002" xr:uid="{AB724881-AFCF-420A-AC07-65E99FB83B4C}"/>
    <cellStyle name="Normal 129" xfId="27151" xr:uid="{00000000-0005-0000-0000-00001F280000}"/>
    <cellStyle name="Normal 13" xfId="187" xr:uid="{00000000-0005-0000-0000-000020280000}"/>
    <cellStyle name="Normal 13 2" xfId="188" xr:uid="{00000000-0005-0000-0000-000021280000}"/>
    <cellStyle name="Normal 13 2 2" xfId="189" xr:uid="{00000000-0005-0000-0000-000022280000}"/>
    <cellStyle name="Normal 13 2 3" xfId="9105" xr:uid="{00000000-0005-0000-0000-000023280000}"/>
    <cellStyle name="Normal 13 2 4" xfId="26109" xr:uid="{00000000-0005-0000-0000-000024280000}"/>
    <cellStyle name="Normal 13 3" xfId="190" xr:uid="{00000000-0005-0000-0000-000025280000}"/>
    <cellStyle name="Normal 13 4" xfId="9106" xr:uid="{00000000-0005-0000-0000-000026280000}"/>
    <cellStyle name="Normal 13 5" xfId="9107" xr:uid="{00000000-0005-0000-0000-000027280000}"/>
    <cellStyle name="Normal 13 6" xfId="9108" xr:uid="{00000000-0005-0000-0000-000028280000}"/>
    <cellStyle name="Normal 13 7" xfId="9109" xr:uid="{00000000-0005-0000-0000-000029280000}"/>
    <cellStyle name="Normal 130" xfId="27285" xr:uid="{00000000-0005-0000-0000-00002A280000}"/>
    <cellStyle name="Normal 131" xfId="27289" xr:uid="{00000000-0005-0000-0000-00002B280000}"/>
    <cellStyle name="Normal 132" xfId="27152" xr:uid="{00000000-0005-0000-0000-00002C280000}"/>
    <cellStyle name="Normal 133" xfId="27165" xr:uid="{00000000-0005-0000-0000-00002D280000}"/>
    <cellStyle name="Normal 134" xfId="27172" xr:uid="{00000000-0005-0000-0000-00002E280000}"/>
    <cellStyle name="Normal 135" xfId="27155" xr:uid="{00000000-0005-0000-0000-00002F280000}"/>
    <cellStyle name="Normal 136" xfId="27154" xr:uid="{00000000-0005-0000-0000-000030280000}"/>
    <cellStyle name="Normal 137" xfId="27307" xr:uid="{00000000-0005-0000-0000-000031280000}"/>
    <cellStyle name="Normal 138" xfId="27171" xr:uid="{00000000-0005-0000-0000-000032280000}"/>
    <cellStyle name="Normal 139" xfId="27174" xr:uid="{00000000-0005-0000-0000-000033280000}"/>
    <cellStyle name="Normal 14" xfId="191" xr:uid="{00000000-0005-0000-0000-000034280000}"/>
    <cellStyle name="Normal 14 2" xfId="9111" xr:uid="{00000000-0005-0000-0000-000035280000}"/>
    <cellStyle name="Normal 14 2 2" xfId="9112" xr:uid="{00000000-0005-0000-0000-000036280000}"/>
    <cellStyle name="Normal 14 2 3" xfId="9113" xr:uid="{00000000-0005-0000-0000-000037280000}"/>
    <cellStyle name="Normal 14 3" xfId="9114" xr:uid="{00000000-0005-0000-0000-000038280000}"/>
    <cellStyle name="Normal 14 4" xfId="9115" xr:uid="{00000000-0005-0000-0000-000039280000}"/>
    <cellStyle name="Normal 14 5" xfId="9110" xr:uid="{00000000-0005-0000-0000-00003A280000}"/>
    <cellStyle name="Normal 140" xfId="27170" xr:uid="{00000000-0005-0000-0000-00003B280000}"/>
    <cellStyle name="Normal 141" xfId="27166" xr:uid="{00000000-0005-0000-0000-00003C280000}"/>
    <cellStyle name="Normal 142" xfId="27340" xr:uid="{00000000-0005-0000-0000-00003D280000}"/>
    <cellStyle name="Normal 142 2" xfId="33177" xr:uid="{000E85A9-E26D-4573-B024-02E5BFA2CBCD}"/>
    <cellStyle name="Normal 143" xfId="27464" xr:uid="{00000000-0005-0000-0000-00003E280000}"/>
    <cellStyle name="Normal 143 2" xfId="33301" xr:uid="{86F8C44B-778F-44B6-BC70-690E41917491}"/>
    <cellStyle name="Normal 144" xfId="27472" xr:uid="{00000000-0005-0000-0000-00003F280000}"/>
    <cellStyle name="Normal 144 2" xfId="33309" xr:uid="{FECCE552-D3FD-4E8F-B4AA-8284468C79FA}"/>
    <cellStyle name="Normal 145" xfId="27343" xr:uid="{00000000-0005-0000-0000-000040280000}"/>
    <cellStyle name="Normal 145 2" xfId="33180" xr:uid="{A05172D7-0141-4C68-82D1-1471A8D48E74}"/>
    <cellStyle name="Normal 146" xfId="27354" xr:uid="{00000000-0005-0000-0000-000041280000}"/>
    <cellStyle name="Normal 146 2" xfId="33191" xr:uid="{03FFF40A-4AF9-4123-91C6-E681AB5B2D41}"/>
    <cellStyle name="Normal 147" xfId="27349" xr:uid="{00000000-0005-0000-0000-000042280000}"/>
    <cellStyle name="Normal 147 2" xfId="33186" xr:uid="{393B4F53-1337-4F58-AA39-8A522AF72065}"/>
    <cellStyle name="Normal 148" xfId="27351" xr:uid="{00000000-0005-0000-0000-000043280000}"/>
    <cellStyle name="Normal 148 2" xfId="33188" xr:uid="{7C3AE245-B9D1-4352-BB4D-905D9E8DEA49}"/>
    <cellStyle name="Normal 149" xfId="27350" xr:uid="{00000000-0005-0000-0000-000044280000}"/>
    <cellStyle name="Normal 149 2" xfId="33187" xr:uid="{BF1CE4BD-1260-4C65-8496-B0D44C35172C}"/>
    <cellStyle name="Normal 15" xfId="192" xr:uid="{00000000-0005-0000-0000-000045280000}"/>
    <cellStyle name="Normal 15 2" xfId="193" xr:uid="{00000000-0005-0000-0000-000046280000}"/>
    <cellStyle name="Normal 15 2 2" xfId="9118" xr:uid="{00000000-0005-0000-0000-000047280000}"/>
    <cellStyle name="Normal 15 2 2 2" xfId="9119" xr:uid="{00000000-0005-0000-0000-000048280000}"/>
    <cellStyle name="Normal 15 2 2 2 2" xfId="9120" xr:uid="{00000000-0005-0000-0000-000049280000}"/>
    <cellStyle name="Normal 15 2 2 2 2 2" xfId="9121" xr:uid="{00000000-0005-0000-0000-00004A280000}"/>
    <cellStyle name="Normal 15 2 2 2 2 3" xfId="9122" xr:uid="{00000000-0005-0000-0000-00004B280000}"/>
    <cellStyle name="Normal 15 2 2 2 3" xfId="9123" xr:uid="{00000000-0005-0000-0000-00004C280000}"/>
    <cellStyle name="Normal 15 2 2 2 4" xfId="9124" xr:uid="{00000000-0005-0000-0000-00004D280000}"/>
    <cellStyle name="Normal 15 2 2 3" xfId="9125" xr:uid="{00000000-0005-0000-0000-00004E280000}"/>
    <cellStyle name="Normal 15 2 2 3 2" xfId="9126" xr:uid="{00000000-0005-0000-0000-00004F280000}"/>
    <cellStyle name="Normal 15 2 2 3 2 2" xfId="9127" xr:uid="{00000000-0005-0000-0000-000050280000}"/>
    <cellStyle name="Normal 15 2 2 3 2 3" xfId="9128" xr:uid="{00000000-0005-0000-0000-000051280000}"/>
    <cellStyle name="Normal 15 2 2 3 3" xfId="9129" xr:uid="{00000000-0005-0000-0000-000052280000}"/>
    <cellStyle name="Normal 15 2 2 3 4" xfId="9130" xr:uid="{00000000-0005-0000-0000-000053280000}"/>
    <cellStyle name="Normal 15 2 2 4" xfId="9131" xr:uid="{00000000-0005-0000-0000-000054280000}"/>
    <cellStyle name="Normal 15 2 2 5" xfId="9132" xr:uid="{00000000-0005-0000-0000-000055280000}"/>
    <cellStyle name="Normal 15 2 3" xfId="9133" xr:uid="{00000000-0005-0000-0000-000056280000}"/>
    <cellStyle name="Normal 15 2 4" xfId="9134" xr:uid="{00000000-0005-0000-0000-000057280000}"/>
    <cellStyle name="Normal 15 2 5" xfId="9117" xr:uid="{00000000-0005-0000-0000-000058280000}"/>
    <cellStyle name="Normal 15 3" xfId="194" xr:uid="{00000000-0005-0000-0000-000059280000}"/>
    <cellStyle name="Normal 15 3 2" xfId="9136" xr:uid="{00000000-0005-0000-0000-00005A280000}"/>
    <cellStyle name="Normal 15 3 3" xfId="9137" xr:uid="{00000000-0005-0000-0000-00005B280000}"/>
    <cellStyle name="Normal 15 3 4" xfId="9135" xr:uid="{00000000-0005-0000-0000-00005C280000}"/>
    <cellStyle name="Normal 15 4" xfId="9138" xr:uid="{00000000-0005-0000-0000-00005D280000}"/>
    <cellStyle name="Normal 15 5" xfId="9139" xr:uid="{00000000-0005-0000-0000-00005E280000}"/>
    <cellStyle name="Normal 15 6" xfId="9116" xr:uid="{00000000-0005-0000-0000-00005F280000}"/>
    <cellStyle name="Normal 150" xfId="27467" xr:uid="{00000000-0005-0000-0000-000060280000}"/>
    <cellStyle name="Normal 150 2" xfId="33304" xr:uid="{CE94D698-3C6B-4BD4-82DE-D52435D2AFEB}"/>
    <cellStyle name="Normal 151" xfId="27355" xr:uid="{00000000-0005-0000-0000-000061280000}"/>
    <cellStyle name="Normal 151 2" xfId="33192" xr:uid="{698728A7-048E-4343-A7C6-1591C4194EB4}"/>
    <cellStyle name="Normal 152" xfId="27529" xr:uid="{00000000-0005-0000-0000-000062280000}"/>
    <cellStyle name="Normal 153" xfId="27643" xr:uid="{00000000-0005-0000-0000-000063280000}"/>
    <cellStyle name="Normal 154" xfId="27530" xr:uid="{00000000-0005-0000-0000-000064280000}"/>
    <cellStyle name="Normal 155" xfId="27532" xr:uid="{00000000-0005-0000-0000-000065280000}"/>
    <cellStyle name="Normal 156" xfId="27673" xr:uid="{00000000-0005-0000-0000-000066280000}"/>
    <cellStyle name="Normal 156 2" xfId="33484" xr:uid="{979FAE72-B008-411C-B5DC-B81E121E6554}"/>
    <cellStyle name="Normal 157" xfId="27794" xr:uid="{00000000-0005-0000-0000-000067280000}"/>
    <cellStyle name="Normal 157 2" xfId="33605" xr:uid="{E7B2BD1B-F497-4E48-B18A-A5F0A9878D4F}"/>
    <cellStyle name="Normal 158" xfId="27799" xr:uid="{00000000-0005-0000-0000-000068280000}"/>
    <cellStyle name="Normal 158 2" xfId="33610" xr:uid="{5B03F2C0-A781-46EE-9D13-1CCD1D9DD6D3}"/>
    <cellStyle name="Normal 159" xfId="27797" xr:uid="{00000000-0005-0000-0000-000069280000}"/>
    <cellStyle name="Normal 159 2" xfId="33608" xr:uid="{71415E13-08BA-46F8-8B07-11340F806A97}"/>
    <cellStyle name="Normal 16" xfId="195" xr:uid="{00000000-0005-0000-0000-00006A280000}"/>
    <cellStyle name="Normal 16 2" xfId="9140" xr:uid="{00000000-0005-0000-0000-00006B280000}"/>
    <cellStyle name="Normal 16 2 2" xfId="9141" xr:uid="{00000000-0005-0000-0000-00006C280000}"/>
    <cellStyle name="Normal 16 3" xfId="9142" xr:uid="{00000000-0005-0000-0000-00006D280000}"/>
    <cellStyle name="Normal 16 3 2" xfId="9143" xr:uid="{00000000-0005-0000-0000-00006E280000}"/>
    <cellStyle name="Normal 16 3 3" xfId="9144" xr:uid="{00000000-0005-0000-0000-00006F280000}"/>
    <cellStyle name="Normal 16 4" xfId="9145" xr:uid="{00000000-0005-0000-0000-000070280000}"/>
    <cellStyle name="Normal 160" xfId="27676" xr:uid="{00000000-0005-0000-0000-000071280000}"/>
    <cellStyle name="Normal 160 2" xfId="33487" xr:uid="{06955783-06F5-4A34-B859-98CCFF1E3263}"/>
    <cellStyle name="Normal 161" xfId="27675" xr:uid="{00000000-0005-0000-0000-000072280000}"/>
    <cellStyle name="Normal 161 2" xfId="33486" xr:uid="{1272614B-EF3E-4C71-A3ED-7E255B7DB7C2}"/>
    <cellStyle name="Normal 162" xfId="27798" xr:uid="{00000000-0005-0000-0000-000073280000}"/>
    <cellStyle name="Normal 162 2" xfId="33609" xr:uid="{F8A54E59-62E9-4F15-B599-A7C74D14A40B}"/>
    <cellStyle name="Normal 163" xfId="27682" xr:uid="{00000000-0005-0000-0000-000074280000}"/>
    <cellStyle name="Normal 163 2" xfId="33493" xr:uid="{68363DE9-7D5C-43C2-B20E-7F6EA26B586F}"/>
    <cellStyle name="Normal 164" xfId="27801" xr:uid="{00000000-0005-0000-0000-000075280000}"/>
    <cellStyle name="Normal 164 2" xfId="33612" xr:uid="{A0FC4F88-C4FE-498A-94FE-4B8C4BACD5F7}"/>
    <cellStyle name="Normal 165" xfId="27680" xr:uid="{00000000-0005-0000-0000-000076280000}"/>
    <cellStyle name="Normal 165 2" xfId="33491" xr:uid="{1B2C2ED7-1801-46AD-9EB8-38705E3F4238}"/>
    <cellStyle name="Normal 166" xfId="27679" xr:uid="{00000000-0005-0000-0000-000077280000}"/>
    <cellStyle name="Normal 166 2" xfId="33490" xr:uid="{B6CF1B07-FC23-4F3A-873A-7E69DB04CD1F}"/>
    <cellStyle name="Normal 17" xfId="196" xr:uid="{00000000-0005-0000-0000-000078280000}"/>
    <cellStyle name="Normal 17 2" xfId="9147" xr:uid="{00000000-0005-0000-0000-000079280000}"/>
    <cellStyle name="Normal 17 2 2" xfId="9148" xr:uid="{00000000-0005-0000-0000-00007A280000}"/>
    <cellStyle name="Normal 17 2 3" xfId="9149" xr:uid="{00000000-0005-0000-0000-00007B280000}"/>
    <cellStyle name="Normal 17 3" xfId="9150" xr:uid="{00000000-0005-0000-0000-00007C280000}"/>
    <cellStyle name="Normal 17 4" xfId="9151" xr:uid="{00000000-0005-0000-0000-00007D280000}"/>
    <cellStyle name="Normal 17 5" xfId="9152" xr:uid="{00000000-0005-0000-0000-00007E280000}"/>
    <cellStyle name="Normal 17 6" xfId="9146" xr:uid="{00000000-0005-0000-0000-00007F280000}"/>
    <cellStyle name="Normal 17 7" xfId="26110" xr:uid="{00000000-0005-0000-0000-000080280000}"/>
    <cellStyle name="Normal 18" xfId="197" xr:uid="{00000000-0005-0000-0000-000081280000}"/>
    <cellStyle name="Normal 18 2" xfId="198" xr:uid="{00000000-0005-0000-0000-000082280000}"/>
    <cellStyle name="Normal 18 2 2" xfId="9155" xr:uid="{00000000-0005-0000-0000-000083280000}"/>
    <cellStyle name="Normal 18 2 3" xfId="9156" xr:uid="{00000000-0005-0000-0000-000084280000}"/>
    <cellStyle name="Normal 18 2 4" xfId="9154" xr:uid="{00000000-0005-0000-0000-000085280000}"/>
    <cellStyle name="Normal 18 3" xfId="9157" xr:uid="{00000000-0005-0000-0000-000086280000}"/>
    <cellStyle name="Normal 18 3 2" xfId="9158" xr:uid="{00000000-0005-0000-0000-000087280000}"/>
    <cellStyle name="Normal 18 3 2 2" xfId="9159" xr:uid="{00000000-0005-0000-0000-000088280000}"/>
    <cellStyle name="Normal 18 3 2 3" xfId="9160" xr:uid="{00000000-0005-0000-0000-000089280000}"/>
    <cellStyle name="Normal 18 3 3" xfId="9161" xr:uid="{00000000-0005-0000-0000-00008A280000}"/>
    <cellStyle name="Normal 18 3 3 2" xfId="9162" xr:uid="{00000000-0005-0000-0000-00008B280000}"/>
    <cellStyle name="Normal 18 3 3 2 2" xfId="9163" xr:uid="{00000000-0005-0000-0000-00008C280000}"/>
    <cellStyle name="Normal 18 3 3 2 2 2" xfId="9164" xr:uid="{00000000-0005-0000-0000-00008D280000}"/>
    <cellStyle name="Normal 18 3 3 2 3" xfId="9165" xr:uid="{00000000-0005-0000-0000-00008E280000}"/>
    <cellStyle name="Normal 18 3 3 3" xfId="9166" xr:uid="{00000000-0005-0000-0000-00008F280000}"/>
    <cellStyle name="Normal 18 3 3 3 2" xfId="9167" xr:uid="{00000000-0005-0000-0000-000090280000}"/>
    <cellStyle name="Normal 18 3 3 3 3" xfId="9168" xr:uid="{00000000-0005-0000-0000-000091280000}"/>
    <cellStyle name="Normal 18 3 3 3 4" xfId="9169" xr:uid="{00000000-0005-0000-0000-000092280000}"/>
    <cellStyle name="Normal 18 3 3 3 4 2" xfId="9170" xr:uid="{00000000-0005-0000-0000-000093280000}"/>
    <cellStyle name="Normal 18 3 3 3 5" xfId="9171" xr:uid="{00000000-0005-0000-0000-000094280000}"/>
    <cellStyle name="Normal 18 3 3 3 6" xfId="9172" xr:uid="{00000000-0005-0000-0000-000095280000}"/>
    <cellStyle name="Normal 18 3 3 3 7" xfId="9173" xr:uid="{00000000-0005-0000-0000-000096280000}"/>
    <cellStyle name="Normal 18 3 4" xfId="9174" xr:uid="{00000000-0005-0000-0000-000097280000}"/>
    <cellStyle name="Normal 18 3 5" xfId="9175" xr:uid="{00000000-0005-0000-0000-000098280000}"/>
    <cellStyle name="Normal 18 4" xfId="9176" xr:uid="{00000000-0005-0000-0000-000099280000}"/>
    <cellStyle name="Normal 18 5" xfId="9177" xr:uid="{00000000-0005-0000-0000-00009A280000}"/>
    <cellStyle name="Normal 18 6" xfId="9153" xr:uid="{00000000-0005-0000-0000-00009B280000}"/>
    <cellStyle name="Normal 19" xfId="199" xr:uid="{00000000-0005-0000-0000-00009C280000}"/>
    <cellStyle name="Normal 19 2" xfId="200" xr:uid="{00000000-0005-0000-0000-00009D280000}"/>
    <cellStyle name="Normal 19 2 2" xfId="9180" xr:uid="{00000000-0005-0000-0000-00009E280000}"/>
    <cellStyle name="Normal 19 2 2 2" xfId="9181" xr:uid="{00000000-0005-0000-0000-00009F280000}"/>
    <cellStyle name="Normal 19 2 2 3" xfId="9182" xr:uid="{00000000-0005-0000-0000-0000A0280000}"/>
    <cellStyle name="Normal 19 2 3" xfId="9183" xr:uid="{00000000-0005-0000-0000-0000A1280000}"/>
    <cellStyle name="Normal 19 2 4" xfId="9184" xr:uid="{00000000-0005-0000-0000-0000A2280000}"/>
    <cellStyle name="Normal 19 2 5" xfId="9185" xr:uid="{00000000-0005-0000-0000-0000A3280000}"/>
    <cellStyle name="Normal 19 2 6" xfId="9179" xr:uid="{00000000-0005-0000-0000-0000A4280000}"/>
    <cellStyle name="Normal 19 3" xfId="9186" xr:uid="{00000000-0005-0000-0000-0000A5280000}"/>
    <cellStyle name="Normal 19 4" xfId="9178" xr:uid="{00000000-0005-0000-0000-0000A6280000}"/>
    <cellStyle name="Normal 2" xfId="201" xr:uid="{00000000-0005-0000-0000-0000A7280000}"/>
    <cellStyle name="Normal 2 10" xfId="9187" xr:uid="{00000000-0005-0000-0000-0000A8280000}"/>
    <cellStyle name="Normal 2 10 2" xfId="9188" xr:uid="{00000000-0005-0000-0000-0000A9280000}"/>
    <cellStyle name="Normal 2 10 3" xfId="9189" xr:uid="{00000000-0005-0000-0000-0000AA280000}"/>
    <cellStyle name="Normal 2 10 4" xfId="9190" xr:uid="{00000000-0005-0000-0000-0000AB280000}"/>
    <cellStyle name="Normal 2 10 5" xfId="9191" xr:uid="{00000000-0005-0000-0000-0000AC280000}"/>
    <cellStyle name="Normal 2 10 5 2" xfId="9192" xr:uid="{00000000-0005-0000-0000-0000AD280000}"/>
    <cellStyle name="Normal 2 10 6" xfId="9193" xr:uid="{00000000-0005-0000-0000-0000AE280000}"/>
    <cellStyle name="Normal 2 10 6 2" xfId="9194" xr:uid="{00000000-0005-0000-0000-0000AF280000}"/>
    <cellStyle name="Normal 2 10 7" xfId="9195" xr:uid="{00000000-0005-0000-0000-0000B0280000}"/>
    <cellStyle name="Normal 2 10 7 2" xfId="9196" xr:uid="{00000000-0005-0000-0000-0000B1280000}"/>
    <cellStyle name="Normal 2 10 8" xfId="9197" xr:uid="{00000000-0005-0000-0000-0000B2280000}"/>
    <cellStyle name="Normal 2 10 8 2" xfId="9198" xr:uid="{00000000-0005-0000-0000-0000B3280000}"/>
    <cellStyle name="Normal 2 10 9" xfId="9199" xr:uid="{00000000-0005-0000-0000-0000B4280000}"/>
    <cellStyle name="Normal 2 100" xfId="9200" xr:uid="{00000000-0005-0000-0000-0000B5280000}"/>
    <cellStyle name="Normal 2 101" xfId="9201" xr:uid="{00000000-0005-0000-0000-0000B6280000}"/>
    <cellStyle name="Normal 2 102" xfId="9202" xr:uid="{00000000-0005-0000-0000-0000B7280000}"/>
    <cellStyle name="Normal 2 103" xfId="9203" xr:uid="{00000000-0005-0000-0000-0000B8280000}"/>
    <cellStyle name="Normal 2 104" xfId="9204" xr:uid="{00000000-0005-0000-0000-0000B9280000}"/>
    <cellStyle name="Normal 2 105" xfId="9205" xr:uid="{00000000-0005-0000-0000-0000BA280000}"/>
    <cellStyle name="Normal 2 106" xfId="9206" xr:uid="{00000000-0005-0000-0000-0000BB280000}"/>
    <cellStyle name="Normal 2 107" xfId="9207" xr:uid="{00000000-0005-0000-0000-0000BC280000}"/>
    <cellStyle name="Normal 2 108" xfId="9208" xr:uid="{00000000-0005-0000-0000-0000BD280000}"/>
    <cellStyle name="Normal 2 109" xfId="9209" xr:uid="{00000000-0005-0000-0000-0000BE280000}"/>
    <cellStyle name="Normal 2 11" xfId="9210" xr:uid="{00000000-0005-0000-0000-0000BF280000}"/>
    <cellStyle name="Normal 2 11 2" xfId="9211" xr:uid="{00000000-0005-0000-0000-0000C0280000}"/>
    <cellStyle name="Normal 2 110" xfId="9212" xr:uid="{00000000-0005-0000-0000-0000C1280000}"/>
    <cellStyle name="Normal 2 111" xfId="9213" xr:uid="{00000000-0005-0000-0000-0000C2280000}"/>
    <cellStyle name="Normal 2 112" xfId="9214" xr:uid="{00000000-0005-0000-0000-0000C3280000}"/>
    <cellStyle name="Normal 2 113" xfId="9215" xr:uid="{00000000-0005-0000-0000-0000C4280000}"/>
    <cellStyle name="Normal 2 114" xfId="9216" xr:uid="{00000000-0005-0000-0000-0000C5280000}"/>
    <cellStyle name="Normal 2 115" xfId="9217" xr:uid="{00000000-0005-0000-0000-0000C6280000}"/>
    <cellStyle name="Normal 2 116" xfId="9218" xr:uid="{00000000-0005-0000-0000-0000C7280000}"/>
    <cellStyle name="Normal 2 117" xfId="9219" xr:uid="{00000000-0005-0000-0000-0000C8280000}"/>
    <cellStyle name="Normal 2 118" xfId="9220" xr:uid="{00000000-0005-0000-0000-0000C9280000}"/>
    <cellStyle name="Normal 2 119" xfId="9221" xr:uid="{00000000-0005-0000-0000-0000CA280000}"/>
    <cellStyle name="Normal 2 12" xfId="9222" xr:uid="{00000000-0005-0000-0000-0000CB280000}"/>
    <cellStyle name="Normal 2 12 2" xfId="9223" xr:uid="{00000000-0005-0000-0000-0000CC280000}"/>
    <cellStyle name="Normal 2 12 2 2" xfId="9224" xr:uid="{00000000-0005-0000-0000-0000CD280000}"/>
    <cellStyle name="Normal 2 12 3" xfId="9225" xr:uid="{00000000-0005-0000-0000-0000CE280000}"/>
    <cellStyle name="Normal 2 12 3 2" xfId="9226" xr:uid="{00000000-0005-0000-0000-0000CF280000}"/>
    <cellStyle name="Normal 2 12 4" xfId="9227" xr:uid="{00000000-0005-0000-0000-0000D0280000}"/>
    <cellStyle name="Normal 2 12 4 2" xfId="9228" xr:uid="{00000000-0005-0000-0000-0000D1280000}"/>
    <cellStyle name="Normal 2 12 5" xfId="9229" xr:uid="{00000000-0005-0000-0000-0000D2280000}"/>
    <cellStyle name="Normal 2 12 5 2" xfId="9230" xr:uid="{00000000-0005-0000-0000-0000D3280000}"/>
    <cellStyle name="Normal 2 12 6" xfId="9231" xr:uid="{00000000-0005-0000-0000-0000D4280000}"/>
    <cellStyle name="Normal 2 120" xfId="9232" xr:uid="{00000000-0005-0000-0000-0000D5280000}"/>
    <cellStyle name="Normal 2 121" xfId="9233" xr:uid="{00000000-0005-0000-0000-0000D6280000}"/>
    <cellStyle name="Normal 2 122" xfId="9234" xr:uid="{00000000-0005-0000-0000-0000D7280000}"/>
    <cellStyle name="Normal 2 123" xfId="9235" xr:uid="{00000000-0005-0000-0000-0000D8280000}"/>
    <cellStyle name="Normal 2 124" xfId="9236" xr:uid="{00000000-0005-0000-0000-0000D9280000}"/>
    <cellStyle name="Normal 2 125" xfId="9237" xr:uid="{00000000-0005-0000-0000-0000DA280000}"/>
    <cellStyle name="Normal 2 126" xfId="25855" xr:uid="{00000000-0005-0000-0000-0000DB280000}"/>
    <cellStyle name="Normal 2 13" xfId="9238" xr:uid="{00000000-0005-0000-0000-0000DC280000}"/>
    <cellStyle name="Normal 2 13 2" xfId="9239" xr:uid="{00000000-0005-0000-0000-0000DD280000}"/>
    <cellStyle name="Normal 2 13 2 2" xfId="9240" xr:uid="{00000000-0005-0000-0000-0000DE280000}"/>
    <cellStyle name="Normal 2 13 3" xfId="9241" xr:uid="{00000000-0005-0000-0000-0000DF280000}"/>
    <cellStyle name="Normal 2 13 3 2" xfId="9242" xr:uid="{00000000-0005-0000-0000-0000E0280000}"/>
    <cellStyle name="Normal 2 13 4" xfId="9243" xr:uid="{00000000-0005-0000-0000-0000E1280000}"/>
    <cellStyle name="Normal 2 13 4 2" xfId="9244" xr:uid="{00000000-0005-0000-0000-0000E2280000}"/>
    <cellStyle name="Normal 2 13 5" xfId="9245" xr:uid="{00000000-0005-0000-0000-0000E3280000}"/>
    <cellStyle name="Normal 2 13 5 2" xfId="9246" xr:uid="{00000000-0005-0000-0000-0000E4280000}"/>
    <cellStyle name="Normal 2 13 6" xfId="9247" xr:uid="{00000000-0005-0000-0000-0000E5280000}"/>
    <cellStyle name="Normal 2 14" xfId="9248" xr:uid="{00000000-0005-0000-0000-0000E6280000}"/>
    <cellStyle name="Normal 2 14 2" xfId="9249" xr:uid="{00000000-0005-0000-0000-0000E7280000}"/>
    <cellStyle name="Normal 2 15" xfId="9250" xr:uid="{00000000-0005-0000-0000-0000E8280000}"/>
    <cellStyle name="Normal 2 15 2" xfId="9251" xr:uid="{00000000-0005-0000-0000-0000E9280000}"/>
    <cellStyle name="Normal 2 15 3" xfId="9252" xr:uid="{00000000-0005-0000-0000-0000EA280000}"/>
    <cellStyle name="Normal 2 15 4" xfId="9253" xr:uid="{00000000-0005-0000-0000-0000EB280000}"/>
    <cellStyle name="Normal 2 15 5" xfId="9254" xr:uid="{00000000-0005-0000-0000-0000EC280000}"/>
    <cellStyle name="Normal 2 15 6" xfId="9255" xr:uid="{00000000-0005-0000-0000-0000ED280000}"/>
    <cellStyle name="Normal 2 15 7" xfId="9256" xr:uid="{00000000-0005-0000-0000-0000EE280000}"/>
    <cellStyle name="Normal 2 15 8" xfId="9257" xr:uid="{00000000-0005-0000-0000-0000EF280000}"/>
    <cellStyle name="Normal 2 16" xfId="9258" xr:uid="{00000000-0005-0000-0000-0000F0280000}"/>
    <cellStyle name="Normal 2 17" xfId="9259" xr:uid="{00000000-0005-0000-0000-0000F1280000}"/>
    <cellStyle name="Normal 2 18" xfId="9260" xr:uid="{00000000-0005-0000-0000-0000F2280000}"/>
    <cellStyle name="Normal 2 19" xfId="9261" xr:uid="{00000000-0005-0000-0000-0000F3280000}"/>
    <cellStyle name="Normal 2 2" xfId="202" xr:uid="{00000000-0005-0000-0000-0000F4280000}"/>
    <cellStyle name="Normal 2 2 10" xfId="9262" xr:uid="{00000000-0005-0000-0000-0000F5280000}"/>
    <cellStyle name="Normal 2 2 10 2" xfId="9263" xr:uid="{00000000-0005-0000-0000-0000F6280000}"/>
    <cellStyle name="Normal 2 2 10 3" xfId="9264" xr:uid="{00000000-0005-0000-0000-0000F7280000}"/>
    <cellStyle name="Normal 2 2 100" xfId="9265" xr:uid="{00000000-0005-0000-0000-0000F8280000}"/>
    <cellStyle name="Normal 2 2 101" xfId="9266" xr:uid="{00000000-0005-0000-0000-0000F9280000}"/>
    <cellStyle name="Normal 2 2 102" xfId="9267" xr:uid="{00000000-0005-0000-0000-0000FA280000}"/>
    <cellStyle name="Normal 2 2 103" xfId="25856" xr:uid="{00000000-0005-0000-0000-0000FB280000}"/>
    <cellStyle name="Normal 2 2 11" xfId="9268" xr:uid="{00000000-0005-0000-0000-0000FC280000}"/>
    <cellStyle name="Normal 2 2 11 2" xfId="9269" xr:uid="{00000000-0005-0000-0000-0000FD280000}"/>
    <cellStyle name="Normal 2 2 11 3" xfId="9270" xr:uid="{00000000-0005-0000-0000-0000FE280000}"/>
    <cellStyle name="Normal 2 2 12" xfId="9271" xr:uid="{00000000-0005-0000-0000-0000FF280000}"/>
    <cellStyle name="Normal 2 2 12 2" xfId="9272" xr:uid="{00000000-0005-0000-0000-000000290000}"/>
    <cellStyle name="Normal 2 2 12 2 2" xfId="9273" xr:uid="{00000000-0005-0000-0000-000001290000}"/>
    <cellStyle name="Normal 2 2 12 2 3" xfId="9274" xr:uid="{00000000-0005-0000-0000-000002290000}"/>
    <cellStyle name="Normal 2 2 12 3" xfId="9275" xr:uid="{00000000-0005-0000-0000-000003290000}"/>
    <cellStyle name="Normal 2 2 12 4" xfId="9276" xr:uid="{00000000-0005-0000-0000-000004290000}"/>
    <cellStyle name="Normal 2 2 12 5" xfId="9277" xr:uid="{00000000-0005-0000-0000-000005290000}"/>
    <cellStyle name="Normal 2 2 12 6" xfId="9278" xr:uid="{00000000-0005-0000-0000-000006290000}"/>
    <cellStyle name="Normal 2 2 12 7" xfId="9279" xr:uid="{00000000-0005-0000-0000-000007290000}"/>
    <cellStyle name="Normal 2 2 12 8" xfId="9280" xr:uid="{00000000-0005-0000-0000-000008290000}"/>
    <cellStyle name="Normal 2 2 13" xfId="9281" xr:uid="{00000000-0005-0000-0000-000009290000}"/>
    <cellStyle name="Normal 2 2 13 2" xfId="9282" xr:uid="{00000000-0005-0000-0000-00000A290000}"/>
    <cellStyle name="Normal 2 2 13 2 2" xfId="9283" xr:uid="{00000000-0005-0000-0000-00000B290000}"/>
    <cellStyle name="Normal 2 2 13 2 3" xfId="9284" xr:uid="{00000000-0005-0000-0000-00000C290000}"/>
    <cellStyle name="Normal 2 2 13 3" xfId="9285" xr:uid="{00000000-0005-0000-0000-00000D290000}"/>
    <cellStyle name="Normal 2 2 13 4" xfId="9286" xr:uid="{00000000-0005-0000-0000-00000E290000}"/>
    <cellStyle name="Normal 2 2 13 5" xfId="9287" xr:uid="{00000000-0005-0000-0000-00000F290000}"/>
    <cellStyle name="Normal 2 2 14" xfId="9288" xr:uid="{00000000-0005-0000-0000-000010290000}"/>
    <cellStyle name="Normal 2 2 14 2" xfId="9289" xr:uid="{00000000-0005-0000-0000-000011290000}"/>
    <cellStyle name="Normal 2 2 14 2 2" xfId="9290" xr:uid="{00000000-0005-0000-0000-000012290000}"/>
    <cellStyle name="Normal 2 2 14 2 3" xfId="9291" xr:uid="{00000000-0005-0000-0000-000013290000}"/>
    <cellStyle name="Normal 2 2 14 3" xfId="9292" xr:uid="{00000000-0005-0000-0000-000014290000}"/>
    <cellStyle name="Normal 2 2 14 4" xfId="9293" xr:uid="{00000000-0005-0000-0000-000015290000}"/>
    <cellStyle name="Normal 2 2 14 5" xfId="9294" xr:uid="{00000000-0005-0000-0000-000016290000}"/>
    <cellStyle name="Normal 2 2 15" xfId="9295" xr:uid="{00000000-0005-0000-0000-000017290000}"/>
    <cellStyle name="Normal 2 2 15 2" xfId="9296" xr:uid="{00000000-0005-0000-0000-000018290000}"/>
    <cellStyle name="Normal 2 2 15 2 2" xfId="9297" xr:uid="{00000000-0005-0000-0000-000019290000}"/>
    <cellStyle name="Normal 2 2 15 2 3" xfId="9298" xr:uid="{00000000-0005-0000-0000-00001A290000}"/>
    <cellStyle name="Normal 2 2 15 3" xfId="9299" xr:uid="{00000000-0005-0000-0000-00001B290000}"/>
    <cellStyle name="Normal 2 2 15 4" xfId="9300" xr:uid="{00000000-0005-0000-0000-00001C290000}"/>
    <cellStyle name="Normal 2 2 15 5" xfId="9301" xr:uid="{00000000-0005-0000-0000-00001D290000}"/>
    <cellStyle name="Normal 2 2 16" xfId="9302" xr:uid="{00000000-0005-0000-0000-00001E290000}"/>
    <cellStyle name="Normal 2 2 16 2" xfId="9303" xr:uid="{00000000-0005-0000-0000-00001F290000}"/>
    <cellStyle name="Normal 2 2 16 2 2" xfId="9304" xr:uid="{00000000-0005-0000-0000-000020290000}"/>
    <cellStyle name="Normal 2 2 16 2 3" xfId="9305" xr:uid="{00000000-0005-0000-0000-000021290000}"/>
    <cellStyle name="Normal 2 2 16 3" xfId="9306" xr:uid="{00000000-0005-0000-0000-000022290000}"/>
    <cellStyle name="Normal 2 2 16 4" xfId="9307" xr:uid="{00000000-0005-0000-0000-000023290000}"/>
    <cellStyle name="Normal 2 2 16 5" xfId="9308" xr:uid="{00000000-0005-0000-0000-000024290000}"/>
    <cellStyle name="Normal 2 2 17" xfId="9309" xr:uid="{00000000-0005-0000-0000-000025290000}"/>
    <cellStyle name="Normal 2 2 17 2" xfId="9310" xr:uid="{00000000-0005-0000-0000-000026290000}"/>
    <cellStyle name="Normal 2 2 17 2 2" xfId="9311" xr:uid="{00000000-0005-0000-0000-000027290000}"/>
    <cellStyle name="Normal 2 2 17 2 3" xfId="9312" xr:uid="{00000000-0005-0000-0000-000028290000}"/>
    <cellStyle name="Normal 2 2 17 3" xfId="9313" xr:uid="{00000000-0005-0000-0000-000029290000}"/>
    <cellStyle name="Normal 2 2 17 4" xfId="9314" xr:uid="{00000000-0005-0000-0000-00002A290000}"/>
    <cellStyle name="Normal 2 2 17 5" xfId="9315" xr:uid="{00000000-0005-0000-0000-00002B290000}"/>
    <cellStyle name="Normal 2 2 18" xfId="9316" xr:uid="{00000000-0005-0000-0000-00002C290000}"/>
    <cellStyle name="Normal 2 2 18 2" xfId="9317" xr:uid="{00000000-0005-0000-0000-00002D290000}"/>
    <cellStyle name="Normal 2 2 18 2 2" xfId="9318" xr:uid="{00000000-0005-0000-0000-00002E290000}"/>
    <cellStyle name="Normal 2 2 18 2 3" xfId="9319" xr:uid="{00000000-0005-0000-0000-00002F290000}"/>
    <cellStyle name="Normal 2 2 18 3" xfId="9320" xr:uid="{00000000-0005-0000-0000-000030290000}"/>
    <cellStyle name="Normal 2 2 18 4" xfId="9321" xr:uid="{00000000-0005-0000-0000-000031290000}"/>
    <cellStyle name="Normal 2 2 18 5" xfId="9322" xr:uid="{00000000-0005-0000-0000-000032290000}"/>
    <cellStyle name="Normal 2 2 19" xfId="9323" xr:uid="{00000000-0005-0000-0000-000033290000}"/>
    <cellStyle name="Normal 2 2 19 2" xfId="9324" xr:uid="{00000000-0005-0000-0000-000034290000}"/>
    <cellStyle name="Normal 2 2 19 2 2" xfId="9325" xr:uid="{00000000-0005-0000-0000-000035290000}"/>
    <cellStyle name="Normal 2 2 19 2 3" xfId="9326" xr:uid="{00000000-0005-0000-0000-000036290000}"/>
    <cellStyle name="Normal 2 2 19 3" xfId="9327" xr:uid="{00000000-0005-0000-0000-000037290000}"/>
    <cellStyle name="Normal 2 2 19 4" xfId="9328" xr:uid="{00000000-0005-0000-0000-000038290000}"/>
    <cellStyle name="Normal 2 2 19 5" xfId="9329" xr:uid="{00000000-0005-0000-0000-000039290000}"/>
    <cellStyle name="Normal 2 2 2" xfId="203" xr:uid="{00000000-0005-0000-0000-00003A290000}"/>
    <cellStyle name="Normal 2 2 2 10" xfId="9330" xr:uid="{00000000-0005-0000-0000-00003B290000}"/>
    <cellStyle name="Normal 2 2 2 10 2" xfId="9331" xr:uid="{00000000-0005-0000-0000-00003C290000}"/>
    <cellStyle name="Normal 2 2 2 10 2 2" xfId="9332" xr:uid="{00000000-0005-0000-0000-00003D290000}"/>
    <cellStyle name="Normal 2 2 2 10 2 3" xfId="9333" xr:uid="{00000000-0005-0000-0000-00003E290000}"/>
    <cellStyle name="Normal 2 2 2 10 3" xfId="9334" xr:uid="{00000000-0005-0000-0000-00003F290000}"/>
    <cellStyle name="Normal 2 2 2 10 4" xfId="9335" xr:uid="{00000000-0005-0000-0000-000040290000}"/>
    <cellStyle name="Normal 2 2 2 10 5" xfId="9336" xr:uid="{00000000-0005-0000-0000-000041290000}"/>
    <cellStyle name="Normal 2 2 2 10 6" xfId="9337" xr:uid="{00000000-0005-0000-0000-000042290000}"/>
    <cellStyle name="Normal 2 2 2 10 7" xfId="9338" xr:uid="{00000000-0005-0000-0000-000043290000}"/>
    <cellStyle name="Normal 2 2 2 10 8" xfId="9339" xr:uid="{00000000-0005-0000-0000-000044290000}"/>
    <cellStyle name="Normal 2 2 2 11" xfId="9340" xr:uid="{00000000-0005-0000-0000-000045290000}"/>
    <cellStyle name="Normal 2 2 2 11 2" xfId="9341" xr:uid="{00000000-0005-0000-0000-000046290000}"/>
    <cellStyle name="Normal 2 2 2 11 2 2" xfId="9342" xr:uid="{00000000-0005-0000-0000-000047290000}"/>
    <cellStyle name="Normal 2 2 2 11 2 3" xfId="9343" xr:uid="{00000000-0005-0000-0000-000048290000}"/>
    <cellStyle name="Normal 2 2 2 11 3" xfId="9344" xr:uid="{00000000-0005-0000-0000-000049290000}"/>
    <cellStyle name="Normal 2 2 2 11 4" xfId="9345" xr:uid="{00000000-0005-0000-0000-00004A290000}"/>
    <cellStyle name="Normal 2 2 2 11 5" xfId="9346" xr:uid="{00000000-0005-0000-0000-00004B290000}"/>
    <cellStyle name="Normal 2 2 2 11 6" xfId="9347" xr:uid="{00000000-0005-0000-0000-00004C290000}"/>
    <cellStyle name="Normal 2 2 2 11 7" xfId="9348" xr:uid="{00000000-0005-0000-0000-00004D290000}"/>
    <cellStyle name="Normal 2 2 2 11 8" xfId="9349" xr:uid="{00000000-0005-0000-0000-00004E290000}"/>
    <cellStyle name="Normal 2 2 2 12" xfId="9350" xr:uid="{00000000-0005-0000-0000-00004F290000}"/>
    <cellStyle name="Normal 2 2 2 12 2" xfId="9351" xr:uid="{00000000-0005-0000-0000-000050290000}"/>
    <cellStyle name="Normal 2 2 2 12 2 2" xfId="9352" xr:uid="{00000000-0005-0000-0000-000051290000}"/>
    <cellStyle name="Normal 2 2 2 12 2 3" xfId="9353" xr:uid="{00000000-0005-0000-0000-000052290000}"/>
    <cellStyle name="Normal 2 2 2 12 3" xfId="9354" xr:uid="{00000000-0005-0000-0000-000053290000}"/>
    <cellStyle name="Normal 2 2 2 12 4" xfId="9355" xr:uid="{00000000-0005-0000-0000-000054290000}"/>
    <cellStyle name="Normal 2 2 2 12 5" xfId="9356" xr:uid="{00000000-0005-0000-0000-000055290000}"/>
    <cellStyle name="Normal 2 2 2 13" xfId="9357" xr:uid="{00000000-0005-0000-0000-000056290000}"/>
    <cellStyle name="Normal 2 2 2 13 2" xfId="9358" xr:uid="{00000000-0005-0000-0000-000057290000}"/>
    <cellStyle name="Normal 2 2 2 13 2 2" xfId="9359" xr:uid="{00000000-0005-0000-0000-000058290000}"/>
    <cellStyle name="Normal 2 2 2 13 2 3" xfId="9360" xr:uid="{00000000-0005-0000-0000-000059290000}"/>
    <cellStyle name="Normal 2 2 2 13 3" xfId="9361" xr:uid="{00000000-0005-0000-0000-00005A290000}"/>
    <cellStyle name="Normal 2 2 2 13 4" xfId="9362" xr:uid="{00000000-0005-0000-0000-00005B290000}"/>
    <cellStyle name="Normal 2 2 2 13 5" xfId="9363" xr:uid="{00000000-0005-0000-0000-00005C290000}"/>
    <cellStyle name="Normal 2 2 2 14" xfId="9364" xr:uid="{00000000-0005-0000-0000-00005D290000}"/>
    <cellStyle name="Normal 2 2 2 14 2" xfId="9365" xr:uid="{00000000-0005-0000-0000-00005E290000}"/>
    <cellStyle name="Normal 2 2 2 14 2 2" xfId="9366" xr:uid="{00000000-0005-0000-0000-00005F290000}"/>
    <cellStyle name="Normal 2 2 2 14 2 3" xfId="9367" xr:uid="{00000000-0005-0000-0000-000060290000}"/>
    <cellStyle name="Normal 2 2 2 14 3" xfId="9368" xr:uid="{00000000-0005-0000-0000-000061290000}"/>
    <cellStyle name="Normal 2 2 2 14 4" xfId="9369" xr:uid="{00000000-0005-0000-0000-000062290000}"/>
    <cellStyle name="Normal 2 2 2 14 5" xfId="9370" xr:uid="{00000000-0005-0000-0000-000063290000}"/>
    <cellStyle name="Normal 2 2 2 15" xfId="9371" xr:uid="{00000000-0005-0000-0000-000064290000}"/>
    <cellStyle name="Normal 2 2 2 15 2" xfId="9372" xr:uid="{00000000-0005-0000-0000-000065290000}"/>
    <cellStyle name="Normal 2 2 2 15 2 2" xfId="9373" xr:uid="{00000000-0005-0000-0000-000066290000}"/>
    <cellStyle name="Normal 2 2 2 15 2 3" xfId="9374" xr:uid="{00000000-0005-0000-0000-000067290000}"/>
    <cellStyle name="Normal 2 2 2 15 3" xfId="9375" xr:uid="{00000000-0005-0000-0000-000068290000}"/>
    <cellStyle name="Normal 2 2 2 15 4" xfId="9376" xr:uid="{00000000-0005-0000-0000-000069290000}"/>
    <cellStyle name="Normal 2 2 2 15 5" xfId="9377" xr:uid="{00000000-0005-0000-0000-00006A290000}"/>
    <cellStyle name="Normal 2 2 2 16" xfId="9378" xr:uid="{00000000-0005-0000-0000-00006B290000}"/>
    <cellStyle name="Normal 2 2 2 16 2" xfId="9379" xr:uid="{00000000-0005-0000-0000-00006C290000}"/>
    <cellStyle name="Normal 2 2 2 16 2 2" xfId="9380" xr:uid="{00000000-0005-0000-0000-00006D290000}"/>
    <cellStyle name="Normal 2 2 2 16 2 3" xfId="9381" xr:uid="{00000000-0005-0000-0000-00006E290000}"/>
    <cellStyle name="Normal 2 2 2 16 3" xfId="9382" xr:uid="{00000000-0005-0000-0000-00006F290000}"/>
    <cellStyle name="Normal 2 2 2 16 4" xfId="9383" xr:uid="{00000000-0005-0000-0000-000070290000}"/>
    <cellStyle name="Normal 2 2 2 16 5" xfId="9384" xr:uid="{00000000-0005-0000-0000-000071290000}"/>
    <cellStyle name="Normal 2 2 2 17" xfId="9385" xr:uid="{00000000-0005-0000-0000-000072290000}"/>
    <cellStyle name="Normal 2 2 2 17 2" xfId="9386" xr:uid="{00000000-0005-0000-0000-000073290000}"/>
    <cellStyle name="Normal 2 2 2 17 2 2" xfId="9387" xr:uid="{00000000-0005-0000-0000-000074290000}"/>
    <cellStyle name="Normal 2 2 2 17 2 3" xfId="9388" xr:uid="{00000000-0005-0000-0000-000075290000}"/>
    <cellStyle name="Normal 2 2 2 17 3" xfId="9389" xr:uid="{00000000-0005-0000-0000-000076290000}"/>
    <cellStyle name="Normal 2 2 2 17 4" xfId="9390" xr:uid="{00000000-0005-0000-0000-000077290000}"/>
    <cellStyle name="Normal 2 2 2 17 5" xfId="9391" xr:uid="{00000000-0005-0000-0000-000078290000}"/>
    <cellStyle name="Normal 2 2 2 18" xfId="9392" xr:uid="{00000000-0005-0000-0000-000079290000}"/>
    <cellStyle name="Normal 2 2 2 18 2" xfId="9393" xr:uid="{00000000-0005-0000-0000-00007A290000}"/>
    <cellStyle name="Normal 2 2 2 18 2 2" xfId="9394" xr:uid="{00000000-0005-0000-0000-00007B290000}"/>
    <cellStyle name="Normal 2 2 2 18 2 3" xfId="9395" xr:uid="{00000000-0005-0000-0000-00007C290000}"/>
    <cellStyle name="Normal 2 2 2 18 3" xfId="9396" xr:uid="{00000000-0005-0000-0000-00007D290000}"/>
    <cellStyle name="Normal 2 2 2 18 4" xfId="9397" xr:uid="{00000000-0005-0000-0000-00007E290000}"/>
    <cellStyle name="Normal 2 2 2 18 5" xfId="9398" xr:uid="{00000000-0005-0000-0000-00007F290000}"/>
    <cellStyle name="Normal 2 2 2 19" xfId="9399" xr:uid="{00000000-0005-0000-0000-000080290000}"/>
    <cellStyle name="Normal 2 2 2 19 2" xfId="9400" xr:uid="{00000000-0005-0000-0000-000081290000}"/>
    <cellStyle name="Normal 2 2 2 19 2 2" xfId="9401" xr:uid="{00000000-0005-0000-0000-000082290000}"/>
    <cellStyle name="Normal 2 2 2 19 2 3" xfId="9402" xr:uid="{00000000-0005-0000-0000-000083290000}"/>
    <cellStyle name="Normal 2 2 2 19 3" xfId="9403" xr:uid="{00000000-0005-0000-0000-000084290000}"/>
    <cellStyle name="Normal 2 2 2 19 4" xfId="9404" xr:uid="{00000000-0005-0000-0000-000085290000}"/>
    <cellStyle name="Normal 2 2 2 19 5" xfId="9405" xr:uid="{00000000-0005-0000-0000-000086290000}"/>
    <cellStyle name="Normal 2 2 2 2" xfId="9406" xr:uid="{00000000-0005-0000-0000-000087290000}"/>
    <cellStyle name="Normal 2 2 2 2 10" xfId="9407" xr:uid="{00000000-0005-0000-0000-000088290000}"/>
    <cellStyle name="Normal 2 2 2 2 10 2" xfId="9408" xr:uid="{00000000-0005-0000-0000-000089290000}"/>
    <cellStyle name="Normal 2 2 2 2 10 3" xfId="9409" xr:uid="{00000000-0005-0000-0000-00008A290000}"/>
    <cellStyle name="Normal 2 2 2 2 11" xfId="9410" xr:uid="{00000000-0005-0000-0000-00008B290000}"/>
    <cellStyle name="Normal 2 2 2 2 11 2" xfId="9411" xr:uid="{00000000-0005-0000-0000-00008C290000}"/>
    <cellStyle name="Normal 2 2 2 2 11 3" xfId="9412" xr:uid="{00000000-0005-0000-0000-00008D290000}"/>
    <cellStyle name="Normal 2 2 2 2 12" xfId="9413" xr:uid="{00000000-0005-0000-0000-00008E290000}"/>
    <cellStyle name="Normal 2 2 2 2 12 2" xfId="9414" xr:uid="{00000000-0005-0000-0000-00008F290000}"/>
    <cellStyle name="Normal 2 2 2 2 12 3" xfId="9415" xr:uid="{00000000-0005-0000-0000-000090290000}"/>
    <cellStyle name="Normal 2 2 2 2 13" xfId="9416" xr:uid="{00000000-0005-0000-0000-000091290000}"/>
    <cellStyle name="Normal 2 2 2 2 13 2" xfId="9417" xr:uid="{00000000-0005-0000-0000-000092290000}"/>
    <cellStyle name="Normal 2 2 2 2 13 3" xfId="9418" xr:uid="{00000000-0005-0000-0000-000093290000}"/>
    <cellStyle name="Normal 2 2 2 2 14" xfId="9419" xr:uid="{00000000-0005-0000-0000-000094290000}"/>
    <cellStyle name="Normal 2 2 2 2 14 2" xfId="9420" xr:uid="{00000000-0005-0000-0000-000095290000}"/>
    <cellStyle name="Normal 2 2 2 2 14 3" xfId="9421" xr:uid="{00000000-0005-0000-0000-000096290000}"/>
    <cellStyle name="Normal 2 2 2 2 15" xfId="9422" xr:uid="{00000000-0005-0000-0000-000097290000}"/>
    <cellStyle name="Normal 2 2 2 2 15 2" xfId="9423" xr:uid="{00000000-0005-0000-0000-000098290000}"/>
    <cellStyle name="Normal 2 2 2 2 15 3" xfId="9424" xr:uid="{00000000-0005-0000-0000-000099290000}"/>
    <cellStyle name="Normal 2 2 2 2 16" xfId="9425" xr:uid="{00000000-0005-0000-0000-00009A290000}"/>
    <cellStyle name="Normal 2 2 2 2 16 2" xfId="9426" xr:uid="{00000000-0005-0000-0000-00009B290000}"/>
    <cellStyle name="Normal 2 2 2 2 16 3" xfId="9427" xr:uid="{00000000-0005-0000-0000-00009C290000}"/>
    <cellStyle name="Normal 2 2 2 2 17" xfId="9428" xr:uid="{00000000-0005-0000-0000-00009D290000}"/>
    <cellStyle name="Normal 2 2 2 2 18" xfId="9429" xr:uid="{00000000-0005-0000-0000-00009E290000}"/>
    <cellStyle name="Normal 2 2 2 2 19" xfId="9430" xr:uid="{00000000-0005-0000-0000-00009F290000}"/>
    <cellStyle name="Normal 2 2 2 2 2" xfId="9431" xr:uid="{00000000-0005-0000-0000-0000A0290000}"/>
    <cellStyle name="Normal 2 2 2 2 2 2" xfId="9432" xr:uid="{00000000-0005-0000-0000-0000A1290000}"/>
    <cellStyle name="Normal 2 2 2 2 2 3" xfId="9433" xr:uid="{00000000-0005-0000-0000-0000A2290000}"/>
    <cellStyle name="Normal 2 2 2 2 2 4" xfId="27090" xr:uid="{00000000-0005-0000-0000-0000A3290000}"/>
    <cellStyle name="Normal 2 2 2 2 20" xfId="9434" xr:uid="{00000000-0005-0000-0000-0000A4290000}"/>
    <cellStyle name="Normal 2 2 2 2 21" xfId="9435" xr:uid="{00000000-0005-0000-0000-0000A5290000}"/>
    <cellStyle name="Normal 2 2 2 2 22" xfId="9436" xr:uid="{00000000-0005-0000-0000-0000A6290000}"/>
    <cellStyle name="Normal 2 2 2 2 23" xfId="9437" xr:uid="{00000000-0005-0000-0000-0000A7290000}"/>
    <cellStyle name="Normal 2 2 2 2 24" xfId="9438" xr:uid="{00000000-0005-0000-0000-0000A8290000}"/>
    <cellStyle name="Normal 2 2 2 2 25" xfId="9439" xr:uid="{00000000-0005-0000-0000-0000A9290000}"/>
    <cellStyle name="Normal 2 2 2 2 26" xfId="9440" xr:uid="{00000000-0005-0000-0000-0000AA290000}"/>
    <cellStyle name="Normal 2 2 2 2 27" xfId="9441" xr:uid="{00000000-0005-0000-0000-0000AB290000}"/>
    <cellStyle name="Normal 2 2 2 2 28" xfId="9442" xr:uid="{00000000-0005-0000-0000-0000AC290000}"/>
    <cellStyle name="Normal 2 2 2 2 29" xfId="9443" xr:uid="{00000000-0005-0000-0000-0000AD290000}"/>
    <cellStyle name="Normal 2 2 2 2 3" xfId="9444" xr:uid="{00000000-0005-0000-0000-0000AE290000}"/>
    <cellStyle name="Normal 2 2 2 2 3 2" xfId="9445" xr:uid="{00000000-0005-0000-0000-0000AF290000}"/>
    <cellStyle name="Normal 2 2 2 2 3 3" xfId="9446" xr:uid="{00000000-0005-0000-0000-0000B0290000}"/>
    <cellStyle name="Normal 2 2 2 2 30" xfId="9447" xr:uid="{00000000-0005-0000-0000-0000B1290000}"/>
    <cellStyle name="Normal 2 2 2 2 31" xfId="9448" xr:uid="{00000000-0005-0000-0000-0000B2290000}"/>
    <cellStyle name="Normal 2 2 2 2 32" xfId="9449" xr:uid="{00000000-0005-0000-0000-0000B3290000}"/>
    <cellStyle name="Normal 2 2 2 2 33" xfId="9450" xr:uid="{00000000-0005-0000-0000-0000B4290000}"/>
    <cellStyle name="Normal 2 2 2 2 34" xfId="9451" xr:uid="{00000000-0005-0000-0000-0000B5290000}"/>
    <cellStyle name="Normal 2 2 2 2 35" xfId="9452" xr:uid="{00000000-0005-0000-0000-0000B6290000}"/>
    <cellStyle name="Normal 2 2 2 2 36" xfId="9453" xr:uid="{00000000-0005-0000-0000-0000B7290000}"/>
    <cellStyle name="Normal 2 2 2 2 37" xfId="9454" xr:uid="{00000000-0005-0000-0000-0000B8290000}"/>
    <cellStyle name="Normal 2 2 2 2 38" xfId="25857" xr:uid="{00000000-0005-0000-0000-0000B9290000}"/>
    <cellStyle name="Normal 2 2 2 2 4" xfId="9455" xr:uid="{00000000-0005-0000-0000-0000BA290000}"/>
    <cellStyle name="Normal 2 2 2 2 4 2" xfId="9456" xr:uid="{00000000-0005-0000-0000-0000BB290000}"/>
    <cellStyle name="Normal 2 2 2 2 4 3" xfId="9457" xr:uid="{00000000-0005-0000-0000-0000BC290000}"/>
    <cellStyle name="Normal 2 2 2 2 5" xfId="9458" xr:uid="{00000000-0005-0000-0000-0000BD290000}"/>
    <cellStyle name="Normal 2 2 2 2 5 2" xfId="9459" xr:uid="{00000000-0005-0000-0000-0000BE290000}"/>
    <cellStyle name="Normal 2 2 2 2 5 3" xfId="9460" xr:uid="{00000000-0005-0000-0000-0000BF290000}"/>
    <cellStyle name="Normal 2 2 2 2 6" xfId="9461" xr:uid="{00000000-0005-0000-0000-0000C0290000}"/>
    <cellStyle name="Normal 2 2 2 2 6 2" xfId="9462" xr:uid="{00000000-0005-0000-0000-0000C1290000}"/>
    <cellStyle name="Normal 2 2 2 2 6 3" xfId="9463" xr:uid="{00000000-0005-0000-0000-0000C2290000}"/>
    <cellStyle name="Normal 2 2 2 2 7" xfId="9464" xr:uid="{00000000-0005-0000-0000-0000C3290000}"/>
    <cellStyle name="Normal 2 2 2 2 7 2" xfId="9465" xr:uid="{00000000-0005-0000-0000-0000C4290000}"/>
    <cellStyle name="Normal 2 2 2 2 7 3" xfId="9466" xr:uid="{00000000-0005-0000-0000-0000C5290000}"/>
    <cellStyle name="Normal 2 2 2 2 8" xfId="9467" xr:uid="{00000000-0005-0000-0000-0000C6290000}"/>
    <cellStyle name="Normal 2 2 2 2 8 2" xfId="9468" xr:uid="{00000000-0005-0000-0000-0000C7290000}"/>
    <cellStyle name="Normal 2 2 2 2 8 3" xfId="9469" xr:uid="{00000000-0005-0000-0000-0000C8290000}"/>
    <cellStyle name="Normal 2 2 2 2 9" xfId="9470" xr:uid="{00000000-0005-0000-0000-0000C9290000}"/>
    <cellStyle name="Normal 2 2 2 2 9 2" xfId="9471" xr:uid="{00000000-0005-0000-0000-0000CA290000}"/>
    <cellStyle name="Normal 2 2 2 2 9 3" xfId="9472" xr:uid="{00000000-0005-0000-0000-0000CB290000}"/>
    <cellStyle name="Normal 2 2 2 20" xfId="9473" xr:uid="{00000000-0005-0000-0000-0000CC290000}"/>
    <cellStyle name="Normal 2 2 2 20 2" xfId="9474" xr:uid="{00000000-0005-0000-0000-0000CD290000}"/>
    <cellStyle name="Normal 2 2 2 20 2 2" xfId="9475" xr:uid="{00000000-0005-0000-0000-0000CE290000}"/>
    <cellStyle name="Normal 2 2 2 20 2 3" xfId="9476" xr:uid="{00000000-0005-0000-0000-0000CF290000}"/>
    <cellStyle name="Normal 2 2 2 20 3" xfId="9477" xr:uid="{00000000-0005-0000-0000-0000D0290000}"/>
    <cellStyle name="Normal 2 2 2 20 4" xfId="9478" xr:uid="{00000000-0005-0000-0000-0000D1290000}"/>
    <cellStyle name="Normal 2 2 2 20 5" xfId="9479" xr:uid="{00000000-0005-0000-0000-0000D2290000}"/>
    <cellStyle name="Normal 2 2 2 21" xfId="9480" xr:uid="{00000000-0005-0000-0000-0000D3290000}"/>
    <cellStyle name="Normal 2 2 2 21 2" xfId="9481" xr:uid="{00000000-0005-0000-0000-0000D4290000}"/>
    <cellStyle name="Normal 2 2 2 21 3" xfId="9482" xr:uid="{00000000-0005-0000-0000-0000D5290000}"/>
    <cellStyle name="Normal 2 2 2 22" xfId="9483" xr:uid="{00000000-0005-0000-0000-0000D6290000}"/>
    <cellStyle name="Normal 2 2 2 22 2" xfId="9484" xr:uid="{00000000-0005-0000-0000-0000D7290000}"/>
    <cellStyle name="Normal 2 2 2 22 3" xfId="9485" xr:uid="{00000000-0005-0000-0000-0000D8290000}"/>
    <cellStyle name="Normal 2 2 2 23" xfId="9486" xr:uid="{00000000-0005-0000-0000-0000D9290000}"/>
    <cellStyle name="Normal 2 2 2 23 2" xfId="9487" xr:uid="{00000000-0005-0000-0000-0000DA290000}"/>
    <cellStyle name="Normal 2 2 2 23 3" xfId="9488" xr:uid="{00000000-0005-0000-0000-0000DB290000}"/>
    <cellStyle name="Normal 2 2 2 24" xfId="9489" xr:uid="{00000000-0005-0000-0000-0000DC290000}"/>
    <cellStyle name="Normal 2 2 2 24 2" xfId="9490" xr:uid="{00000000-0005-0000-0000-0000DD290000}"/>
    <cellStyle name="Normal 2 2 2 24 2 2" xfId="9491" xr:uid="{00000000-0005-0000-0000-0000DE290000}"/>
    <cellStyle name="Normal 2 2 2 24 2 3" xfId="9492" xr:uid="{00000000-0005-0000-0000-0000DF290000}"/>
    <cellStyle name="Normal 2 2 2 24 3" xfId="9493" xr:uid="{00000000-0005-0000-0000-0000E0290000}"/>
    <cellStyle name="Normal 2 2 2 24 4" xfId="9494" xr:uid="{00000000-0005-0000-0000-0000E1290000}"/>
    <cellStyle name="Normal 2 2 2 25" xfId="9495" xr:uid="{00000000-0005-0000-0000-0000E2290000}"/>
    <cellStyle name="Normal 2 2 2 25 2" xfId="9496" xr:uid="{00000000-0005-0000-0000-0000E3290000}"/>
    <cellStyle name="Normal 2 2 2 25 3" xfId="9497" xr:uid="{00000000-0005-0000-0000-0000E4290000}"/>
    <cellStyle name="Normal 2 2 2 26" xfId="9498" xr:uid="{00000000-0005-0000-0000-0000E5290000}"/>
    <cellStyle name="Normal 2 2 2 26 2" xfId="9499" xr:uid="{00000000-0005-0000-0000-0000E6290000}"/>
    <cellStyle name="Normal 2 2 2 26 3" xfId="9500" xr:uid="{00000000-0005-0000-0000-0000E7290000}"/>
    <cellStyle name="Normal 2 2 2 27" xfId="9501" xr:uid="{00000000-0005-0000-0000-0000E8290000}"/>
    <cellStyle name="Normal 2 2 2 27 2" xfId="9502" xr:uid="{00000000-0005-0000-0000-0000E9290000}"/>
    <cellStyle name="Normal 2 2 2 27 3" xfId="9503" xr:uid="{00000000-0005-0000-0000-0000EA290000}"/>
    <cellStyle name="Normal 2 2 2 28" xfId="9504" xr:uid="{00000000-0005-0000-0000-0000EB290000}"/>
    <cellStyle name="Normal 2 2 2 28 2" xfId="9505" xr:uid="{00000000-0005-0000-0000-0000EC290000}"/>
    <cellStyle name="Normal 2 2 2 28 3" xfId="9506" xr:uid="{00000000-0005-0000-0000-0000ED290000}"/>
    <cellStyle name="Normal 2 2 2 29" xfId="9507" xr:uid="{00000000-0005-0000-0000-0000EE290000}"/>
    <cellStyle name="Normal 2 2 2 29 2" xfId="9508" xr:uid="{00000000-0005-0000-0000-0000EF290000}"/>
    <cellStyle name="Normal 2 2 2 29 3" xfId="9509" xr:uid="{00000000-0005-0000-0000-0000F0290000}"/>
    <cellStyle name="Normal 2 2 2 3" xfId="9510" xr:uid="{00000000-0005-0000-0000-0000F1290000}"/>
    <cellStyle name="Normal 2 2 2 3 2" xfId="9511" xr:uid="{00000000-0005-0000-0000-0000F2290000}"/>
    <cellStyle name="Normal 2 2 2 3 3" xfId="9512" xr:uid="{00000000-0005-0000-0000-0000F3290000}"/>
    <cellStyle name="Normal 2 2 2 30" xfId="9513" xr:uid="{00000000-0005-0000-0000-0000F4290000}"/>
    <cellStyle name="Normal 2 2 2 30 2" xfId="9514" xr:uid="{00000000-0005-0000-0000-0000F5290000}"/>
    <cellStyle name="Normal 2 2 2 30 3" xfId="9515" xr:uid="{00000000-0005-0000-0000-0000F6290000}"/>
    <cellStyle name="Normal 2 2 2 31" xfId="9516" xr:uid="{00000000-0005-0000-0000-0000F7290000}"/>
    <cellStyle name="Normal 2 2 2 31 2" xfId="9517" xr:uid="{00000000-0005-0000-0000-0000F8290000}"/>
    <cellStyle name="Normal 2 2 2 31 3" xfId="9518" xr:uid="{00000000-0005-0000-0000-0000F9290000}"/>
    <cellStyle name="Normal 2 2 2 32" xfId="9519" xr:uid="{00000000-0005-0000-0000-0000FA290000}"/>
    <cellStyle name="Normal 2 2 2 32 2" xfId="9520" xr:uid="{00000000-0005-0000-0000-0000FB290000}"/>
    <cellStyle name="Normal 2 2 2 32 3" xfId="9521" xr:uid="{00000000-0005-0000-0000-0000FC290000}"/>
    <cellStyle name="Normal 2 2 2 33" xfId="9522" xr:uid="{00000000-0005-0000-0000-0000FD290000}"/>
    <cellStyle name="Normal 2 2 2 33 2" xfId="9523" xr:uid="{00000000-0005-0000-0000-0000FE290000}"/>
    <cellStyle name="Normal 2 2 2 33 3" xfId="9524" xr:uid="{00000000-0005-0000-0000-0000FF290000}"/>
    <cellStyle name="Normal 2 2 2 34" xfId="9525" xr:uid="{00000000-0005-0000-0000-0000002A0000}"/>
    <cellStyle name="Normal 2 2 2 34 2" xfId="9526" xr:uid="{00000000-0005-0000-0000-0000012A0000}"/>
    <cellStyle name="Normal 2 2 2 34 3" xfId="9527" xr:uid="{00000000-0005-0000-0000-0000022A0000}"/>
    <cellStyle name="Normal 2 2 2 35" xfId="9528" xr:uid="{00000000-0005-0000-0000-0000032A0000}"/>
    <cellStyle name="Normal 2 2 2 36" xfId="9529" xr:uid="{00000000-0005-0000-0000-0000042A0000}"/>
    <cellStyle name="Normal 2 2 2 37" xfId="9530" xr:uid="{00000000-0005-0000-0000-0000052A0000}"/>
    <cellStyle name="Normal 2 2 2 4" xfId="9531" xr:uid="{00000000-0005-0000-0000-0000062A0000}"/>
    <cellStyle name="Normal 2 2 2 4 2" xfId="9532" xr:uid="{00000000-0005-0000-0000-0000072A0000}"/>
    <cellStyle name="Normal 2 2 2 4 3" xfId="9533" xr:uid="{00000000-0005-0000-0000-0000082A0000}"/>
    <cellStyle name="Normal 2 2 2 5" xfId="9534" xr:uid="{00000000-0005-0000-0000-0000092A0000}"/>
    <cellStyle name="Normal 2 2 2 5 2" xfId="9535" xr:uid="{00000000-0005-0000-0000-00000A2A0000}"/>
    <cellStyle name="Normal 2 2 2 5 3" xfId="9536" xr:uid="{00000000-0005-0000-0000-00000B2A0000}"/>
    <cellStyle name="Normal 2 2 2 6" xfId="9537" xr:uid="{00000000-0005-0000-0000-00000C2A0000}"/>
    <cellStyle name="Normal 2 2 2 6 2" xfId="9538" xr:uid="{00000000-0005-0000-0000-00000D2A0000}"/>
    <cellStyle name="Normal 2 2 2 6 3" xfId="9539" xr:uid="{00000000-0005-0000-0000-00000E2A0000}"/>
    <cellStyle name="Normal 2 2 2 7" xfId="9540" xr:uid="{00000000-0005-0000-0000-00000F2A0000}"/>
    <cellStyle name="Normal 2 2 2 7 2" xfId="9541" xr:uid="{00000000-0005-0000-0000-0000102A0000}"/>
    <cellStyle name="Normal 2 2 2 7 3" xfId="9542" xr:uid="{00000000-0005-0000-0000-0000112A0000}"/>
    <cellStyle name="Normal 2 2 2 8" xfId="9543" xr:uid="{00000000-0005-0000-0000-0000122A0000}"/>
    <cellStyle name="Normal 2 2 2 8 2" xfId="9544" xr:uid="{00000000-0005-0000-0000-0000132A0000}"/>
    <cellStyle name="Normal 2 2 2 8 3" xfId="9545" xr:uid="{00000000-0005-0000-0000-0000142A0000}"/>
    <cellStyle name="Normal 2 2 2 9" xfId="9546" xr:uid="{00000000-0005-0000-0000-0000152A0000}"/>
    <cellStyle name="Normal 2 2 2 9 2" xfId="9547" xr:uid="{00000000-0005-0000-0000-0000162A0000}"/>
    <cellStyle name="Normal 2 2 2 9 3" xfId="9548" xr:uid="{00000000-0005-0000-0000-0000172A0000}"/>
    <cellStyle name="Normal 2 2 2_Recurso Jan a Mar 09 DEF" xfId="9549" xr:uid="{00000000-0005-0000-0000-0000182A0000}"/>
    <cellStyle name="Normal 2 2 20" xfId="9550" xr:uid="{00000000-0005-0000-0000-0000192A0000}"/>
    <cellStyle name="Normal 2 2 20 2" xfId="9551" xr:uid="{00000000-0005-0000-0000-00001A2A0000}"/>
    <cellStyle name="Normal 2 2 20 2 2" xfId="9552" xr:uid="{00000000-0005-0000-0000-00001B2A0000}"/>
    <cellStyle name="Normal 2 2 20 2 3" xfId="9553" xr:uid="{00000000-0005-0000-0000-00001C2A0000}"/>
    <cellStyle name="Normal 2 2 20 3" xfId="9554" xr:uid="{00000000-0005-0000-0000-00001D2A0000}"/>
    <cellStyle name="Normal 2 2 20 4" xfId="9555" xr:uid="{00000000-0005-0000-0000-00001E2A0000}"/>
    <cellStyle name="Normal 2 2 20 5" xfId="9556" xr:uid="{00000000-0005-0000-0000-00001F2A0000}"/>
    <cellStyle name="Normal 2 2 21" xfId="9557" xr:uid="{00000000-0005-0000-0000-0000202A0000}"/>
    <cellStyle name="Normal 2 2 21 2" xfId="9558" xr:uid="{00000000-0005-0000-0000-0000212A0000}"/>
    <cellStyle name="Normal 2 2 21 2 2" xfId="9559" xr:uid="{00000000-0005-0000-0000-0000222A0000}"/>
    <cellStyle name="Normal 2 2 21 2 3" xfId="9560" xr:uid="{00000000-0005-0000-0000-0000232A0000}"/>
    <cellStyle name="Normal 2 2 21 3" xfId="9561" xr:uid="{00000000-0005-0000-0000-0000242A0000}"/>
    <cellStyle name="Normal 2 2 21 4" xfId="9562" xr:uid="{00000000-0005-0000-0000-0000252A0000}"/>
    <cellStyle name="Normal 2 2 21 5" xfId="9563" xr:uid="{00000000-0005-0000-0000-0000262A0000}"/>
    <cellStyle name="Normal 2 2 22" xfId="9564" xr:uid="{00000000-0005-0000-0000-0000272A0000}"/>
    <cellStyle name="Normal 2 2 22 2" xfId="9565" xr:uid="{00000000-0005-0000-0000-0000282A0000}"/>
    <cellStyle name="Normal 2 2 22 2 2" xfId="9566" xr:uid="{00000000-0005-0000-0000-0000292A0000}"/>
    <cellStyle name="Normal 2 2 22 2 3" xfId="9567" xr:uid="{00000000-0005-0000-0000-00002A2A0000}"/>
    <cellStyle name="Normal 2 2 22 3" xfId="9568" xr:uid="{00000000-0005-0000-0000-00002B2A0000}"/>
    <cellStyle name="Normal 2 2 22 4" xfId="9569" xr:uid="{00000000-0005-0000-0000-00002C2A0000}"/>
    <cellStyle name="Normal 2 2 22 5" xfId="9570" xr:uid="{00000000-0005-0000-0000-00002D2A0000}"/>
    <cellStyle name="Normal 2 2 23" xfId="9571" xr:uid="{00000000-0005-0000-0000-00002E2A0000}"/>
    <cellStyle name="Normal 2 2 23 2" xfId="9572" xr:uid="{00000000-0005-0000-0000-00002F2A0000}"/>
    <cellStyle name="Normal 2 2 23 3" xfId="9573" xr:uid="{00000000-0005-0000-0000-0000302A0000}"/>
    <cellStyle name="Normal 2 2 24" xfId="9574" xr:uid="{00000000-0005-0000-0000-0000312A0000}"/>
    <cellStyle name="Normal 2 2 24 2" xfId="9575" xr:uid="{00000000-0005-0000-0000-0000322A0000}"/>
    <cellStyle name="Normal 2 2 24 3" xfId="9576" xr:uid="{00000000-0005-0000-0000-0000332A0000}"/>
    <cellStyle name="Normal 2 2 25" xfId="9577" xr:uid="{00000000-0005-0000-0000-0000342A0000}"/>
    <cellStyle name="Normal 2 2 25 2" xfId="9578" xr:uid="{00000000-0005-0000-0000-0000352A0000}"/>
    <cellStyle name="Normal 2 2 25 2 2" xfId="9579" xr:uid="{00000000-0005-0000-0000-0000362A0000}"/>
    <cellStyle name="Normal 2 2 25 2 3" xfId="9580" xr:uid="{00000000-0005-0000-0000-0000372A0000}"/>
    <cellStyle name="Normal 2 2 25 3" xfId="9581" xr:uid="{00000000-0005-0000-0000-0000382A0000}"/>
    <cellStyle name="Normal 2 2 25 4" xfId="9582" xr:uid="{00000000-0005-0000-0000-0000392A0000}"/>
    <cellStyle name="Normal 2 2 26" xfId="9583" xr:uid="{00000000-0005-0000-0000-00003A2A0000}"/>
    <cellStyle name="Normal 2 2 26 2" xfId="9584" xr:uid="{00000000-0005-0000-0000-00003B2A0000}"/>
    <cellStyle name="Normal 2 2 26 3" xfId="9585" xr:uid="{00000000-0005-0000-0000-00003C2A0000}"/>
    <cellStyle name="Normal 2 2 27" xfId="9586" xr:uid="{00000000-0005-0000-0000-00003D2A0000}"/>
    <cellStyle name="Normal 2 2 27 2" xfId="9587" xr:uid="{00000000-0005-0000-0000-00003E2A0000}"/>
    <cellStyle name="Normal 2 2 27 3" xfId="9588" xr:uid="{00000000-0005-0000-0000-00003F2A0000}"/>
    <cellStyle name="Normal 2 2 28" xfId="9589" xr:uid="{00000000-0005-0000-0000-0000402A0000}"/>
    <cellStyle name="Normal 2 2 28 2" xfId="9590" xr:uid="{00000000-0005-0000-0000-0000412A0000}"/>
    <cellStyle name="Normal 2 2 28 3" xfId="9591" xr:uid="{00000000-0005-0000-0000-0000422A0000}"/>
    <cellStyle name="Normal 2 2 29" xfId="9592" xr:uid="{00000000-0005-0000-0000-0000432A0000}"/>
    <cellStyle name="Normal 2 2 29 2" xfId="9593" xr:uid="{00000000-0005-0000-0000-0000442A0000}"/>
    <cellStyle name="Normal 2 2 29 3" xfId="9594" xr:uid="{00000000-0005-0000-0000-0000452A0000}"/>
    <cellStyle name="Normal 2 2 3" xfId="204" xr:uid="{00000000-0005-0000-0000-0000462A0000}"/>
    <cellStyle name="Normal 2 2 3 2" xfId="9596" xr:uid="{00000000-0005-0000-0000-0000472A0000}"/>
    <cellStyle name="Normal 2 2 3 2 2" xfId="25859" xr:uid="{00000000-0005-0000-0000-0000482A0000}"/>
    <cellStyle name="Normal 2 2 3 3" xfId="9597" xr:uid="{00000000-0005-0000-0000-0000492A0000}"/>
    <cellStyle name="Normal 2 2 3 4" xfId="9598" xr:uid="{00000000-0005-0000-0000-00004A2A0000}"/>
    <cellStyle name="Normal 2 2 3 5" xfId="9595" xr:uid="{00000000-0005-0000-0000-00004B2A0000}"/>
    <cellStyle name="Normal 2 2 3 6" xfId="25858" xr:uid="{00000000-0005-0000-0000-00004C2A0000}"/>
    <cellStyle name="Normal 2 2 30" xfId="9599" xr:uid="{00000000-0005-0000-0000-00004D2A0000}"/>
    <cellStyle name="Normal 2 2 30 2" xfId="9600" xr:uid="{00000000-0005-0000-0000-00004E2A0000}"/>
    <cellStyle name="Normal 2 2 30 3" xfId="9601" xr:uid="{00000000-0005-0000-0000-00004F2A0000}"/>
    <cellStyle name="Normal 2 2 31" xfId="9602" xr:uid="{00000000-0005-0000-0000-0000502A0000}"/>
    <cellStyle name="Normal 2 2 31 2" xfId="9603" xr:uid="{00000000-0005-0000-0000-0000512A0000}"/>
    <cellStyle name="Normal 2 2 31 3" xfId="9604" xr:uid="{00000000-0005-0000-0000-0000522A0000}"/>
    <cellStyle name="Normal 2 2 32" xfId="9605" xr:uid="{00000000-0005-0000-0000-0000532A0000}"/>
    <cellStyle name="Normal 2 2 32 2" xfId="9606" xr:uid="{00000000-0005-0000-0000-0000542A0000}"/>
    <cellStyle name="Normal 2 2 32 3" xfId="9607" xr:uid="{00000000-0005-0000-0000-0000552A0000}"/>
    <cellStyle name="Normal 2 2 33" xfId="9608" xr:uid="{00000000-0005-0000-0000-0000562A0000}"/>
    <cellStyle name="Normal 2 2 33 2" xfId="9609" xr:uid="{00000000-0005-0000-0000-0000572A0000}"/>
    <cellStyle name="Normal 2 2 33 3" xfId="9610" xr:uid="{00000000-0005-0000-0000-0000582A0000}"/>
    <cellStyle name="Normal 2 2 34" xfId="9611" xr:uid="{00000000-0005-0000-0000-0000592A0000}"/>
    <cellStyle name="Normal 2 2 34 2" xfId="9612" xr:uid="{00000000-0005-0000-0000-00005A2A0000}"/>
    <cellStyle name="Normal 2 2 34 3" xfId="9613" xr:uid="{00000000-0005-0000-0000-00005B2A0000}"/>
    <cellStyle name="Normal 2 2 35" xfId="9614" xr:uid="{00000000-0005-0000-0000-00005C2A0000}"/>
    <cellStyle name="Normal 2 2 35 2" xfId="9615" xr:uid="{00000000-0005-0000-0000-00005D2A0000}"/>
    <cellStyle name="Normal 2 2 35 3" xfId="9616" xr:uid="{00000000-0005-0000-0000-00005E2A0000}"/>
    <cellStyle name="Normal 2 2 36" xfId="9617" xr:uid="{00000000-0005-0000-0000-00005F2A0000}"/>
    <cellStyle name="Normal 2 2 37" xfId="9618" xr:uid="{00000000-0005-0000-0000-0000602A0000}"/>
    <cellStyle name="Normal 2 2 38" xfId="9619" xr:uid="{00000000-0005-0000-0000-0000612A0000}"/>
    <cellStyle name="Normal 2 2 39" xfId="9620" xr:uid="{00000000-0005-0000-0000-0000622A0000}"/>
    <cellStyle name="Normal 2 2 4" xfId="9621" xr:uid="{00000000-0005-0000-0000-0000632A0000}"/>
    <cellStyle name="Normal 2 2 4 2" xfId="9622" xr:uid="{00000000-0005-0000-0000-0000642A0000}"/>
    <cellStyle name="Normal 2 2 4 2 2" xfId="9623" xr:uid="{00000000-0005-0000-0000-0000652A0000}"/>
    <cellStyle name="Normal 2 2 4 2 3" xfId="9624" xr:uid="{00000000-0005-0000-0000-0000662A0000}"/>
    <cellStyle name="Normal 2 2 4 3" xfId="9625" xr:uid="{00000000-0005-0000-0000-0000672A0000}"/>
    <cellStyle name="Normal 2 2 4 4" xfId="9626" xr:uid="{00000000-0005-0000-0000-0000682A0000}"/>
    <cellStyle name="Normal 2 2 4 5" xfId="9627" xr:uid="{00000000-0005-0000-0000-0000692A0000}"/>
    <cellStyle name="Normal 2 2 4 6" xfId="25860" xr:uid="{00000000-0005-0000-0000-00006A2A0000}"/>
    <cellStyle name="Normal 2 2 40" xfId="9628" xr:uid="{00000000-0005-0000-0000-00006B2A0000}"/>
    <cellStyle name="Normal 2 2 41" xfId="9629" xr:uid="{00000000-0005-0000-0000-00006C2A0000}"/>
    <cellStyle name="Normal 2 2 42" xfId="9630" xr:uid="{00000000-0005-0000-0000-00006D2A0000}"/>
    <cellStyle name="Normal 2 2 43" xfId="9631" xr:uid="{00000000-0005-0000-0000-00006E2A0000}"/>
    <cellStyle name="Normal 2 2 44" xfId="9632" xr:uid="{00000000-0005-0000-0000-00006F2A0000}"/>
    <cellStyle name="Normal 2 2 45" xfId="9633" xr:uid="{00000000-0005-0000-0000-0000702A0000}"/>
    <cellStyle name="Normal 2 2 46" xfId="9634" xr:uid="{00000000-0005-0000-0000-0000712A0000}"/>
    <cellStyle name="Normal 2 2 47" xfId="9635" xr:uid="{00000000-0005-0000-0000-0000722A0000}"/>
    <cellStyle name="Normal 2 2 48" xfId="9636" xr:uid="{00000000-0005-0000-0000-0000732A0000}"/>
    <cellStyle name="Normal 2 2 49" xfId="9637" xr:uid="{00000000-0005-0000-0000-0000742A0000}"/>
    <cellStyle name="Normal 2 2 5" xfId="9638" xr:uid="{00000000-0005-0000-0000-0000752A0000}"/>
    <cellStyle name="Normal 2 2 5 2" xfId="9639" xr:uid="{00000000-0005-0000-0000-0000762A0000}"/>
    <cellStyle name="Normal 2 2 5 3" xfId="9640" xr:uid="{00000000-0005-0000-0000-0000772A0000}"/>
    <cellStyle name="Normal 2 2 5 4" xfId="27089" xr:uid="{00000000-0005-0000-0000-0000782A0000}"/>
    <cellStyle name="Normal 2 2 50" xfId="9641" xr:uid="{00000000-0005-0000-0000-0000792A0000}"/>
    <cellStyle name="Normal 2 2 51" xfId="9642" xr:uid="{00000000-0005-0000-0000-00007A2A0000}"/>
    <cellStyle name="Normal 2 2 52" xfId="9643" xr:uid="{00000000-0005-0000-0000-00007B2A0000}"/>
    <cellStyle name="Normal 2 2 53" xfId="9644" xr:uid="{00000000-0005-0000-0000-00007C2A0000}"/>
    <cellStyle name="Normal 2 2 54" xfId="9645" xr:uid="{00000000-0005-0000-0000-00007D2A0000}"/>
    <cellStyle name="Normal 2 2 55" xfId="9646" xr:uid="{00000000-0005-0000-0000-00007E2A0000}"/>
    <cellStyle name="Normal 2 2 56" xfId="9647" xr:uid="{00000000-0005-0000-0000-00007F2A0000}"/>
    <cellStyle name="Normal 2 2 57" xfId="9648" xr:uid="{00000000-0005-0000-0000-0000802A0000}"/>
    <cellStyle name="Normal 2 2 58" xfId="9649" xr:uid="{00000000-0005-0000-0000-0000812A0000}"/>
    <cellStyle name="Normal 2 2 59" xfId="9650" xr:uid="{00000000-0005-0000-0000-0000822A0000}"/>
    <cellStyle name="Normal 2 2 6" xfId="9651" xr:uid="{00000000-0005-0000-0000-0000832A0000}"/>
    <cellStyle name="Normal 2 2 6 10" xfId="9652" xr:uid="{00000000-0005-0000-0000-0000842A0000}"/>
    <cellStyle name="Normal 2 2 6 10 2" xfId="9653" xr:uid="{00000000-0005-0000-0000-0000852A0000}"/>
    <cellStyle name="Normal 2 2 6 10 3" xfId="9654" xr:uid="{00000000-0005-0000-0000-0000862A0000}"/>
    <cellStyle name="Normal 2 2 6 11" xfId="9655" xr:uid="{00000000-0005-0000-0000-0000872A0000}"/>
    <cellStyle name="Normal 2 2 6 12" xfId="9656" xr:uid="{00000000-0005-0000-0000-0000882A0000}"/>
    <cellStyle name="Normal 2 2 6 13" xfId="9657" xr:uid="{00000000-0005-0000-0000-0000892A0000}"/>
    <cellStyle name="Normal 2 2 6 14" xfId="9658" xr:uid="{00000000-0005-0000-0000-00008A2A0000}"/>
    <cellStyle name="Normal 2 2 6 15" xfId="9659" xr:uid="{00000000-0005-0000-0000-00008B2A0000}"/>
    <cellStyle name="Normal 2 2 6 2" xfId="9660" xr:uid="{00000000-0005-0000-0000-00008C2A0000}"/>
    <cellStyle name="Normal 2 2 6 2 2" xfId="9661" xr:uid="{00000000-0005-0000-0000-00008D2A0000}"/>
    <cellStyle name="Normal 2 2 6 2 2 2" xfId="9662" xr:uid="{00000000-0005-0000-0000-00008E2A0000}"/>
    <cellStyle name="Normal 2 2 6 2 2 3" xfId="9663" xr:uid="{00000000-0005-0000-0000-00008F2A0000}"/>
    <cellStyle name="Normal 2 2 6 2 3" xfId="9664" xr:uid="{00000000-0005-0000-0000-0000902A0000}"/>
    <cellStyle name="Normal 2 2 6 2 4" xfId="9665" xr:uid="{00000000-0005-0000-0000-0000912A0000}"/>
    <cellStyle name="Normal 2 2 6 2 5" xfId="9666" xr:uid="{00000000-0005-0000-0000-0000922A0000}"/>
    <cellStyle name="Normal 2 2 6 2 6" xfId="9667" xr:uid="{00000000-0005-0000-0000-0000932A0000}"/>
    <cellStyle name="Normal 2 2 6 2 7" xfId="9668" xr:uid="{00000000-0005-0000-0000-0000942A0000}"/>
    <cellStyle name="Normal 2 2 6 2 8" xfId="9669" xr:uid="{00000000-0005-0000-0000-0000952A0000}"/>
    <cellStyle name="Normal 2 2 6 3" xfId="9670" xr:uid="{00000000-0005-0000-0000-0000962A0000}"/>
    <cellStyle name="Normal 2 2 6 4" xfId="9671" xr:uid="{00000000-0005-0000-0000-0000972A0000}"/>
    <cellStyle name="Normal 2 2 6 5" xfId="9672" xr:uid="{00000000-0005-0000-0000-0000982A0000}"/>
    <cellStyle name="Normal 2 2 6 5 2" xfId="9673" xr:uid="{00000000-0005-0000-0000-0000992A0000}"/>
    <cellStyle name="Normal 2 2 6 5 3" xfId="9674" xr:uid="{00000000-0005-0000-0000-00009A2A0000}"/>
    <cellStyle name="Normal 2 2 6 5 4" xfId="9675" xr:uid="{00000000-0005-0000-0000-00009B2A0000}"/>
    <cellStyle name="Normal 2 2 6 6" xfId="9676" xr:uid="{00000000-0005-0000-0000-00009C2A0000}"/>
    <cellStyle name="Normal 2 2 6 6 2" xfId="9677" xr:uid="{00000000-0005-0000-0000-00009D2A0000}"/>
    <cellStyle name="Normal 2 2 6 6 3" xfId="9678" xr:uid="{00000000-0005-0000-0000-00009E2A0000}"/>
    <cellStyle name="Normal 2 2 6 6 4" xfId="9679" xr:uid="{00000000-0005-0000-0000-00009F2A0000}"/>
    <cellStyle name="Normal 2 2 6 7" xfId="9680" xr:uid="{00000000-0005-0000-0000-0000A02A0000}"/>
    <cellStyle name="Normal 2 2 6 7 2" xfId="9681" xr:uid="{00000000-0005-0000-0000-0000A12A0000}"/>
    <cellStyle name="Normal 2 2 6 7 3" xfId="9682" xr:uid="{00000000-0005-0000-0000-0000A22A0000}"/>
    <cellStyle name="Normal 2 2 6 7 4" xfId="9683" xr:uid="{00000000-0005-0000-0000-0000A32A0000}"/>
    <cellStyle name="Normal 2 2 6 8" xfId="9684" xr:uid="{00000000-0005-0000-0000-0000A42A0000}"/>
    <cellStyle name="Normal 2 2 6 9" xfId="9685" xr:uid="{00000000-0005-0000-0000-0000A52A0000}"/>
    <cellStyle name="Normal 2 2 60" xfId="9686" xr:uid="{00000000-0005-0000-0000-0000A62A0000}"/>
    <cellStyle name="Normal 2 2 61" xfId="9687" xr:uid="{00000000-0005-0000-0000-0000A72A0000}"/>
    <cellStyle name="Normal 2 2 62" xfId="9688" xr:uid="{00000000-0005-0000-0000-0000A82A0000}"/>
    <cellStyle name="Normal 2 2 63" xfId="9689" xr:uid="{00000000-0005-0000-0000-0000A92A0000}"/>
    <cellStyle name="Normal 2 2 64" xfId="9690" xr:uid="{00000000-0005-0000-0000-0000AA2A0000}"/>
    <cellStyle name="Normal 2 2 65" xfId="9691" xr:uid="{00000000-0005-0000-0000-0000AB2A0000}"/>
    <cellStyle name="Normal 2 2 66" xfId="9692" xr:uid="{00000000-0005-0000-0000-0000AC2A0000}"/>
    <cellStyle name="Normal 2 2 67" xfId="9693" xr:uid="{00000000-0005-0000-0000-0000AD2A0000}"/>
    <cellStyle name="Normal 2 2 68" xfId="9694" xr:uid="{00000000-0005-0000-0000-0000AE2A0000}"/>
    <cellStyle name="Normal 2 2 69" xfId="9695" xr:uid="{00000000-0005-0000-0000-0000AF2A0000}"/>
    <cellStyle name="Normal 2 2 7" xfId="9696" xr:uid="{00000000-0005-0000-0000-0000B02A0000}"/>
    <cellStyle name="Normal 2 2 7 2" xfId="9697" xr:uid="{00000000-0005-0000-0000-0000B12A0000}"/>
    <cellStyle name="Normal 2 2 7 3" xfId="9698" xr:uid="{00000000-0005-0000-0000-0000B22A0000}"/>
    <cellStyle name="Normal 2 2 70" xfId="9699" xr:uid="{00000000-0005-0000-0000-0000B32A0000}"/>
    <cellStyle name="Normal 2 2 71" xfId="9700" xr:uid="{00000000-0005-0000-0000-0000B42A0000}"/>
    <cellStyle name="Normal 2 2 72" xfId="9701" xr:uid="{00000000-0005-0000-0000-0000B52A0000}"/>
    <cellStyle name="Normal 2 2 73" xfId="9702" xr:uid="{00000000-0005-0000-0000-0000B62A0000}"/>
    <cellStyle name="Normal 2 2 74" xfId="9703" xr:uid="{00000000-0005-0000-0000-0000B72A0000}"/>
    <cellStyle name="Normal 2 2 75" xfId="9704" xr:uid="{00000000-0005-0000-0000-0000B82A0000}"/>
    <cellStyle name="Normal 2 2 76" xfId="9705" xr:uid="{00000000-0005-0000-0000-0000B92A0000}"/>
    <cellStyle name="Normal 2 2 77" xfId="9706" xr:uid="{00000000-0005-0000-0000-0000BA2A0000}"/>
    <cellStyle name="Normal 2 2 78" xfId="9707" xr:uid="{00000000-0005-0000-0000-0000BB2A0000}"/>
    <cellStyle name="Normal 2 2 79" xfId="9708" xr:uid="{00000000-0005-0000-0000-0000BC2A0000}"/>
    <cellStyle name="Normal 2 2 8" xfId="9709" xr:uid="{00000000-0005-0000-0000-0000BD2A0000}"/>
    <cellStyle name="Normal 2 2 8 2" xfId="9710" xr:uid="{00000000-0005-0000-0000-0000BE2A0000}"/>
    <cellStyle name="Normal 2 2 8 3" xfId="9711" xr:uid="{00000000-0005-0000-0000-0000BF2A0000}"/>
    <cellStyle name="Normal 2 2 80" xfId="9712" xr:uid="{00000000-0005-0000-0000-0000C02A0000}"/>
    <cellStyle name="Normal 2 2 81" xfId="9713" xr:uid="{00000000-0005-0000-0000-0000C12A0000}"/>
    <cellStyle name="Normal 2 2 82" xfId="9714" xr:uid="{00000000-0005-0000-0000-0000C22A0000}"/>
    <cellStyle name="Normal 2 2 83" xfId="9715" xr:uid="{00000000-0005-0000-0000-0000C32A0000}"/>
    <cellStyle name="Normal 2 2 84" xfId="9716" xr:uid="{00000000-0005-0000-0000-0000C42A0000}"/>
    <cellStyle name="Normal 2 2 85" xfId="9717" xr:uid="{00000000-0005-0000-0000-0000C52A0000}"/>
    <cellStyle name="Normal 2 2 86" xfId="9718" xr:uid="{00000000-0005-0000-0000-0000C62A0000}"/>
    <cellStyle name="Normal 2 2 87" xfId="9719" xr:uid="{00000000-0005-0000-0000-0000C72A0000}"/>
    <cellStyle name="Normal 2 2 88" xfId="9720" xr:uid="{00000000-0005-0000-0000-0000C82A0000}"/>
    <cellStyle name="Normal 2 2 89" xfId="9721" xr:uid="{00000000-0005-0000-0000-0000C92A0000}"/>
    <cellStyle name="Normal 2 2 9" xfId="9722" xr:uid="{00000000-0005-0000-0000-0000CA2A0000}"/>
    <cellStyle name="Normal 2 2 9 2" xfId="9723" xr:uid="{00000000-0005-0000-0000-0000CB2A0000}"/>
    <cellStyle name="Normal 2 2 9 3" xfId="9724" xr:uid="{00000000-0005-0000-0000-0000CC2A0000}"/>
    <cellStyle name="Normal 2 2 90" xfId="9725" xr:uid="{00000000-0005-0000-0000-0000CD2A0000}"/>
    <cellStyle name="Normal 2 2 91" xfId="9726" xr:uid="{00000000-0005-0000-0000-0000CE2A0000}"/>
    <cellStyle name="Normal 2 2 92" xfId="9727" xr:uid="{00000000-0005-0000-0000-0000CF2A0000}"/>
    <cellStyle name="Normal 2 2 93" xfId="9728" xr:uid="{00000000-0005-0000-0000-0000D02A0000}"/>
    <cellStyle name="Normal 2 2 94" xfId="9729" xr:uid="{00000000-0005-0000-0000-0000D12A0000}"/>
    <cellStyle name="Normal 2 2 95" xfId="9730" xr:uid="{00000000-0005-0000-0000-0000D22A0000}"/>
    <cellStyle name="Normal 2 2 96" xfId="9731" xr:uid="{00000000-0005-0000-0000-0000D32A0000}"/>
    <cellStyle name="Normal 2 2 97" xfId="9732" xr:uid="{00000000-0005-0000-0000-0000D42A0000}"/>
    <cellStyle name="Normal 2 2 98" xfId="9733" xr:uid="{00000000-0005-0000-0000-0000D52A0000}"/>
    <cellStyle name="Normal 2 2 99" xfId="9734" xr:uid="{00000000-0005-0000-0000-0000D62A0000}"/>
    <cellStyle name="Normal 2 20" xfId="9735" xr:uid="{00000000-0005-0000-0000-0000D72A0000}"/>
    <cellStyle name="Normal 2 21" xfId="9736" xr:uid="{00000000-0005-0000-0000-0000D82A0000}"/>
    <cellStyle name="Normal 2 22" xfId="9737" xr:uid="{00000000-0005-0000-0000-0000D92A0000}"/>
    <cellStyle name="Normal 2 23" xfId="9738" xr:uid="{00000000-0005-0000-0000-0000DA2A0000}"/>
    <cellStyle name="Normal 2 24" xfId="9739" xr:uid="{00000000-0005-0000-0000-0000DB2A0000}"/>
    <cellStyle name="Normal 2 25" xfId="9740" xr:uid="{00000000-0005-0000-0000-0000DC2A0000}"/>
    <cellStyle name="Normal 2 26" xfId="9741" xr:uid="{00000000-0005-0000-0000-0000DD2A0000}"/>
    <cellStyle name="Normal 2 27" xfId="9742" xr:uid="{00000000-0005-0000-0000-0000DE2A0000}"/>
    <cellStyle name="Normal 2 28" xfId="9743" xr:uid="{00000000-0005-0000-0000-0000DF2A0000}"/>
    <cellStyle name="Normal 2 29" xfId="9744" xr:uid="{00000000-0005-0000-0000-0000E02A0000}"/>
    <cellStyle name="Normal 2 3" xfId="205" xr:uid="{00000000-0005-0000-0000-0000E12A0000}"/>
    <cellStyle name="Normal 2 3 10" xfId="9745" xr:uid="{00000000-0005-0000-0000-0000E22A0000}"/>
    <cellStyle name="Normal 2 3 10 2" xfId="9746" xr:uid="{00000000-0005-0000-0000-0000E32A0000}"/>
    <cellStyle name="Normal 2 3 10 3" xfId="9747" xr:uid="{00000000-0005-0000-0000-0000E42A0000}"/>
    <cellStyle name="Normal 2 3 11" xfId="9748" xr:uid="{00000000-0005-0000-0000-0000E52A0000}"/>
    <cellStyle name="Normal 2 3 11 2" xfId="9749" xr:uid="{00000000-0005-0000-0000-0000E62A0000}"/>
    <cellStyle name="Normal 2 3 11 3" xfId="9750" xr:uid="{00000000-0005-0000-0000-0000E72A0000}"/>
    <cellStyle name="Normal 2 3 12" xfId="9751" xr:uid="{00000000-0005-0000-0000-0000E82A0000}"/>
    <cellStyle name="Normal 2 3 12 2" xfId="9752" xr:uid="{00000000-0005-0000-0000-0000E92A0000}"/>
    <cellStyle name="Normal 2 3 12 3" xfId="9753" xr:uid="{00000000-0005-0000-0000-0000EA2A0000}"/>
    <cellStyle name="Normal 2 3 13" xfId="9754" xr:uid="{00000000-0005-0000-0000-0000EB2A0000}"/>
    <cellStyle name="Normal 2 3 13 2" xfId="9755" xr:uid="{00000000-0005-0000-0000-0000EC2A0000}"/>
    <cellStyle name="Normal 2 3 13 3" xfId="9756" xr:uid="{00000000-0005-0000-0000-0000ED2A0000}"/>
    <cellStyle name="Normal 2 3 14" xfId="9757" xr:uid="{00000000-0005-0000-0000-0000EE2A0000}"/>
    <cellStyle name="Normal 2 3 14 2" xfId="9758" xr:uid="{00000000-0005-0000-0000-0000EF2A0000}"/>
    <cellStyle name="Normal 2 3 14 3" xfId="9759" xr:uid="{00000000-0005-0000-0000-0000F02A0000}"/>
    <cellStyle name="Normal 2 3 15" xfId="9760" xr:uid="{00000000-0005-0000-0000-0000F12A0000}"/>
    <cellStyle name="Normal 2 3 15 2" xfId="9761" xr:uid="{00000000-0005-0000-0000-0000F22A0000}"/>
    <cellStyle name="Normal 2 3 15 3" xfId="9762" xr:uid="{00000000-0005-0000-0000-0000F32A0000}"/>
    <cellStyle name="Normal 2 3 16" xfId="9763" xr:uid="{00000000-0005-0000-0000-0000F42A0000}"/>
    <cellStyle name="Normal 2 3 16 2" xfId="9764" xr:uid="{00000000-0005-0000-0000-0000F52A0000}"/>
    <cellStyle name="Normal 2 3 16 3" xfId="9765" xr:uid="{00000000-0005-0000-0000-0000F62A0000}"/>
    <cellStyle name="Normal 2 3 17" xfId="9766" xr:uid="{00000000-0005-0000-0000-0000F72A0000}"/>
    <cellStyle name="Normal 2 3 17 2" xfId="9767" xr:uid="{00000000-0005-0000-0000-0000F82A0000}"/>
    <cellStyle name="Normal 2 3 17 3" xfId="9768" xr:uid="{00000000-0005-0000-0000-0000F92A0000}"/>
    <cellStyle name="Normal 2 3 18" xfId="9769" xr:uid="{00000000-0005-0000-0000-0000FA2A0000}"/>
    <cellStyle name="Normal 2 3 19" xfId="9770" xr:uid="{00000000-0005-0000-0000-0000FB2A0000}"/>
    <cellStyle name="Normal 2 3 2" xfId="206" xr:uid="{00000000-0005-0000-0000-0000FC2A0000}"/>
    <cellStyle name="Normal 2 3 2 10" xfId="9772" xr:uid="{00000000-0005-0000-0000-0000FD2A0000}"/>
    <cellStyle name="Normal 2 3 2 11" xfId="9773" xr:uid="{00000000-0005-0000-0000-0000FE2A0000}"/>
    <cellStyle name="Normal 2 3 2 12" xfId="9774" xr:uid="{00000000-0005-0000-0000-0000FF2A0000}"/>
    <cellStyle name="Normal 2 3 2 13" xfId="9775" xr:uid="{00000000-0005-0000-0000-0000002B0000}"/>
    <cellStyle name="Normal 2 3 2 14" xfId="9776" xr:uid="{00000000-0005-0000-0000-0000012B0000}"/>
    <cellStyle name="Normal 2 3 2 15" xfId="9777" xr:uid="{00000000-0005-0000-0000-0000022B0000}"/>
    <cellStyle name="Normal 2 3 2 16" xfId="9778" xr:uid="{00000000-0005-0000-0000-0000032B0000}"/>
    <cellStyle name="Normal 2 3 2 17" xfId="9779" xr:uid="{00000000-0005-0000-0000-0000042B0000}"/>
    <cellStyle name="Normal 2 3 2 18" xfId="9780" xr:uid="{00000000-0005-0000-0000-0000052B0000}"/>
    <cellStyle name="Normal 2 3 2 19" xfId="9781" xr:uid="{00000000-0005-0000-0000-0000062B0000}"/>
    <cellStyle name="Normal 2 3 2 2" xfId="9782" xr:uid="{00000000-0005-0000-0000-0000072B0000}"/>
    <cellStyle name="Normal 2 3 2 2 2" xfId="9783" xr:uid="{00000000-0005-0000-0000-0000082B0000}"/>
    <cellStyle name="Normal 2 3 2 2 3" xfId="9784" xr:uid="{00000000-0005-0000-0000-0000092B0000}"/>
    <cellStyle name="Normal 2 3 2 2 4" xfId="27092" xr:uid="{00000000-0005-0000-0000-00000A2B0000}"/>
    <cellStyle name="Normal 2 3 2 20" xfId="9785" xr:uid="{00000000-0005-0000-0000-00000B2B0000}"/>
    <cellStyle name="Normal 2 3 2 21" xfId="9786" xr:uid="{00000000-0005-0000-0000-00000C2B0000}"/>
    <cellStyle name="Normal 2 3 2 22" xfId="9787" xr:uid="{00000000-0005-0000-0000-00000D2B0000}"/>
    <cellStyle name="Normal 2 3 2 23" xfId="9788" xr:uid="{00000000-0005-0000-0000-00000E2B0000}"/>
    <cellStyle name="Normal 2 3 2 24" xfId="9789" xr:uid="{00000000-0005-0000-0000-00000F2B0000}"/>
    <cellStyle name="Normal 2 3 2 25" xfId="9790" xr:uid="{00000000-0005-0000-0000-0000102B0000}"/>
    <cellStyle name="Normal 2 3 2 26" xfId="9791" xr:uid="{00000000-0005-0000-0000-0000112B0000}"/>
    <cellStyle name="Normal 2 3 2 27" xfId="9792" xr:uid="{00000000-0005-0000-0000-0000122B0000}"/>
    <cellStyle name="Normal 2 3 2 28" xfId="9793" xr:uid="{00000000-0005-0000-0000-0000132B0000}"/>
    <cellStyle name="Normal 2 3 2 29" xfId="9794" xr:uid="{00000000-0005-0000-0000-0000142B0000}"/>
    <cellStyle name="Normal 2 3 2 3" xfId="9795" xr:uid="{00000000-0005-0000-0000-0000152B0000}"/>
    <cellStyle name="Normal 2 3 2 3 2" xfId="9796" xr:uid="{00000000-0005-0000-0000-0000162B0000}"/>
    <cellStyle name="Normal 2 3 2 3 3" xfId="9797" xr:uid="{00000000-0005-0000-0000-0000172B0000}"/>
    <cellStyle name="Normal 2 3 2 30" xfId="9798" xr:uid="{00000000-0005-0000-0000-0000182B0000}"/>
    <cellStyle name="Normal 2 3 2 31" xfId="9799" xr:uid="{00000000-0005-0000-0000-0000192B0000}"/>
    <cellStyle name="Normal 2 3 2 32" xfId="9800" xr:uid="{00000000-0005-0000-0000-00001A2B0000}"/>
    <cellStyle name="Normal 2 3 2 33" xfId="9801" xr:uid="{00000000-0005-0000-0000-00001B2B0000}"/>
    <cellStyle name="Normal 2 3 2 34" xfId="9802" xr:uid="{00000000-0005-0000-0000-00001C2B0000}"/>
    <cellStyle name="Normal 2 3 2 35" xfId="9803" xr:uid="{00000000-0005-0000-0000-00001D2B0000}"/>
    <cellStyle name="Normal 2 3 2 36" xfId="9804" xr:uid="{00000000-0005-0000-0000-00001E2B0000}"/>
    <cellStyle name="Normal 2 3 2 37" xfId="9805" xr:uid="{00000000-0005-0000-0000-00001F2B0000}"/>
    <cellStyle name="Normal 2 3 2 38" xfId="9771" xr:uid="{00000000-0005-0000-0000-0000202B0000}"/>
    <cellStyle name="Normal 2 3 2 39" xfId="25861" xr:uid="{00000000-0005-0000-0000-0000212B0000}"/>
    <cellStyle name="Normal 2 3 2 4" xfId="9806" xr:uid="{00000000-0005-0000-0000-0000222B0000}"/>
    <cellStyle name="Normal 2 3 2 5" xfId="9807" xr:uid="{00000000-0005-0000-0000-0000232B0000}"/>
    <cellStyle name="Normal 2 3 2 6" xfId="9808" xr:uid="{00000000-0005-0000-0000-0000242B0000}"/>
    <cellStyle name="Normal 2 3 2 7" xfId="9809" xr:uid="{00000000-0005-0000-0000-0000252B0000}"/>
    <cellStyle name="Normal 2 3 2 8" xfId="9810" xr:uid="{00000000-0005-0000-0000-0000262B0000}"/>
    <cellStyle name="Normal 2 3 2 9" xfId="9811" xr:uid="{00000000-0005-0000-0000-0000272B0000}"/>
    <cellStyle name="Normal 2 3 20" xfId="9812" xr:uid="{00000000-0005-0000-0000-0000282B0000}"/>
    <cellStyle name="Normal 2 3 21" xfId="9813" xr:uid="{00000000-0005-0000-0000-0000292B0000}"/>
    <cellStyle name="Normal 2 3 22" xfId="9814" xr:uid="{00000000-0005-0000-0000-00002A2B0000}"/>
    <cellStyle name="Normal 2 3 23" xfId="9815" xr:uid="{00000000-0005-0000-0000-00002B2B0000}"/>
    <cellStyle name="Normal 2 3 24" xfId="9816" xr:uid="{00000000-0005-0000-0000-00002C2B0000}"/>
    <cellStyle name="Normal 2 3 25" xfId="9817" xr:uid="{00000000-0005-0000-0000-00002D2B0000}"/>
    <cellStyle name="Normal 2 3 26" xfId="9818" xr:uid="{00000000-0005-0000-0000-00002E2B0000}"/>
    <cellStyle name="Normal 2 3 27" xfId="9819" xr:uid="{00000000-0005-0000-0000-00002F2B0000}"/>
    <cellStyle name="Normal 2 3 28" xfId="9820" xr:uid="{00000000-0005-0000-0000-0000302B0000}"/>
    <cellStyle name="Normal 2 3 29" xfId="9821" xr:uid="{00000000-0005-0000-0000-0000312B0000}"/>
    <cellStyle name="Normal 2 3 3" xfId="9822" xr:uid="{00000000-0005-0000-0000-0000322B0000}"/>
    <cellStyle name="Normal 2 3 3 2" xfId="9823" xr:uid="{00000000-0005-0000-0000-0000332B0000}"/>
    <cellStyle name="Normal 2 3 3 3" xfId="9824" xr:uid="{00000000-0005-0000-0000-0000342B0000}"/>
    <cellStyle name="Normal 2 3 3 4" xfId="27091" xr:uid="{00000000-0005-0000-0000-0000352B0000}"/>
    <cellStyle name="Normal 2 3 30" xfId="9825" xr:uid="{00000000-0005-0000-0000-0000362B0000}"/>
    <cellStyle name="Normal 2 3 31" xfId="9826" xr:uid="{00000000-0005-0000-0000-0000372B0000}"/>
    <cellStyle name="Normal 2 3 32" xfId="9827" xr:uid="{00000000-0005-0000-0000-0000382B0000}"/>
    <cellStyle name="Normal 2 3 33" xfId="9828" xr:uid="{00000000-0005-0000-0000-0000392B0000}"/>
    <cellStyle name="Normal 2 3 34" xfId="9829" xr:uid="{00000000-0005-0000-0000-00003A2B0000}"/>
    <cellStyle name="Normal 2 3 35" xfId="9830" xr:uid="{00000000-0005-0000-0000-00003B2B0000}"/>
    <cellStyle name="Normal 2 3 36" xfId="9831" xr:uid="{00000000-0005-0000-0000-00003C2B0000}"/>
    <cellStyle name="Normal 2 3 4" xfId="9832" xr:uid="{00000000-0005-0000-0000-00003D2B0000}"/>
    <cellStyle name="Normal 2 3 4 2" xfId="9833" xr:uid="{00000000-0005-0000-0000-00003E2B0000}"/>
    <cellStyle name="Normal 2 3 4 3" xfId="9834" xr:uid="{00000000-0005-0000-0000-00003F2B0000}"/>
    <cellStyle name="Normal 2 3 5" xfId="9835" xr:uid="{00000000-0005-0000-0000-0000402B0000}"/>
    <cellStyle name="Normal 2 3 5 2" xfId="9836" xr:uid="{00000000-0005-0000-0000-0000412B0000}"/>
    <cellStyle name="Normal 2 3 5 3" xfId="9837" xr:uid="{00000000-0005-0000-0000-0000422B0000}"/>
    <cellStyle name="Normal 2 3 6" xfId="9838" xr:uid="{00000000-0005-0000-0000-0000432B0000}"/>
    <cellStyle name="Normal 2 3 6 2" xfId="9839" xr:uid="{00000000-0005-0000-0000-0000442B0000}"/>
    <cellStyle name="Normal 2 3 6 3" xfId="9840" xr:uid="{00000000-0005-0000-0000-0000452B0000}"/>
    <cellStyle name="Normal 2 3 7" xfId="9841" xr:uid="{00000000-0005-0000-0000-0000462B0000}"/>
    <cellStyle name="Normal 2 3 7 2" xfId="9842" xr:uid="{00000000-0005-0000-0000-0000472B0000}"/>
    <cellStyle name="Normal 2 3 7 3" xfId="9843" xr:uid="{00000000-0005-0000-0000-0000482B0000}"/>
    <cellStyle name="Normal 2 3 8" xfId="9844" xr:uid="{00000000-0005-0000-0000-0000492B0000}"/>
    <cellStyle name="Normal 2 3 8 2" xfId="9845" xr:uid="{00000000-0005-0000-0000-00004A2B0000}"/>
    <cellStyle name="Normal 2 3 8 3" xfId="9846" xr:uid="{00000000-0005-0000-0000-00004B2B0000}"/>
    <cellStyle name="Normal 2 3 9" xfId="9847" xr:uid="{00000000-0005-0000-0000-00004C2B0000}"/>
    <cellStyle name="Normal 2 3 9 2" xfId="9848" xr:uid="{00000000-0005-0000-0000-00004D2B0000}"/>
    <cellStyle name="Normal 2 3 9 3" xfId="9849" xr:uid="{00000000-0005-0000-0000-00004E2B0000}"/>
    <cellStyle name="Normal 2 30" xfId="9850" xr:uid="{00000000-0005-0000-0000-00004F2B0000}"/>
    <cellStyle name="Normal 2 31" xfId="9851" xr:uid="{00000000-0005-0000-0000-0000502B0000}"/>
    <cellStyle name="Normal 2 32" xfId="9852" xr:uid="{00000000-0005-0000-0000-0000512B0000}"/>
    <cellStyle name="Normal 2 33" xfId="9853" xr:uid="{00000000-0005-0000-0000-0000522B0000}"/>
    <cellStyle name="Normal 2 34" xfId="9854" xr:uid="{00000000-0005-0000-0000-0000532B0000}"/>
    <cellStyle name="Normal 2 35" xfId="9855" xr:uid="{00000000-0005-0000-0000-0000542B0000}"/>
    <cellStyle name="Normal 2 36" xfId="9856" xr:uid="{00000000-0005-0000-0000-0000552B0000}"/>
    <cellStyle name="Normal 2 37" xfId="9857" xr:uid="{00000000-0005-0000-0000-0000562B0000}"/>
    <cellStyle name="Normal 2 38" xfId="9858" xr:uid="{00000000-0005-0000-0000-0000572B0000}"/>
    <cellStyle name="Normal 2 39" xfId="9859" xr:uid="{00000000-0005-0000-0000-0000582B0000}"/>
    <cellStyle name="Normal 2 4" xfId="207" xr:uid="{00000000-0005-0000-0000-0000592B0000}"/>
    <cellStyle name="Normal 2 4 10" xfId="9860" xr:uid="{00000000-0005-0000-0000-00005A2B0000}"/>
    <cellStyle name="Normal 2 4 10 2" xfId="9861" xr:uid="{00000000-0005-0000-0000-00005B2B0000}"/>
    <cellStyle name="Normal 2 4 10 3" xfId="9862" xr:uid="{00000000-0005-0000-0000-00005C2B0000}"/>
    <cellStyle name="Normal 2 4 11" xfId="9863" xr:uid="{00000000-0005-0000-0000-00005D2B0000}"/>
    <cellStyle name="Normal 2 4 11 2" xfId="9864" xr:uid="{00000000-0005-0000-0000-00005E2B0000}"/>
    <cellStyle name="Normal 2 4 11 3" xfId="9865" xr:uid="{00000000-0005-0000-0000-00005F2B0000}"/>
    <cellStyle name="Normal 2 4 12" xfId="9866" xr:uid="{00000000-0005-0000-0000-0000602B0000}"/>
    <cellStyle name="Normal 2 4 12 2" xfId="9867" xr:uid="{00000000-0005-0000-0000-0000612B0000}"/>
    <cellStyle name="Normal 2 4 12 3" xfId="9868" xr:uid="{00000000-0005-0000-0000-0000622B0000}"/>
    <cellStyle name="Normal 2 4 13" xfId="9869" xr:uid="{00000000-0005-0000-0000-0000632B0000}"/>
    <cellStyle name="Normal 2 4 13 2" xfId="9870" xr:uid="{00000000-0005-0000-0000-0000642B0000}"/>
    <cellStyle name="Normal 2 4 13 3" xfId="9871" xr:uid="{00000000-0005-0000-0000-0000652B0000}"/>
    <cellStyle name="Normal 2 4 14" xfId="9872" xr:uid="{00000000-0005-0000-0000-0000662B0000}"/>
    <cellStyle name="Normal 2 4 14 2" xfId="9873" xr:uid="{00000000-0005-0000-0000-0000672B0000}"/>
    <cellStyle name="Normal 2 4 14 3" xfId="9874" xr:uid="{00000000-0005-0000-0000-0000682B0000}"/>
    <cellStyle name="Normal 2 4 15" xfId="9875" xr:uid="{00000000-0005-0000-0000-0000692B0000}"/>
    <cellStyle name="Normal 2 4 15 2" xfId="9876" xr:uid="{00000000-0005-0000-0000-00006A2B0000}"/>
    <cellStyle name="Normal 2 4 15 3" xfId="9877" xr:uid="{00000000-0005-0000-0000-00006B2B0000}"/>
    <cellStyle name="Normal 2 4 16" xfId="9878" xr:uid="{00000000-0005-0000-0000-00006C2B0000}"/>
    <cellStyle name="Normal 2 4 16 2" xfId="9879" xr:uid="{00000000-0005-0000-0000-00006D2B0000}"/>
    <cellStyle name="Normal 2 4 16 3" xfId="9880" xr:uid="{00000000-0005-0000-0000-00006E2B0000}"/>
    <cellStyle name="Normal 2 4 17" xfId="9881" xr:uid="{00000000-0005-0000-0000-00006F2B0000}"/>
    <cellStyle name="Normal 2 4 17 2" xfId="9882" xr:uid="{00000000-0005-0000-0000-0000702B0000}"/>
    <cellStyle name="Normal 2 4 17 3" xfId="9883" xr:uid="{00000000-0005-0000-0000-0000712B0000}"/>
    <cellStyle name="Normal 2 4 18" xfId="9884" xr:uid="{00000000-0005-0000-0000-0000722B0000}"/>
    <cellStyle name="Normal 2 4 18 2" xfId="9885" xr:uid="{00000000-0005-0000-0000-0000732B0000}"/>
    <cellStyle name="Normal 2 4 18 3" xfId="9886" xr:uid="{00000000-0005-0000-0000-0000742B0000}"/>
    <cellStyle name="Normal 2 4 19" xfId="9887" xr:uid="{00000000-0005-0000-0000-0000752B0000}"/>
    <cellStyle name="Normal 2 4 19 2" xfId="9888" xr:uid="{00000000-0005-0000-0000-0000762B0000}"/>
    <cellStyle name="Normal 2 4 19 3" xfId="9889" xr:uid="{00000000-0005-0000-0000-0000772B0000}"/>
    <cellStyle name="Normal 2 4 2" xfId="208" xr:uid="{00000000-0005-0000-0000-0000782B0000}"/>
    <cellStyle name="Normal 2 4 2 10" xfId="9891" xr:uid="{00000000-0005-0000-0000-0000792B0000}"/>
    <cellStyle name="Normal 2 4 2 11" xfId="9892" xr:uid="{00000000-0005-0000-0000-00007A2B0000}"/>
    <cellStyle name="Normal 2 4 2 12" xfId="9893" xr:uid="{00000000-0005-0000-0000-00007B2B0000}"/>
    <cellStyle name="Normal 2 4 2 13" xfId="9894" xr:uid="{00000000-0005-0000-0000-00007C2B0000}"/>
    <cellStyle name="Normal 2 4 2 14" xfId="9895" xr:uid="{00000000-0005-0000-0000-00007D2B0000}"/>
    <cellStyle name="Normal 2 4 2 15" xfId="9896" xr:uid="{00000000-0005-0000-0000-00007E2B0000}"/>
    <cellStyle name="Normal 2 4 2 16" xfId="9897" xr:uid="{00000000-0005-0000-0000-00007F2B0000}"/>
    <cellStyle name="Normal 2 4 2 17" xfId="9898" xr:uid="{00000000-0005-0000-0000-0000802B0000}"/>
    <cellStyle name="Normal 2 4 2 18" xfId="9899" xr:uid="{00000000-0005-0000-0000-0000812B0000}"/>
    <cellStyle name="Normal 2 4 2 19" xfId="9900" xr:uid="{00000000-0005-0000-0000-0000822B0000}"/>
    <cellStyle name="Normal 2 4 2 2" xfId="9901" xr:uid="{00000000-0005-0000-0000-0000832B0000}"/>
    <cellStyle name="Normal 2 4 2 2 2" xfId="9902" xr:uid="{00000000-0005-0000-0000-0000842B0000}"/>
    <cellStyle name="Normal 2 4 2 2 2 2" xfId="9903" xr:uid="{00000000-0005-0000-0000-0000852B0000}"/>
    <cellStyle name="Normal 2 4 2 2 2 3" xfId="9904" xr:uid="{00000000-0005-0000-0000-0000862B0000}"/>
    <cellStyle name="Normal 2 4 2 2 2 4" xfId="9905" xr:uid="{00000000-0005-0000-0000-0000872B0000}"/>
    <cellStyle name="Normal 2 4 2 2 2 4 2" xfId="9906" xr:uid="{00000000-0005-0000-0000-0000882B0000}"/>
    <cellStyle name="Normal 2 4 2 2 2 5" xfId="9907" xr:uid="{00000000-0005-0000-0000-0000892B0000}"/>
    <cellStyle name="Normal 2 4 2 2 2 6" xfId="9908" xr:uid="{00000000-0005-0000-0000-00008A2B0000}"/>
    <cellStyle name="Normal 2 4 2 2 2 7" xfId="9909" xr:uid="{00000000-0005-0000-0000-00008B2B0000}"/>
    <cellStyle name="Normal 2 4 2 2 3" xfId="9910" xr:uid="{00000000-0005-0000-0000-00008C2B0000}"/>
    <cellStyle name="Normal 2 4 2 2 4" xfId="27094" xr:uid="{00000000-0005-0000-0000-00008D2B0000}"/>
    <cellStyle name="Normal 2 4 2 20" xfId="9911" xr:uid="{00000000-0005-0000-0000-00008E2B0000}"/>
    <cellStyle name="Normal 2 4 2 21" xfId="9912" xr:uid="{00000000-0005-0000-0000-00008F2B0000}"/>
    <cellStyle name="Normal 2 4 2 22" xfId="9913" xr:uid="{00000000-0005-0000-0000-0000902B0000}"/>
    <cellStyle name="Normal 2 4 2 23" xfId="9914" xr:uid="{00000000-0005-0000-0000-0000912B0000}"/>
    <cellStyle name="Normal 2 4 2 24" xfId="9915" xr:uid="{00000000-0005-0000-0000-0000922B0000}"/>
    <cellStyle name="Normal 2 4 2 25" xfId="9916" xr:uid="{00000000-0005-0000-0000-0000932B0000}"/>
    <cellStyle name="Normal 2 4 2 26" xfId="9917" xr:uid="{00000000-0005-0000-0000-0000942B0000}"/>
    <cellStyle name="Normal 2 4 2 27" xfId="9918" xr:uid="{00000000-0005-0000-0000-0000952B0000}"/>
    <cellStyle name="Normal 2 4 2 28" xfId="9919" xr:uid="{00000000-0005-0000-0000-0000962B0000}"/>
    <cellStyle name="Normal 2 4 2 29" xfId="9920" xr:uid="{00000000-0005-0000-0000-0000972B0000}"/>
    <cellStyle name="Normal 2 4 2 3" xfId="9921" xr:uid="{00000000-0005-0000-0000-0000982B0000}"/>
    <cellStyle name="Normal 2 4 2 30" xfId="9922" xr:uid="{00000000-0005-0000-0000-0000992B0000}"/>
    <cellStyle name="Normal 2 4 2 31" xfId="9923" xr:uid="{00000000-0005-0000-0000-00009A2B0000}"/>
    <cellStyle name="Normal 2 4 2 32" xfId="9924" xr:uid="{00000000-0005-0000-0000-00009B2B0000}"/>
    <cellStyle name="Normal 2 4 2 33" xfId="9925" xr:uid="{00000000-0005-0000-0000-00009C2B0000}"/>
    <cellStyle name="Normal 2 4 2 34" xfId="9926" xr:uid="{00000000-0005-0000-0000-00009D2B0000}"/>
    <cellStyle name="Normal 2 4 2 35" xfId="9927" xr:uid="{00000000-0005-0000-0000-00009E2B0000}"/>
    <cellStyle name="Normal 2 4 2 36" xfId="9928" xr:uid="{00000000-0005-0000-0000-00009F2B0000}"/>
    <cellStyle name="Normal 2 4 2 37" xfId="9929" xr:uid="{00000000-0005-0000-0000-0000A02B0000}"/>
    <cellStyle name="Normal 2 4 2 38" xfId="9890" xr:uid="{00000000-0005-0000-0000-0000A12B0000}"/>
    <cellStyle name="Normal 2 4 2 39" xfId="25862" xr:uid="{00000000-0005-0000-0000-0000A22B0000}"/>
    <cellStyle name="Normal 2 4 2 4" xfId="9930" xr:uid="{00000000-0005-0000-0000-0000A32B0000}"/>
    <cellStyle name="Normal 2 4 2 5" xfId="9931" xr:uid="{00000000-0005-0000-0000-0000A42B0000}"/>
    <cellStyle name="Normal 2 4 2 6" xfId="9932" xr:uid="{00000000-0005-0000-0000-0000A52B0000}"/>
    <cellStyle name="Normal 2 4 2 7" xfId="9933" xr:uid="{00000000-0005-0000-0000-0000A62B0000}"/>
    <cellStyle name="Normal 2 4 2 8" xfId="9934" xr:uid="{00000000-0005-0000-0000-0000A72B0000}"/>
    <cellStyle name="Normal 2 4 2 9" xfId="9935" xr:uid="{00000000-0005-0000-0000-0000A82B0000}"/>
    <cellStyle name="Normal 2 4 20" xfId="9936" xr:uid="{00000000-0005-0000-0000-0000A92B0000}"/>
    <cellStyle name="Normal 2 4 21" xfId="9937" xr:uid="{00000000-0005-0000-0000-0000AA2B0000}"/>
    <cellStyle name="Normal 2 4 22" xfId="9938" xr:uid="{00000000-0005-0000-0000-0000AB2B0000}"/>
    <cellStyle name="Normal 2 4 23" xfId="9939" xr:uid="{00000000-0005-0000-0000-0000AC2B0000}"/>
    <cellStyle name="Normal 2 4 24" xfId="9940" xr:uid="{00000000-0005-0000-0000-0000AD2B0000}"/>
    <cellStyle name="Normal 2 4 25" xfId="9941" xr:uid="{00000000-0005-0000-0000-0000AE2B0000}"/>
    <cellStyle name="Normal 2 4 26" xfId="9942" xr:uid="{00000000-0005-0000-0000-0000AF2B0000}"/>
    <cellStyle name="Normal 2 4 27" xfId="9943" xr:uid="{00000000-0005-0000-0000-0000B02B0000}"/>
    <cellStyle name="Normal 2 4 28" xfId="9944" xr:uid="{00000000-0005-0000-0000-0000B12B0000}"/>
    <cellStyle name="Normal 2 4 29" xfId="9945" xr:uid="{00000000-0005-0000-0000-0000B22B0000}"/>
    <cellStyle name="Normal 2 4 3" xfId="209" xr:uid="{00000000-0005-0000-0000-0000B32B0000}"/>
    <cellStyle name="Normal 2 4 3 2" xfId="9947" xr:uid="{00000000-0005-0000-0000-0000B42B0000}"/>
    <cellStyle name="Normal 2 4 3 3" xfId="9948" xr:uid="{00000000-0005-0000-0000-0000B52B0000}"/>
    <cellStyle name="Normal 2 4 3 4" xfId="9946" xr:uid="{00000000-0005-0000-0000-0000B62B0000}"/>
    <cellStyle name="Normal 2 4 3 5" xfId="27093" xr:uid="{00000000-0005-0000-0000-0000B72B0000}"/>
    <cellStyle name="Normal 2 4 30" xfId="9949" xr:uid="{00000000-0005-0000-0000-0000B82B0000}"/>
    <cellStyle name="Normal 2 4 31" xfId="9950" xr:uid="{00000000-0005-0000-0000-0000B92B0000}"/>
    <cellStyle name="Normal 2 4 32" xfId="9951" xr:uid="{00000000-0005-0000-0000-0000BA2B0000}"/>
    <cellStyle name="Normal 2 4 33" xfId="9952" xr:uid="{00000000-0005-0000-0000-0000BB2B0000}"/>
    <cellStyle name="Normal 2 4 34" xfId="9953" xr:uid="{00000000-0005-0000-0000-0000BC2B0000}"/>
    <cellStyle name="Normal 2 4 35" xfId="9954" xr:uid="{00000000-0005-0000-0000-0000BD2B0000}"/>
    <cellStyle name="Normal 2 4 36" xfId="9955" xr:uid="{00000000-0005-0000-0000-0000BE2B0000}"/>
    <cellStyle name="Normal 2 4 37" xfId="9956" xr:uid="{00000000-0005-0000-0000-0000BF2B0000}"/>
    <cellStyle name="Normal 2 4 4" xfId="9957" xr:uid="{00000000-0005-0000-0000-0000C02B0000}"/>
    <cellStyle name="Normal 2 4 4 2" xfId="9958" xr:uid="{00000000-0005-0000-0000-0000C12B0000}"/>
    <cellStyle name="Normal 2 4 4 2 2" xfId="9959" xr:uid="{00000000-0005-0000-0000-0000C22B0000}"/>
    <cellStyle name="Normal 2 4 4 3" xfId="9960" xr:uid="{00000000-0005-0000-0000-0000C32B0000}"/>
    <cellStyle name="Normal 2 4 4 3 2" xfId="9961" xr:uid="{00000000-0005-0000-0000-0000C42B0000}"/>
    <cellStyle name="Normal 2 4 4 3 3" xfId="9962" xr:uid="{00000000-0005-0000-0000-0000C52B0000}"/>
    <cellStyle name="Normal 2 4 4 3 3 2" xfId="9963" xr:uid="{00000000-0005-0000-0000-0000C62B0000}"/>
    <cellStyle name="Normal 2 4 4 3 4" xfId="9964" xr:uid="{00000000-0005-0000-0000-0000C72B0000}"/>
    <cellStyle name="Normal 2 4 4 3 4 2" xfId="9965" xr:uid="{00000000-0005-0000-0000-0000C82B0000}"/>
    <cellStyle name="Normal 2 4 4 3 5" xfId="9966" xr:uid="{00000000-0005-0000-0000-0000C92B0000}"/>
    <cellStyle name="Normal 2 4 4 3 6" xfId="9967" xr:uid="{00000000-0005-0000-0000-0000CA2B0000}"/>
    <cellStyle name="Normal 2 4 4 3 7" xfId="9968" xr:uid="{00000000-0005-0000-0000-0000CB2B0000}"/>
    <cellStyle name="Normal 2 4 4 4" xfId="9969" xr:uid="{00000000-0005-0000-0000-0000CC2B0000}"/>
    <cellStyle name="Normal 2 4 4 4 2" xfId="9970" xr:uid="{00000000-0005-0000-0000-0000CD2B0000}"/>
    <cellStyle name="Normal 2 4 5" xfId="9971" xr:uid="{00000000-0005-0000-0000-0000CE2B0000}"/>
    <cellStyle name="Normal 2 4 5 2" xfId="9972" xr:uid="{00000000-0005-0000-0000-0000CF2B0000}"/>
    <cellStyle name="Normal 2 4 5 3" xfId="9973" xr:uid="{00000000-0005-0000-0000-0000D02B0000}"/>
    <cellStyle name="Normal 2 4 6" xfId="9974" xr:uid="{00000000-0005-0000-0000-0000D12B0000}"/>
    <cellStyle name="Normal 2 4 6 2" xfId="9975" xr:uid="{00000000-0005-0000-0000-0000D22B0000}"/>
    <cellStyle name="Normal 2 4 6 3" xfId="9976" xr:uid="{00000000-0005-0000-0000-0000D32B0000}"/>
    <cellStyle name="Normal 2 4 7" xfId="9977" xr:uid="{00000000-0005-0000-0000-0000D42B0000}"/>
    <cellStyle name="Normal 2 4 7 2" xfId="9978" xr:uid="{00000000-0005-0000-0000-0000D52B0000}"/>
    <cellStyle name="Normal 2 4 7 3" xfId="9979" xr:uid="{00000000-0005-0000-0000-0000D62B0000}"/>
    <cellStyle name="Normal 2 4 8" xfId="9980" xr:uid="{00000000-0005-0000-0000-0000D72B0000}"/>
    <cellStyle name="Normal 2 4 8 2" xfId="9981" xr:uid="{00000000-0005-0000-0000-0000D82B0000}"/>
    <cellStyle name="Normal 2 4 8 3" xfId="9982" xr:uid="{00000000-0005-0000-0000-0000D92B0000}"/>
    <cellStyle name="Normal 2 4 9" xfId="9983" xr:uid="{00000000-0005-0000-0000-0000DA2B0000}"/>
    <cellStyle name="Normal 2 4 9 2" xfId="9984" xr:uid="{00000000-0005-0000-0000-0000DB2B0000}"/>
    <cellStyle name="Normal 2 4 9 3" xfId="9985" xr:uid="{00000000-0005-0000-0000-0000DC2B0000}"/>
    <cellStyle name="Normal 2 40" xfId="9986" xr:uid="{00000000-0005-0000-0000-0000DD2B0000}"/>
    <cellStyle name="Normal 2 41" xfId="9987" xr:uid="{00000000-0005-0000-0000-0000DE2B0000}"/>
    <cellStyle name="Normal 2 42" xfId="9988" xr:uid="{00000000-0005-0000-0000-0000DF2B0000}"/>
    <cellStyle name="Normal 2 43" xfId="9989" xr:uid="{00000000-0005-0000-0000-0000E02B0000}"/>
    <cellStyle name="Normal 2 44" xfId="9990" xr:uid="{00000000-0005-0000-0000-0000E12B0000}"/>
    <cellStyle name="Normal 2 45" xfId="9991" xr:uid="{00000000-0005-0000-0000-0000E22B0000}"/>
    <cellStyle name="Normal 2 46" xfId="9992" xr:uid="{00000000-0005-0000-0000-0000E32B0000}"/>
    <cellStyle name="Normal 2 47" xfId="9993" xr:uid="{00000000-0005-0000-0000-0000E42B0000}"/>
    <cellStyle name="Normal 2 48" xfId="9994" xr:uid="{00000000-0005-0000-0000-0000E52B0000}"/>
    <cellStyle name="Normal 2 49" xfId="9995" xr:uid="{00000000-0005-0000-0000-0000E62B0000}"/>
    <cellStyle name="Normal 2 5" xfId="210" xr:uid="{00000000-0005-0000-0000-0000E72B0000}"/>
    <cellStyle name="Normal 2 5 2" xfId="211" xr:uid="{00000000-0005-0000-0000-0000E82B0000}"/>
    <cellStyle name="Normal 2 5 2 2" xfId="9997" xr:uid="{00000000-0005-0000-0000-0000E92B0000}"/>
    <cellStyle name="Normal 2 5 2 3" xfId="25863" xr:uid="{00000000-0005-0000-0000-0000EA2B0000}"/>
    <cellStyle name="Normal 2 5 3" xfId="9998" xr:uid="{00000000-0005-0000-0000-0000EB2B0000}"/>
    <cellStyle name="Normal 2 5 4" xfId="9996" xr:uid="{00000000-0005-0000-0000-0000EC2B0000}"/>
    <cellStyle name="Normal 2 50" xfId="9999" xr:uid="{00000000-0005-0000-0000-0000ED2B0000}"/>
    <cellStyle name="Normal 2 51" xfId="10000" xr:uid="{00000000-0005-0000-0000-0000EE2B0000}"/>
    <cellStyle name="Normal 2 52" xfId="10001" xr:uid="{00000000-0005-0000-0000-0000EF2B0000}"/>
    <cellStyle name="Normal 2 53" xfId="10002" xr:uid="{00000000-0005-0000-0000-0000F02B0000}"/>
    <cellStyle name="Normal 2 54" xfId="10003" xr:uid="{00000000-0005-0000-0000-0000F12B0000}"/>
    <cellStyle name="Normal 2 55" xfId="10004" xr:uid="{00000000-0005-0000-0000-0000F22B0000}"/>
    <cellStyle name="Normal 2 56" xfId="10005" xr:uid="{00000000-0005-0000-0000-0000F32B0000}"/>
    <cellStyle name="Normal 2 57" xfId="10006" xr:uid="{00000000-0005-0000-0000-0000F42B0000}"/>
    <cellStyle name="Normal 2 58" xfId="10007" xr:uid="{00000000-0005-0000-0000-0000F52B0000}"/>
    <cellStyle name="Normal 2 59" xfId="10008" xr:uid="{00000000-0005-0000-0000-0000F62B0000}"/>
    <cellStyle name="Normal 2 6" xfId="212" xr:uid="{00000000-0005-0000-0000-0000F72B0000}"/>
    <cellStyle name="Normal 2 6 2" xfId="10010" xr:uid="{00000000-0005-0000-0000-0000F82B0000}"/>
    <cellStyle name="Normal 2 6 2 2" xfId="10011" xr:uid="{00000000-0005-0000-0000-0000F92B0000}"/>
    <cellStyle name="Normal 2 6 2 3" xfId="10012" xr:uid="{00000000-0005-0000-0000-0000FA2B0000}"/>
    <cellStyle name="Normal 2 6 3" xfId="10013" xr:uid="{00000000-0005-0000-0000-0000FB2B0000}"/>
    <cellStyle name="Normal 2 6 4" xfId="10009" xr:uid="{00000000-0005-0000-0000-0000FC2B0000}"/>
    <cellStyle name="Normal 2 60" xfId="10014" xr:uid="{00000000-0005-0000-0000-0000FD2B0000}"/>
    <cellStyle name="Normal 2 61" xfId="10015" xr:uid="{00000000-0005-0000-0000-0000FE2B0000}"/>
    <cellStyle name="Normal 2 62" xfId="10016" xr:uid="{00000000-0005-0000-0000-0000FF2B0000}"/>
    <cellStyle name="Normal 2 63" xfId="10017" xr:uid="{00000000-0005-0000-0000-0000002C0000}"/>
    <cellStyle name="Normal 2 64" xfId="10018" xr:uid="{00000000-0005-0000-0000-0000012C0000}"/>
    <cellStyle name="Normal 2 65" xfId="10019" xr:uid="{00000000-0005-0000-0000-0000022C0000}"/>
    <cellStyle name="Normal 2 66" xfId="10020" xr:uid="{00000000-0005-0000-0000-0000032C0000}"/>
    <cellStyle name="Normal 2 67" xfId="10021" xr:uid="{00000000-0005-0000-0000-0000042C0000}"/>
    <cellStyle name="Normal 2 68" xfId="10022" xr:uid="{00000000-0005-0000-0000-0000052C0000}"/>
    <cellStyle name="Normal 2 69" xfId="10023" xr:uid="{00000000-0005-0000-0000-0000062C0000}"/>
    <cellStyle name="Normal 2 7" xfId="10024" xr:uid="{00000000-0005-0000-0000-0000072C0000}"/>
    <cellStyle name="Normal 2 7 2" xfId="25864" xr:uid="{00000000-0005-0000-0000-0000082C0000}"/>
    <cellStyle name="Normal 2 70" xfId="10025" xr:uid="{00000000-0005-0000-0000-0000092C0000}"/>
    <cellStyle name="Normal 2 71" xfId="10026" xr:uid="{00000000-0005-0000-0000-00000A2C0000}"/>
    <cellStyle name="Normal 2 72" xfId="10027" xr:uid="{00000000-0005-0000-0000-00000B2C0000}"/>
    <cellStyle name="Normal 2 73" xfId="10028" xr:uid="{00000000-0005-0000-0000-00000C2C0000}"/>
    <cellStyle name="Normal 2 74" xfId="10029" xr:uid="{00000000-0005-0000-0000-00000D2C0000}"/>
    <cellStyle name="Normal 2 75" xfId="10030" xr:uid="{00000000-0005-0000-0000-00000E2C0000}"/>
    <cellStyle name="Normal 2 76" xfId="10031" xr:uid="{00000000-0005-0000-0000-00000F2C0000}"/>
    <cellStyle name="Normal 2 77" xfId="10032" xr:uid="{00000000-0005-0000-0000-0000102C0000}"/>
    <cellStyle name="Normal 2 78" xfId="10033" xr:uid="{00000000-0005-0000-0000-0000112C0000}"/>
    <cellStyle name="Normal 2 79" xfId="10034" xr:uid="{00000000-0005-0000-0000-0000122C0000}"/>
    <cellStyle name="Normal 2 8" xfId="10035" xr:uid="{00000000-0005-0000-0000-0000132C0000}"/>
    <cellStyle name="Normal 2 80" xfId="10036" xr:uid="{00000000-0005-0000-0000-0000142C0000}"/>
    <cellStyle name="Normal 2 81" xfId="10037" xr:uid="{00000000-0005-0000-0000-0000152C0000}"/>
    <cellStyle name="Normal 2 82" xfId="10038" xr:uid="{00000000-0005-0000-0000-0000162C0000}"/>
    <cellStyle name="Normal 2 83" xfId="10039" xr:uid="{00000000-0005-0000-0000-0000172C0000}"/>
    <cellStyle name="Normal 2 84" xfId="10040" xr:uid="{00000000-0005-0000-0000-0000182C0000}"/>
    <cellStyle name="Normal 2 85" xfId="10041" xr:uid="{00000000-0005-0000-0000-0000192C0000}"/>
    <cellStyle name="Normal 2 86" xfId="10042" xr:uid="{00000000-0005-0000-0000-00001A2C0000}"/>
    <cellStyle name="Normal 2 87" xfId="10043" xr:uid="{00000000-0005-0000-0000-00001B2C0000}"/>
    <cellStyle name="Normal 2 88" xfId="10044" xr:uid="{00000000-0005-0000-0000-00001C2C0000}"/>
    <cellStyle name="Normal 2 89" xfId="10045" xr:uid="{00000000-0005-0000-0000-00001D2C0000}"/>
    <cellStyle name="Normal 2 9" xfId="10046" xr:uid="{00000000-0005-0000-0000-00001E2C0000}"/>
    <cellStyle name="Normal 2 9 2" xfId="27146" xr:uid="{00000000-0005-0000-0000-00001F2C0000}"/>
    <cellStyle name="Normal 2 90" xfId="10047" xr:uid="{00000000-0005-0000-0000-0000202C0000}"/>
    <cellStyle name="Normal 2 91" xfId="10048" xr:uid="{00000000-0005-0000-0000-0000212C0000}"/>
    <cellStyle name="Normal 2 92" xfId="10049" xr:uid="{00000000-0005-0000-0000-0000222C0000}"/>
    <cellStyle name="Normal 2 93" xfId="10050" xr:uid="{00000000-0005-0000-0000-0000232C0000}"/>
    <cellStyle name="Normal 2 94" xfId="10051" xr:uid="{00000000-0005-0000-0000-0000242C0000}"/>
    <cellStyle name="Normal 2 95" xfId="10052" xr:uid="{00000000-0005-0000-0000-0000252C0000}"/>
    <cellStyle name="Normal 2 96" xfId="10053" xr:uid="{00000000-0005-0000-0000-0000262C0000}"/>
    <cellStyle name="Normal 2 97" xfId="10054" xr:uid="{00000000-0005-0000-0000-0000272C0000}"/>
    <cellStyle name="Normal 2 98" xfId="10055" xr:uid="{00000000-0005-0000-0000-0000282C0000}"/>
    <cellStyle name="Normal 2 99" xfId="10056" xr:uid="{00000000-0005-0000-0000-0000292C0000}"/>
    <cellStyle name="Normal 2_2008 - Planilha Medição EAS Casco-002 JUN08" xfId="10057" xr:uid="{00000000-0005-0000-0000-00002A2C0000}"/>
    <cellStyle name="Normal 20" xfId="213" xr:uid="{00000000-0005-0000-0000-00002B2C0000}"/>
    <cellStyle name="Normal 20 2" xfId="214" xr:uid="{00000000-0005-0000-0000-00002C2C0000}"/>
    <cellStyle name="Normal 20 2 2" xfId="10060" xr:uid="{00000000-0005-0000-0000-00002D2C0000}"/>
    <cellStyle name="Normal 20 2 3" xfId="10061" xr:uid="{00000000-0005-0000-0000-00002E2C0000}"/>
    <cellStyle name="Normal 20 2 4" xfId="10059" xr:uid="{00000000-0005-0000-0000-00002F2C0000}"/>
    <cellStyle name="Normal 20 3" xfId="10062" xr:uid="{00000000-0005-0000-0000-0000302C0000}"/>
    <cellStyle name="Normal 20 4" xfId="10063" xr:uid="{00000000-0005-0000-0000-0000312C0000}"/>
    <cellStyle name="Normal 20 5" xfId="10058" xr:uid="{00000000-0005-0000-0000-0000322C0000}"/>
    <cellStyle name="Normal 21" xfId="215" xr:uid="{00000000-0005-0000-0000-0000332C0000}"/>
    <cellStyle name="Normal 21 2" xfId="216" xr:uid="{00000000-0005-0000-0000-0000342C0000}"/>
    <cellStyle name="Normal 21 2 2" xfId="10066" xr:uid="{00000000-0005-0000-0000-0000352C0000}"/>
    <cellStyle name="Normal 21 2 3" xfId="10065" xr:uid="{00000000-0005-0000-0000-0000362C0000}"/>
    <cellStyle name="Normal 21 3" xfId="10067" xr:uid="{00000000-0005-0000-0000-0000372C0000}"/>
    <cellStyle name="Normal 21 3 2" xfId="10068" xr:uid="{00000000-0005-0000-0000-0000382C0000}"/>
    <cellStyle name="Normal 21 4" xfId="10064" xr:uid="{00000000-0005-0000-0000-0000392C0000}"/>
    <cellStyle name="Normal 21 5" xfId="27503" xr:uid="{00000000-0005-0000-0000-00003A2C0000}"/>
    <cellStyle name="Normal 22" xfId="217" xr:uid="{00000000-0005-0000-0000-00003B2C0000}"/>
    <cellStyle name="Normal 22 2" xfId="218" xr:uid="{00000000-0005-0000-0000-00003C2C0000}"/>
    <cellStyle name="Normal 22 2 2" xfId="10071" xr:uid="{00000000-0005-0000-0000-00003D2C0000}"/>
    <cellStyle name="Normal 22 2 2 2" xfId="10072" xr:uid="{00000000-0005-0000-0000-00003E2C0000}"/>
    <cellStyle name="Normal 22 2 2 3" xfId="10073" xr:uid="{00000000-0005-0000-0000-00003F2C0000}"/>
    <cellStyle name="Normal 22 2 3" xfId="10074" xr:uid="{00000000-0005-0000-0000-0000402C0000}"/>
    <cellStyle name="Normal 22 2 3 2" xfId="10075" xr:uid="{00000000-0005-0000-0000-0000412C0000}"/>
    <cellStyle name="Normal 22 2 3 2 2" xfId="10076" xr:uid="{00000000-0005-0000-0000-0000422C0000}"/>
    <cellStyle name="Normal 22 2 3 3" xfId="10077" xr:uid="{00000000-0005-0000-0000-0000432C0000}"/>
    <cellStyle name="Normal 22 2 3 4" xfId="10078" xr:uid="{00000000-0005-0000-0000-0000442C0000}"/>
    <cellStyle name="Normal 22 2 4" xfId="10079" xr:uid="{00000000-0005-0000-0000-0000452C0000}"/>
    <cellStyle name="Normal 22 2 5" xfId="10080" xr:uid="{00000000-0005-0000-0000-0000462C0000}"/>
    <cellStyle name="Normal 22 2 6" xfId="10070" xr:uid="{00000000-0005-0000-0000-0000472C0000}"/>
    <cellStyle name="Normal 22 3" xfId="10081" xr:uid="{00000000-0005-0000-0000-0000482C0000}"/>
    <cellStyle name="Normal 22 3 2" xfId="10082" xr:uid="{00000000-0005-0000-0000-0000492C0000}"/>
    <cellStyle name="Normal 22 3 2 2" xfId="10083" xr:uid="{00000000-0005-0000-0000-00004A2C0000}"/>
    <cellStyle name="Normal 22 3 2 3" xfId="10084" xr:uid="{00000000-0005-0000-0000-00004B2C0000}"/>
    <cellStyle name="Normal 22 3 3" xfId="10085" xr:uid="{00000000-0005-0000-0000-00004C2C0000}"/>
    <cellStyle name="Normal 22 3 4" xfId="10086" xr:uid="{00000000-0005-0000-0000-00004D2C0000}"/>
    <cellStyle name="Normal 22 4" xfId="10087" xr:uid="{00000000-0005-0000-0000-00004E2C0000}"/>
    <cellStyle name="Normal 22 4 2" xfId="10088" xr:uid="{00000000-0005-0000-0000-00004F2C0000}"/>
    <cellStyle name="Normal 22 4 2 2" xfId="10089" xr:uid="{00000000-0005-0000-0000-0000502C0000}"/>
    <cellStyle name="Normal 22 4 3" xfId="10090" xr:uid="{00000000-0005-0000-0000-0000512C0000}"/>
    <cellStyle name="Normal 22 4 4" xfId="10091" xr:uid="{00000000-0005-0000-0000-0000522C0000}"/>
    <cellStyle name="Normal 22 5" xfId="10092" xr:uid="{00000000-0005-0000-0000-0000532C0000}"/>
    <cellStyle name="Normal 22 5 2" xfId="10093" xr:uid="{00000000-0005-0000-0000-0000542C0000}"/>
    <cellStyle name="Normal 22 6" xfId="10094" xr:uid="{00000000-0005-0000-0000-0000552C0000}"/>
    <cellStyle name="Normal 22 7" xfId="10069" xr:uid="{00000000-0005-0000-0000-0000562C0000}"/>
    <cellStyle name="Normal 22_Recurso Jan a Mar 09 DEF" xfId="10095" xr:uid="{00000000-0005-0000-0000-0000572C0000}"/>
    <cellStyle name="Normal 23" xfId="219" xr:uid="{00000000-0005-0000-0000-0000582C0000}"/>
    <cellStyle name="Normal 23 2" xfId="220" xr:uid="{00000000-0005-0000-0000-0000592C0000}"/>
    <cellStyle name="Normal 23 2 2" xfId="10097" xr:uid="{00000000-0005-0000-0000-00005A2C0000}"/>
    <cellStyle name="Normal 23 3" xfId="10098" xr:uid="{00000000-0005-0000-0000-00005B2C0000}"/>
    <cellStyle name="Normal 23 4" xfId="10099" xr:uid="{00000000-0005-0000-0000-00005C2C0000}"/>
    <cellStyle name="Normal 23 5" xfId="10096" xr:uid="{00000000-0005-0000-0000-00005D2C0000}"/>
    <cellStyle name="Normal 24" xfId="221" xr:uid="{00000000-0005-0000-0000-00005E2C0000}"/>
    <cellStyle name="Normal 24 2" xfId="222" xr:uid="{00000000-0005-0000-0000-00005F2C0000}"/>
    <cellStyle name="Normal 24 2 2" xfId="10101" xr:uid="{00000000-0005-0000-0000-0000602C0000}"/>
    <cellStyle name="Normal 24 3" xfId="10102" xr:uid="{00000000-0005-0000-0000-0000612C0000}"/>
    <cellStyle name="Normal 24 4" xfId="10100" xr:uid="{00000000-0005-0000-0000-0000622C0000}"/>
    <cellStyle name="Normal 24 5" xfId="27504" xr:uid="{00000000-0005-0000-0000-0000632C0000}"/>
    <cellStyle name="Normal 25" xfId="223" xr:uid="{00000000-0005-0000-0000-0000642C0000}"/>
    <cellStyle name="Normal 25 2" xfId="224" xr:uid="{00000000-0005-0000-0000-0000652C0000}"/>
    <cellStyle name="Normal 25 2 2" xfId="10104" xr:uid="{00000000-0005-0000-0000-0000662C0000}"/>
    <cellStyle name="Normal 25 3" xfId="10105" xr:uid="{00000000-0005-0000-0000-0000672C0000}"/>
    <cellStyle name="Normal 25 4" xfId="10103" xr:uid="{00000000-0005-0000-0000-0000682C0000}"/>
    <cellStyle name="Normal 25 5" xfId="27505" xr:uid="{00000000-0005-0000-0000-0000692C0000}"/>
    <cellStyle name="Normal 26" xfId="225" xr:uid="{00000000-0005-0000-0000-00006A2C0000}"/>
    <cellStyle name="Normal 26 2" xfId="226" xr:uid="{00000000-0005-0000-0000-00006B2C0000}"/>
    <cellStyle name="Normal 26 2 2" xfId="10107" xr:uid="{00000000-0005-0000-0000-00006C2C0000}"/>
    <cellStyle name="Normal 26 3" xfId="10108" xr:uid="{00000000-0005-0000-0000-00006D2C0000}"/>
    <cellStyle name="Normal 26 4" xfId="10106" xr:uid="{00000000-0005-0000-0000-00006E2C0000}"/>
    <cellStyle name="Normal 26 5" xfId="27506" xr:uid="{00000000-0005-0000-0000-00006F2C0000}"/>
    <cellStyle name="Normal 27" xfId="227" xr:uid="{00000000-0005-0000-0000-0000702C0000}"/>
    <cellStyle name="Normal 27 2" xfId="228" xr:uid="{00000000-0005-0000-0000-0000712C0000}"/>
    <cellStyle name="Normal 27 2 2" xfId="10111" xr:uid="{00000000-0005-0000-0000-0000722C0000}"/>
    <cellStyle name="Normal 27 2 3" xfId="10110" xr:uid="{00000000-0005-0000-0000-0000732C0000}"/>
    <cellStyle name="Normal 27 3" xfId="10109" xr:uid="{00000000-0005-0000-0000-0000742C0000}"/>
    <cellStyle name="Normal 28" xfId="229" xr:uid="{00000000-0005-0000-0000-0000752C0000}"/>
    <cellStyle name="Normal 28 2" xfId="230" xr:uid="{00000000-0005-0000-0000-0000762C0000}"/>
    <cellStyle name="Normal 28 3" xfId="10112" xr:uid="{00000000-0005-0000-0000-0000772C0000}"/>
    <cellStyle name="Normal 28 4" xfId="27507" xr:uid="{00000000-0005-0000-0000-0000782C0000}"/>
    <cellStyle name="Normal 29" xfId="231" xr:uid="{00000000-0005-0000-0000-0000792C0000}"/>
    <cellStyle name="Normal 29 2" xfId="232" xr:uid="{00000000-0005-0000-0000-00007A2C0000}"/>
    <cellStyle name="Normal 29 3" xfId="10113" xr:uid="{00000000-0005-0000-0000-00007B2C0000}"/>
    <cellStyle name="Normal 29 4" xfId="27508" xr:uid="{00000000-0005-0000-0000-00007C2C0000}"/>
    <cellStyle name="Normal 3" xfId="233" xr:uid="{00000000-0005-0000-0000-00007D2C0000}"/>
    <cellStyle name="Normal 3 10" xfId="10115" xr:uid="{00000000-0005-0000-0000-00007E2C0000}"/>
    <cellStyle name="Normal 3 11" xfId="10116" xr:uid="{00000000-0005-0000-0000-00007F2C0000}"/>
    <cellStyle name="Normal 3 12" xfId="10117" xr:uid="{00000000-0005-0000-0000-0000802C0000}"/>
    <cellStyle name="Normal 3 13" xfId="10118" xr:uid="{00000000-0005-0000-0000-0000812C0000}"/>
    <cellStyle name="Normal 3 14" xfId="10119" xr:uid="{00000000-0005-0000-0000-0000822C0000}"/>
    <cellStyle name="Normal 3 15" xfId="10120" xr:uid="{00000000-0005-0000-0000-0000832C0000}"/>
    <cellStyle name="Normal 3 16" xfId="10121" xr:uid="{00000000-0005-0000-0000-0000842C0000}"/>
    <cellStyle name="Normal 3 17" xfId="10122" xr:uid="{00000000-0005-0000-0000-0000852C0000}"/>
    <cellStyle name="Normal 3 18" xfId="10123" xr:uid="{00000000-0005-0000-0000-0000862C0000}"/>
    <cellStyle name="Normal 3 19" xfId="10124" xr:uid="{00000000-0005-0000-0000-0000872C0000}"/>
    <cellStyle name="Normal 3 2" xfId="234" xr:uid="{00000000-0005-0000-0000-0000882C0000}"/>
    <cellStyle name="Normal 3 2 10" xfId="10126" xr:uid="{00000000-0005-0000-0000-0000892C0000}"/>
    <cellStyle name="Normal 3 2 11" xfId="10127" xr:uid="{00000000-0005-0000-0000-00008A2C0000}"/>
    <cellStyle name="Normal 3 2 12" xfId="10128" xr:uid="{00000000-0005-0000-0000-00008B2C0000}"/>
    <cellStyle name="Normal 3 2 13" xfId="10129" xr:uid="{00000000-0005-0000-0000-00008C2C0000}"/>
    <cellStyle name="Normal 3 2 14" xfId="10130" xr:uid="{00000000-0005-0000-0000-00008D2C0000}"/>
    <cellStyle name="Normal 3 2 15" xfId="10131" xr:uid="{00000000-0005-0000-0000-00008E2C0000}"/>
    <cellStyle name="Normal 3 2 16" xfId="10132" xr:uid="{00000000-0005-0000-0000-00008F2C0000}"/>
    <cellStyle name="Normal 3 2 17" xfId="10133" xr:uid="{00000000-0005-0000-0000-0000902C0000}"/>
    <cellStyle name="Normal 3 2 18" xfId="10134" xr:uid="{00000000-0005-0000-0000-0000912C0000}"/>
    <cellStyle name="Normal 3 2 19" xfId="10135" xr:uid="{00000000-0005-0000-0000-0000922C0000}"/>
    <cellStyle name="Normal 3 2 2" xfId="235" xr:uid="{00000000-0005-0000-0000-0000932C0000}"/>
    <cellStyle name="Normal 3 2 2 10" xfId="10137" xr:uid="{00000000-0005-0000-0000-0000942C0000}"/>
    <cellStyle name="Normal 3 2 2 11" xfId="10138" xr:uid="{00000000-0005-0000-0000-0000952C0000}"/>
    <cellStyle name="Normal 3 2 2 12" xfId="10139" xr:uid="{00000000-0005-0000-0000-0000962C0000}"/>
    <cellStyle name="Normal 3 2 2 13" xfId="10140" xr:uid="{00000000-0005-0000-0000-0000972C0000}"/>
    <cellStyle name="Normal 3 2 2 14" xfId="10141" xr:uid="{00000000-0005-0000-0000-0000982C0000}"/>
    <cellStyle name="Normal 3 2 2 15" xfId="10142" xr:uid="{00000000-0005-0000-0000-0000992C0000}"/>
    <cellStyle name="Normal 3 2 2 16" xfId="10143" xr:uid="{00000000-0005-0000-0000-00009A2C0000}"/>
    <cellStyle name="Normal 3 2 2 17" xfId="10144" xr:uid="{00000000-0005-0000-0000-00009B2C0000}"/>
    <cellStyle name="Normal 3 2 2 18" xfId="10145" xr:uid="{00000000-0005-0000-0000-00009C2C0000}"/>
    <cellStyle name="Normal 3 2 2 19" xfId="10146" xr:uid="{00000000-0005-0000-0000-00009D2C0000}"/>
    <cellStyle name="Normal 3 2 2 2" xfId="236" xr:uid="{00000000-0005-0000-0000-00009E2C0000}"/>
    <cellStyle name="Normal 3 2 2 2 10" xfId="10148" xr:uid="{00000000-0005-0000-0000-00009F2C0000}"/>
    <cellStyle name="Normal 3 2 2 2 11" xfId="10149" xr:uid="{00000000-0005-0000-0000-0000A02C0000}"/>
    <cellStyle name="Normal 3 2 2 2 12" xfId="10150" xr:uid="{00000000-0005-0000-0000-0000A12C0000}"/>
    <cellStyle name="Normal 3 2 2 2 13" xfId="10151" xr:uid="{00000000-0005-0000-0000-0000A22C0000}"/>
    <cellStyle name="Normal 3 2 2 2 14" xfId="10152" xr:uid="{00000000-0005-0000-0000-0000A32C0000}"/>
    <cellStyle name="Normal 3 2 2 2 15" xfId="10153" xr:uid="{00000000-0005-0000-0000-0000A42C0000}"/>
    <cellStyle name="Normal 3 2 2 2 16" xfId="10154" xr:uid="{00000000-0005-0000-0000-0000A52C0000}"/>
    <cellStyle name="Normal 3 2 2 2 17" xfId="10155" xr:uid="{00000000-0005-0000-0000-0000A62C0000}"/>
    <cellStyle name="Normal 3 2 2 2 18" xfId="10156" xr:uid="{00000000-0005-0000-0000-0000A72C0000}"/>
    <cellStyle name="Normal 3 2 2 2 19" xfId="10157" xr:uid="{00000000-0005-0000-0000-0000A82C0000}"/>
    <cellStyle name="Normal 3 2 2 2 2" xfId="10158" xr:uid="{00000000-0005-0000-0000-0000A92C0000}"/>
    <cellStyle name="Normal 3 2 2 2 20" xfId="10159" xr:uid="{00000000-0005-0000-0000-0000AA2C0000}"/>
    <cellStyle name="Normal 3 2 2 2 21" xfId="10160" xr:uid="{00000000-0005-0000-0000-0000AB2C0000}"/>
    <cellStyle name="Normal 3 2 2 2 22" xfId="10161" xr:uid="{00000000-0005-0000-0000-0000AC2C0000}"/>
    <cellStyle name="Normal 3 2 2 2 23" xfId="10162" xr:uid="{00000000-0005-0000-0000-0000AD2C0000}"/>
    <cellStyle name="Normal 3 2 2 2 24" xfId="10163" xr:uid="{00000000-0005-0000-0000-0000AE2C0000}"/>
    <cellStyle name="Normal 3 2 2 2 25" xfId="10164" xr:uid="{00000000-0005-0000-0000-0000AF2C0000}"/>
    <cellStyle name="Normal 3 2 2 2 26" xfId="10165" xr:uid="{00000000-0005-0000-0000-0000B02C0000}"/>
    <cellStyle name="Normal 3 2 2 2 27" xfId="10166" xr:uid="{00000000-0005-0000-0000-0000B12C0000}"/>
    <cellStyle name="Normal 3 2 2 2 28" xfId="10167" xr:uid="{00000000-0005-0000-0000-0000B22C0000}"/>
    <cellStyle name="Normal 3 2 2 2 29" xfId="10168" xr:uid="{00000000-0005-0000-0000-0000B32C0000}"/>
    <cellStyle name="Normal 3 2 2 2 3" xfId="10169" xr:uid="{00000000-0005-0000-0000-0000B42C0000}"/>
    <cellStyle name="Normal 3 2 2 2 30" xfId="10170" xr:uid="{00000000-0005-0000-0000-0000B52C0000}"/>
    <cellStyle name="Normal 3 2 2 2 31" xfId="10171" xr:uid="{00000000-0005-0000-0000-0000B62C0000}"/>
    <cellStyle name="Normal 3 2 2 2 32" xfId="10172" xr:uid="{00000000-0005-0000-0000-0000B72C0000}"/>
    <cellStyle name="Normal 3 2 2 2 33" xfId="10173" xr:uid="{00000000-0005-0000-0000-0000B82C0000}"/>
    <cellStyle name="Normal 3 2 2 2 34" xfId="10174" xr:uid="{00000000-0005-0000-0000-0000B92C0000}"/>
    <cellStyle name="Normal 3 2 2 2 35" xfId="10175" xr:uid="{00000000-0005-0000-0000-0000BA2C0000}"/>
    <cellStyle name="Normal 3 2 2 2 36" xfId="10147" xr:uid="{00000000-0005-0000-0000-0000BB2C0000}"/>
    <cellStyle name="Normal 3 2 2 2 4" xfId="10176" xr:uid="{00000000-0005-0000-0000-0000BC2C0000}"/>
    <cellStyle name="Normal 3 2 2 2 5" xfId="10177" xr:uid="{00000000-0005-0000-0000-0000BD2C0000}"/>
    <cellStyle name="Normal 3 2 2 2 6" xfId="10178" xr:uid="{00000000-0005-0000-0000-0000BE2C0000}"/>
    <cellStyle name="Normal 3 2 2 2 7" xfId="10179" xr:uid="{00000000-0005-0000-0000-0000BF2C0000}"/>
    <cellStyle name="Normal 3 2 2 2 8" xfId="10180" xr:uid="{00000000-0005-0000-0000-0000C02C0000}"/>
    <cellStyle name="Normal 3 2 2 2 9" xfId="10181" xr:uid="{00000000-0005-0000-0000-0000C12C0000}"/>
    <cellStyle name="Normal 3 2 2 20" xfId="10182" xr:uid="{00000000-0005-0000-0000-0000C22C0000}"/>
    <cellStyle name="Normal 3 2 2 21" xfId="10183" xr:uid="{00000000-0005-0000-0000-0000C32C0000}"/>
    <cellStyle name="Normal 3 2 2 22" xfId="10184" xr:uid="{00000000-0005-0000-0000-0000C42C0000}"/>
    <cellStyle name="Normal 3 2 2 23" xfId="10185" xr:uid="{00000000-0005-0000-0000-0000C52C0000}"/>
    <cellStyle name="Normal 3 2 2 24" xfId="10186" xr:uid="{00000000-0005-0000-0000-0000C62C0000}"/>
    <cellStyle name="Normal 3 2 2 25" xfId="10187" xr:uid="{00000000-0005-0000-0000-0000C72C0000}"/>
    <cellStyle name="Normal 3 2 2 26" xfId="10188" xr:uid="{00000000-0005-0000-0000-0000C82C0000}"/>
    <cellStyle name="Normal 3 2 2 27" xfId="10189" xr:uid="{00000000-0005-0000-0000-0000C92C0000}"/>
    <cellStyle name="Normal 3 2 2 28" xfId="10190" xr:uid="{00000000-0005-0000-0000-0000CA2C0000}"/>
    <cellStyle name="Normal 3 2 2 29" xfId="10191" xr:uid="{00000000-0005-0000-0000-0000CB2C0000}"/>
    <cellStyle name="Normal 3 2 2 3" xfId="237" xr:uid="{00000000-0005-0000-0000-0000CC2C0000}"/>
    <cellStyle name="Normal 3 2 2 3 2" xfId="10192" xr:uid="{00000000-0005-0000-0000-0000CD2C0000}"/>
    <cellStyle name="Normal 3 2 2 30" xfId="10193" xr:uid="{00000000-0005-0000-0000-0000CE2C0000}"/>
    <cellStyle name="Normal 3 2 2 31" xfId="10194" xr:uid="{00000000-0005-0000-0000-0000CF2C0000}"/>
    <cellStyle name="Normal 3 2 2 32" xfId="10195" xr:uid="{00000000-0005-0000-0000-0000D02C0000}"/>
    <cellStyle name="Normal 3 2 2 33" xfId="10196" xr:uid="{00000000-0005-0000-0000-0000D12C0000}"/>
    <cellStyle name="Normal 3 2 2 34" xfId="10197" xr:uid="{00000000-0005-0000-0000-0000D22C0000}"/>
    <cellStyle name="Normal 3 2 2 35" xfId="10198" xr:uid="{00000000-0005-0000-0000-0000D32C0000}"/>
    <cellStyle name="Normal 3 2 2 36" xfId="10136" xr:uid="{00000000-0005-0000-0000-0000D42C0000}"/>
    <cellStyle name="Normal 3 2 2 37" xfId="25865" xr:uid="{00000000-0005-0000-0000-0000D52C0000}"/>
    <cellStyle name="Normal 3 2 2 4" xfId="10199" xr:uid="{00000000-0005-0000-0000-0000D62C0000}"/>
    <cellStyle name="Normal 3 2 2 5" xfId="10200" xr:uid="{00000000-0005-0000-0000-0000D72C0000}"/>
    <cellStyle name="Normal 3 2 2 6" xfId="10201" xr:uid="{00000000-0005-0000-0000-0000D82C0000}"/>
    <cellStyle name="Normal 3 2 2 7" xfId="10202" xr:uid="{00000000-0005-0000-0000-0000D92C0000}"/>
    <cellStyle name="Normal 3 2 2 8" xfId="10203" xr:uid="{00000000-0005-0000-0000-0000DA2C0000}"/>
    <cellStyle name="Normal 3 2 2 9" xfId="10204" xr:uid="{00000000-0005-0000-0000-0000DB2C0000}"/>
    <cellStyle name="Normal 3 2 20" xfId="10205" xr:uid="{00000000-0005-0000-0000-0000DC2C0000}"/>
    <cellStyle name="Normal 3 2 21" xfId="10206" xr:uid="{00000000-0005-0000-0000-0000DD2C0000}"/>
    <cellStyle name="Normal 3 2 22" xfId="10207" xr:uid="{00000000-0005-0000-0000-0000DE2C0000}"/>
    <cellStyle name="Normal 3 2 23" xfId="10208" xr:uid="{00000000-0005-0000-0000-0000DF2C0000}"/>
    <cellStyle name="Normal 3 2 24" xfId="10209" xr:uid="{00000000-0005-0000-0000-0000E02C0000}"/>
    <cellStyle name="Normal 3 2 25" xfId="10210" xr:uid="{00000000-0005-0000-0000-0000E12C0000}"/>
    <cellStyle name="Normal 3 2 26" xfId="10211" xr:uid="{00000000-0005-0000-0000-0000E22C0000}"/>
    <cellStyle name="Normal 3 2 27" xfId="10212" xr:uid="{00000000-0005-0000-0000-0000E32C0000}"/>
    <cellStyle name="Normal 3 2 28" xfId="10213" xr:uid="{00000000-0005-0000-0000-0000E42C0000}"/>
    <cellStyle name="Normal 3 2 29" xfId="10214" xr:uid="{00000000-0005-0000-0000-0000E52C0000}"/>
    <cellStyle name="Normal 3 2 3" xfId="238" xr:uid="{00000000-0005-0000-0000-0000E62C0000}"/>
    <cellStyle name="Normal 3 2 3 2" xfId="239" xr:uid="{00000000-0005-0000-0000-0000E72C0000}"/>
    <cellStyle name="Normal 3 2 3 2 2" xfId="240" xr:uid="{00000000-0005-0000-0000-0000E82C0000}"/>
    <cellStyle name="Normal 3 2 3 2 2 2" xfId="241" xr:uid="{00000000-0005-0000-0000-0000E92C0000}"/>
    <cellStyle name="Normal 3 2 3 2 3" xfId="242" xr:uid="{00000000-0005-0000-0000-0000EA2C0000}"/>
    <cellStyle name="Normal 3 2 3 3" xfId="243" xr:uid="{00000000-0005-0000-0000-0000EB2C0000}"/>
    <cellStyle name="Normal 3 2 3 3 2" xfId="244" xr:uid="{00000000-0005-0000-0000-0000EC2C0000}"/>
    <cellStyle name="Normal 3 2 3 4" xfId="245" xr:uid="{00000000-0005-0000-0000-0000ED2C0000}"/>
    <cellStyle name="Normal 3 2 3 5" xfId="10215" xr:uid="{00000000-0005-0000-0000-0000EE2C0000}"/>
    <cellStyle name="Normal 3 2 30" xfId="10216" xr:uid="{00000000-0005-0000-0000-0000EF2C0000}"/>
    <cellStyle name="Normal 3 2 31" xfId="10217" xr:uid="{00000000-0005-0000-0000-0000F02C0000}"/>
    <cellStyle name="Normal 3 2 32" xfId="10218" xr:uid="{00000000-0005-0000-0000-0000F12C0000}"/>
    <cellStyle name="Normal 3 2 33" xfId="10219" xr:uid="{00000000-0005-0000-0000-0000F22C0000}"/>
    <cellStyle name="Normal 3 2 34" xfId="10220" xr:uid="{00000000-0005-0000-0000-0000F32C0000}"/>
    <cellStyle name="Normal 3 2 35" xfId="10221" xr:uid="{00000000-0005-0000-0000-0000F42C0000}"/>
    <cellStyle name="Normal 3 2 36" xfId="10222" xr:uid="{00000000-0005-0000-0000-0000F52C0000}"/>
    <cellStyle name="Normal 3 2 37" xfId="10223" xr:uid="{00000000-0005-0000-0000-0000F62C0000}"/>
    <cellStyle name="Normal 3 2 38" xfId="10224" xr:uid="{00000000-0005-0000-0000-0000F72C0000}"/>
    <cellStyle name="Normal 3 2 39" xfId="10125" xr:uid="{00000000-0005-0000-0000-0000F82C0000}"/>
    <cellStyle name="Normal 3 2 4" xfId="246" xr:uid="{00000000-0005-0000-0000-0000F92C0000}"/>
    <cellStyle name="Normal 3 2 4 2" xfId="247" xr:uid="{00000000-0005-0000-0000-0000FA2C0000}"/>
    <cellStyle name="Normal 3 2 4 2 2" xfId="248" xr:uid="{00000000-0005-0000-0000-0000FB2C0000}"/>
    <cellStyle name="Normal 3 2 4 3" xfId="249" xr:uid="{00000000-0005-0000-0000-0000FC2C0000}"/>
    <cellStyle name="Normal 3 2 4 4" xfId="10225" xr:uid="{00000000-0005-0000-0000-0000FD2C0000}"/>
    <cellStyle name="Normal 3 2 5" xfId="250" xr:uid="{00000000-0005-0000-0000-0000FE2C0000}"/>
    <cellStyle name="Normal 3 2 5 2" xfId="251" xr:uid="{00000000-0005-0000-0000-0000FF2C0000}"/>
    <cellStyle name="Normal 3 2 5 2 2" xfId="252" xr:uid="{00000000-0005-0000-0000-0000002D0000}"/>
    <cellStyle name="Normal 3 2 5 3" xfId="253" xr:uid="{00000000-0005-0000-0000-0000012D0000}"/>
    <cellStyle name="Normal 3 2 5 4" xfId="10226" xr:uid="{00000000-0005-0000-0000-0000022D0000}"/>
    <cellStyle name="Normal 3 2 6" xfId="254" xr:uid="{00000000-0005-0000-0000-0000032D0000}"/>
    <cellStyle name="Normal 3 2 6 2" xfId="10227" xr:uid="{00000000-0005-0000-0000-0000042D0000}"/>
    <cellStyle name="Normal 3 2 7" xfId="255" xr:uid="{00000000-0005-0000-0000-0000052D0000}"/>
    <cellStyle name="Normal 3 2 7 2" xfId="10228" xr:uid="{00000000-0005-0000-0000-0000062D0000}"/>
    <cellStyle name="Normal 3 2 8" xfId="10229" xr:uid="{00000000-0005-0000-0000-0000072D0000}"/>
    <cellStyle name="Normal 3 2 9" xfId="10230" xr:uid="{00000000-0005-0000-0000-0000082D0000}"/>
    <cellStyle name="Normal 3 20" xfId="10231" xr:uid="{00000000-0005-0000-0000-0000092D0000}"/>
    <cellStyle name="Normal 3 21" xfId="10232" xr:uid="{00000000-0005-0000-0000-00000A2D0000}"/>
    <cellStyle name="Normal 3 22" xfId="10233" xr:uid="{00000000-0005-0000-0000-00000B2D0000}"/>
    <cellStyle name="Normal 3 23" xfId="10234" xr:uid="{00000000-0005-0000-0000-00000C2D0000}"/>
    <cellStyle name="Normal 3 24" xfId="10235" xr:uid="{00000000-0005-0000-0000-00000D2D0000}"/>
    <cellStyle name="Normal 3 25" xfId="10236" xr:uid="{00000000-0005-0000-0000-00000E2D0000}"/>
    <cellStyle name="Normal 3 26" xfId="10237" xr:uid="{00000000-0005-0000-0000-00000F2D0000}"/>
    <cellStyle name="Normal 3 27" xfId="10238" xr:uid="{00000000-0005-0000-0000-0000102D0000}"/>
    <cellStyle name="Normal 3 28" xfId="10239" xr:uid="{00000000-0005-0000-0000-0000112D0000}"/>
    <cellStyle name="Normal 3 29" xfId="10240" xr:uid="{00000000-0005-0000-0000-0000122D0000}"/>
    <cellStyle name="Normal 3 3" xfId="256" xr:uid="{00000000-0005-0000-0000-0000132D0000}"/>
    <cellStyle name="Normal 3 3 2" xfId="257" xr:uid="{00000000-0005-0000-0000-0000142D0000}"/>
    <cellStyle name="Normal 3 3 2 2" xfId="258" xr:uid="{00000000-0005-0000-0000-0000152D0000}"/>
    <cellStyle name="Normal 3 3 2 2 2" xfId="259" xr:uid="{00000000-0005-0000-0000-0000162D0000}"/>
    <cellStyle name="Normal 3 3 2 3" xfId="260" xr:uid="{00000000-0005-0000-0000-0000172D0000}"/>
    <cellStyle name="Normal 3 3 2 4" xfId="10242" xr:uid="{00000000-0005-0000-0000-0000182D0000}"/>
    <cellStyle name="Normal 3 3 3" xfId="261" xr:uid="{00000000-0005-0000-0000-0000192D0000}"/>
    <cellStyle name="Normal 3 3 3 2" xfId="262" xr:uid="{00000000-0005-0000-0000-00001A2D0000}"/>
    <cellStyle name="Normal 3 3 4" xfId="263" xr:uid="{00000000-0005-0000-0000-00001B2D0000}"/>
    <cellStyle name="Normal 3 3 5" xfId="10241" xr:uid="{00000000-0005-0000-0000-00001C2D0000}"/>
    <cellStyle name="Normal 3 3 6" xfId="25866" xr:uid="{00000000-0005-0000-0000-00001D2D0000}"/>
    <cellStyle name="Normal 3 30" xfId="10243" xr:uid="{00000000-0005-0000-0000-00001E2D0000}"/>
    <cellStyle name="Normal 3 31" xfId="10244" xr:uid="{00000000-0005-0000-0000-00001F2D0000}"/>
    <cellStyle name="Normal 3 32" xfId="10245" xr:uid="{00000000-0005-0000-0000-0000202D0000}"/>
    <cellStyle name="Normal 3 33" xfId="10246" xr:uid="{00000000-0005-0000-0000-0000212D0000}"/>
    <cellStyle name="Normal 3 34" xfId="10247" xr:uid="{00000000-0005-0000-0000-0000222D0000}"/>
    <cellStyle name="Normal 3 35" xfId="10248" xr:uid="{00000000-0005-0000-0000-0000232D0000}"/>
    <cellStyle name="Normal 3 36" xfId="10249" xr:uid="{00000000-0005-0000-0000-0000242D0000}"/>
    <cellStyle name="Normal 3 37" xfId="10250" xr:uid="{00000000-0005-0000-0000-0000252D0000}"/>
    <cellStyle name="Normal 3 38" xfId="10251" xr:uid="{00000000-0005-0000-0000-0000262D0000}"/>
    <cellStyle name="Normal 3 39" xfId="10252" xr:uid="{00000000-0005-0000-0000-0000272D0000}"/>
    <cellStyle name="Normal 3 4" xfId="264" xr:uid="{00000000-0005-0000-0000-0000282D0000}"/>
    <cellStyle name="Normal 3 4 10" xfId="10254" xr:uid="{00000000-0005-0000-0000-0000292D0000}"/>
    <cellStyle name="Normal 3 4 10 2" xfId="10255" xr:uid="{00000000-0005-0000-0000-00002A2D0000}"/>
    <cellStyle name="Normal 3 4 11" xfId="10256" xr:uid="{00000000-0005-0000-0000-00002B2D0000}"/>
    <cellStyle name="Normal 3 4 11 2" xfId="10257" xr:uid="{00000000-0005-0000-0000-00002C2D0000}"/>
    <cellStyle name="Normal 3 4 12" xfId="10258" xr:uid="{00000000-0005-0000-0000-00002D2D0000}"/>
    <cellStyle name="Normal 3 4 12 2" xfId="10259" xr:uid="{00000000-0005-0000-0000-00002E2D0000}"/>
    <cellStyle name="Normal 3 4 13" xfId="10253" xr:uid="{00000000-0005-0000-0000-00002F2D0000}"/>
    <cellStyle name="Normal 3 4 2" xfId="265" xr:uid="{00000000-0005-0000-0000-0000302D0000}"/>
    <cellStyle name="Normal 3 4 2 10" xfId="10260" xr:uid="{00000000-0005-0000-0000-0000312D0000}"/>
    <cellStyle name="Normal 3 4 2 11" xfId="10261" xr:uid="{00000000-0005-0000-0000-0000322D0000}"/>
    <cellStyle name="Normal 3 4 2 2" xfId="266" xr:uid="{00000000-0005-0000-0000-0000332D0000}"/>
    <cellStyle name="Normal 3 4 2 2 2" xfId="10262" xr:uid="{00000000-0005-0000-0000-0000342D0000}"/>
    <cellStyle name="Normal 3 4 2 2 2 2" xfId="27097" xr:uid="{00000000-0005-0000-0000-0000352D0000}"/>
    <cellStyle name="Normal 3 4 2 3" xfId="10263" xr:uid="{00000000-0005-0000-0000-0000362D0000}"/>
    <cellStyle name="Normal 3 4 2 3 2" xfId="27096" xr:uid="{00000000-0005-0000-0000-0000372D0000}"/>
    <cellStyle name="Normal 3 4 2 4" xfId="10264" xr:uid="{00000000-0005-0000-0000-0000382D0000}"/>
    <cellStyle name="Normal 3 4 2 5" xfId="10265" xr:uid="{00000000-0005-0000-0000-0000392D0000}"/>
    <cellStyle name="Normal 3 4 2 6" xfId="10266" xr:uid="{00000000-0005-0000-0000-00003A2D0000}"/>
    <cellStyle name="Normal 3 4 2 7" xfId="10267" xr:uid="{00000000-0005-0000-0000-00003B2D0000}"/>
    <cellStyle name="Normal 3 4 2 8" xfId="10268" xr:uid="{00000000-0005-0000-0000-00003C2D0000}"/>
    <cellStyle name="Normal 3 4 2 9" xfId="10269" xr:uid="{00000000-0005-0000-0000-00003D2D0000}"/>
    <cellStyle name="Normal 3 4 3" xfId="267" xr:uid="{00000000-0005-0000-0000-00003E2D0000}"/>
    <cellStyle name="Normal 3 4 3 2" xfId="10270" xr:uid="{00000000-0005-0000-0000-00003F2D0000}"/>
    <cellStyle name="Normal 3 4 3 2 2" xfId="27098" xr:uid="{00000000-0005-0000-0000-0000402D0000}"/>
    <cellStyle name="Normal 3 4 4" xfId="10271" xr:uid="{00000000-0005-0000-0000-0000412D0000}"/>
    <cellStyle name="Normal 3 4 4 2" xfId="27095" xr:uid="{00000000-0005-0000-0000-0000422D0000}"/>
    <cellStyle name="Normal 3 4 5" xfId="10272" xr:uid="{00000000-0005-0000-0000-0000432D0000}"/>
    <cellStyle name="Normal 3 4 5 2" xfId="10273" xr:uid="{00000000-0005-0000-0000-0000442D0000}"/>
    <cellStyle name="Normal 3 4 6" xfId="10274" xr:uid="{00000000-0005-0000-0000-0000452D0000}"/>
    <cellStyle name="Normal 3 4 6 2" xfId="10275" xr:uid="{00000000-0005-0000-0000-0000462D0000}"/>
    <cellStyle name="Normal 3 4 7" xfId="10276" xr:uid="{00000000-0005-0000-0000-0000472D0000}"/>
    <cellStyle name="Normal 3 4 7 2" xfId="10277" xr:uid="{00000000-0005-0000-0000-0000482D0000}"/>
    <cellStyle name="Normal 3 4 8" xfId="10278" xr:uid="{00000000-0005-0000-0000-0000492D0000}"/>
    <cellStyle name="Normal 3 4 8 2" xfId="10279" xr:uid="{00000000-0005-0000-0000-00004A2D0000}"/>
    <cellStyle name="Normal 3 4 9" xfId="10280" xr:uid="{00000000-0005-0000-0000-00004B2D0000}"/>
    <cellStyle name="Normal 3 4 9 2" xfId="10281" xr:uid="{00000000-0005-0000-0000-00004C2D0000}"/>
    <cellStyle name="Normal 3 40" xfId="10114" xr:uid="{00000000-0005-0000-0000-00004D2D0000}"/>
    <cellStyle name="Normal 3 5" xfId="268" xr:uid="{00000000-0005-0000-0000-00004E2D0000}"/>
    <cellStyle name="Normal 3 5 2" xfId="269" xr:uid="{00000000-0005-0000-0000-00004F2D0000}"/>
    <cellStyle name="Normal 3 5 2 2" xfId="270" xr:uid="{00000000-0005-0000-0000-0000502D0000}"/>
    <cellStyle name="Normal 3 5 3" xfId="271" xr:uid="{00000000-0005-0000-0000-0000512D0000}"/>
    <cellStyle name="Normal 3 5 4" xfId="10282" xr:uid="{00000000-0005-0000-0000-0000522D0000}"/>
    <cellStyle name="Normal 3 5 5" xfId="25867" xr:uid="{00000000-0005-0000-0000-0000532D0000}"/>
    <cellStyle name="Normal 3 6" xfId="272" xr:uid="{00000000-0005-0000-0000-0000542D0000}"/>
    <cellStyle name="Normal 3 6 10" xfId="10284" xr:uid="{00000000-0005-0000-0000-0000552D0000}"/>
    <cellStyle name="Normal 3 6 10 2" xfId="10285" xr:uid="{00000000-0005-0000-0000-0000562D0000}"/>
    <cellStyle name="Normal 3 6 11" xfId="10283" xr:uid="{00000000-0005-0000-0000-0000572D0000}"/>
    <cellStyle name="Normal 3 6 2" xfId="10286" xr:uid="{00000000-0005-0000-0000-0000582D0000}"/>
    <cellStyle name="Normal 3 6 2 2" xfId="10287" xr:uid="{00000000-0005-0000-0000-0000592D0000}"/>
    <cellStyle name="Normal 3 6 3" xfId="10288" xr:uid="{00000000-0005-0000-0000-00005A2D0000}"/>
    <cellStyle name="Normal 3 6 3 2" xfId="10289" xr:uid="{00000000-0005-0000-0000-00005B2D0000}"/>
    <cellStyle name="Normal 3 6 4" xfId="10290" xr:uid="{00000000-0005-0000-0000-00005C2D0000}"/>
    <cellStyle name="Normal 3 6 4 2" xfId="10291" xr:uid="{00000000-0005-0000-0000-00005D2D0000}"/>
    <cellStyle name="Normal 3 6 5" xfId="10292" xr:uid="{00000000-0005-0000-0000-00005E2D0000}"/>
    <cellStyle name="Normal 3 6 5 2" xfId="10293" xr:uid="{00000000-0005-0000-0000-00005F2D0000}"/>
    <cellStyle name="Normal 3 6 6" xfId="10294" xr:uid="{00000000-0005-0000-0000-0000602D0000}"/>
    <cellStyle name="Normal 3 6 6 2" xfId="10295" xr:uid="{00000000-0005-0000-0000-0000612D0000}"/>
    <cellStyle name="Normal 3 6 7" xfId="10296" xr:uid="{00000000-0005-0000-0000-0000622D0000}"/>
    <cellStyle name="Normal 3 6 7 2" xfId="10297" xr:uid="{00000000-0005-0000-0000-0000632D0000}"/>
    <cellStyle name="Normal 3 6 8" xfId="10298" xr:uid="{00000000-0005-0000-0000-0000642D0000}"/>
    <cellStyle name="Normal 3 6 8 2" xfId="10299" xr:uid="{00000000-0005-0000-0000-0000652D0000}"/>
    <cellStyle name="Normal 3 6 9" xfId="10300" xr:uid="{00000000-0005-0000-0000-0000662D0000}"/>
    <cellStyle name="Normal 3 6 9 2" xfId="10301" xr:uid="{00000000-0005-0000-0000-0000672D0000}"/>
    <cellStyle name="Normal 3 7" xfId="273" xr:uid="{00000000-0005-0000-0000-0000682D0000}"/>
    <cellStyle name="Normal 3 7 10" xfId="10303" xr:uid="{00000000-0005-0000-0000-0000692D0000}"/>
    <cellStyle name="Normal 3 7 10 2" xfId="10304" xr:uid="{00000000-0005-0000-0000-00006A2D0000}"/>
    <cellStyle name="Normal 3 7 11" xfId="10302" xr:uid="{00000000-0005-0000-0000-00006B2D0000}"/>
    <cellStyle name="Normal 3 7 2" xfId="10305" xr:uid="{00000000-0005-0000-0000-00006C2D0000}"/>
    <cellStyle name="Normal 3 7 2 2" xfId="10306" xr:uid="{00000000-0005-0000-0000-00006D2D0000}"/>
    <cellStyle name="Normal 3 7 3" xfId="10307" xr:uid="{00000000-0005-0000-0000-00006E2D0000}"/>
    <cellStyle name="Normal 3 7 3 2" xfId="10308" xr:uid="{00000000-0005-0000-0000-00006F2D0000}"/>
    <cellStyle name="Normal 3 7 4" xfId="10309" xr:uid="{00000000-0005-0000-0000-0000702D0000}"/>
    <cellStyle name="Normal 3 7 4 2" xfId="10310" xr:uid="{00000000-0005-0000-0000-0000712D0000}"/>
    <cellStyle name="Normal 3 7 5" xfId="10311" xr:uid="{00000000-0005-0000-0000-0000722D0000}"/>
    <cellStyle name="Normal 3 7 5 2" xfId="10312" xr:uid="{00000000-0005-0000-0000-0000732D0000}"/>
    <cellStyle name="Normal 3 7 6" xfId="10313" xr:uid="{00000000-0005-0000-0000-0000742D0000}"/>
    <cellStyle name="Normal 3 7 6 2" xfId="10314" xr:uid="{00000000-0005-0000-0000-0000752D0000}"/>
    <cellStyle name="Normal 3 7 7" xfId="10315" xr:uid="{00000000-0005-0000-0000-0000762D0000}"/>
    <cellStyle name="Normal 3 7 7 2" xfId="10316" xr:uid="{00000000-0005-0000-0000-0000772D0000}"/>
    <cellStyle name="Normal 3 7 8" xfId="10317" xr:uid="{00000000-0005-0000-0000-0000782D0000}"/>
    <cellStyle name="Normal 3 7 8 2" xfId="10318" xr:uid="{00000000-0005-0000-0000-0000792D0000}"/>
    <cellStyle name="Normal 3 7 9" xfId="10319" xr:uid="{00000000-0005-0000-0000-00007A2D0000}"/>
    <cellStyle name="Normal 3 7 9 2" xfId="10320" xr:uid="{00000000-0005-0000-0000-00007B2D0000}"/>
    <cellStyle name="Normal 3 8" xfId="274" xr:uid="{00000000-0005-0000-0000-00007C2D0000}"/>
    <cellStyle name="Normal 3 8 2" xfId="10321" xr:uid="{00000000-0005-0000-0000-00007D2D0000}"/>
    <cellStyle name="Normal 3 9" xfId="275" xr:uid="{00000000-0005-0000-0000-00007E2D0000}"/>
    <cellStyle name="Normal 3 9 2" xfId="10322" xr:uid="{00000000-0005-0000-0000-00007F2D0000}"/>
    <cellStyle name="Normal 3_2008 - Planilha Medição EAS Casco-002 OUT08" xfId="10323" xr:uid="{00000000-0005-0000-0000-0000802D0000}"/>
    <cellStyle name="Normal 30" xfId="276" xr:uid="{00000000-0005-0000-0000-0000812D0000}"/>
    <cellStyle name="Normal 30 10" xfId="10325" xr:uid="{00000000-0005-0000-0000-0000822D0000}"/>
    <cellStyle name="Normal 30 11" xfId="10326" xr:uid="{00000000-0005-0000-0000-0000832D0000}"/>
    <cellStyle name="Normal 30 12" xfId="10327" xr:uid="{00000000-0005-0000-0000-0000842D0000}"/>
    <cellStyle name="Normal 30 13" xfId="10328" xr:uid="{00000000-0005-0000-0000-0000852D0000}"/>
    <cellStyle name="Normal 30 14" xfId="10329" xr:uid="{00000000-0005-0000-0000-0000862D0000}"/>
    <cellStyle name="Normal 30 15" xfId="10324" xr:uid="{00000000-0005-0000-0000-0000872D0000}"/>
    <cellStyle name="Normal 30 2" xfId="277" xr:uid="{00000000-0005-0000-0000-0000882D0000}"/>
    <cellStyle name="Normal 30 2 2" xfId="10331" xr:uid="{00000000-0005-0000-0000-0000892D0000}"/>
    <cellStyle name="Normal 30 2 3" xfId="10332" xr:uid="{00000000-0005-0000-0000-00008A2D0000}"/>
    <cellStyle name="Normal 30 2 4" xfId="10330" xr:uid="{00000000-0005-0000-0000-00008B2D0000}"/>
    <cellStyle name="Normal 30 3" xfId="10333" xr:uid="{00000000-0005-0000-0000-00008C2D0000}"/>
    <cellStyle name="Normal 30 4" xfId="10334" xr:uid="{00000000-0005-0000-0000-00008D2D0000}"/>
    <cellStyle name="Normal 30 5" xfId="10335" xr:uid="{00000000-0005-0000-0000-00008E2D0000}"/>
    <cellStyle name="Normal 30 6" xfId="10336" xr:uid="{00000000-0005-0000-0000-00008F2D0000}"/>
    <cellStyle name="Normal 30 7" xfId="10337" xr:uid="{00000000-0005-0000-0000-0000902D0000}"/>
    <cellStyle name="Normal 30 8" xfId="10338" xr:uid="{00000000-0005-0000-0000-0000912D0000}"/>
    <cellStyle name="Normal 30 9" xfId="10339" xr:uid="{00000000-0005-0000-0000-0000922D0000}"/>
    <cellStyle name="Normal 31" xfId="278" xr:uid="{00000000-0005-0000-0000-0000932D0000}"/>
    <cellStyle name="Normal 31 10" xfId="10341" xr:uid="{00000000-0005-0000-0000-0000942D0000}"/>
    <cellStyle name="Normal 31 11" xfId="10342" xr:uid="{00000000-0005-0000-0000-0000952D0000}"/>
    <cellStyle name="Normal 31 12" xfId="10343" xr:uid="{00000000-0005-0000-0000-0000962D0000}"/>
    <cellStyle name="Normal 31 13" xfId="10344" xr:uid="{00000000-0005-0000-0000-0000972D0000}"/>
    <cellStyle name="Normal 31 14" xfId="10345" xr:uid="{00000000-0005-0000-0000-0000982D0000}"/>
    <cellStyle name="Normal 31 15" xfId="10340" xr:uid="{00000000-0005-0000-0000-0000992D0000}"/>
    <cellStyle name="Normal 31 16" xfId="27509" xr:uid="{00000000-0005-0000-0000-00009A2D0000}"/>
    <cellStyle name="Normal 31 2" xfId="279" xr:uid="{00000000-0005-0000-0000-00009B2D0000}"/>
    <cellStyle name="Normal 31 2 2" xfId="10346" xr:uid="{00000000-0005-0000-0000-00009C2D0000}"/>
    <cellStyle name="Normal 31 3" xfId="10347" xr:uid="{00000000-0005-0000-0000-00009D2D0000}"/>
    <cellStyle name="Normal 31 4" xfId="10348" xr:uid="{00000000-0005-0000-0000-00009E2D0000}"/>
    <cellStyle name="Normal 31 5" xfId="10349" xr:uid="{00000000-0005-0000-0000-00009F2D0000}"/>
    <cellStyle name="Normal 31 6" xfId="10350" xr:uid="{00000000-0005-0000-0000-0000A02D0000}"/>
    <cellStyle name="Normal 31 7" xfId="10351" xr:uid="{00000000-0005-0000-0000-0000A12D0000}"/>
    <cellStyle name="Normal 31 8" xfId="10352" xr:uid="{00000000-0005-0000-0000-0000A22D0000}"/>
    <cellStyle name="Normal 31 9" xfId="10353" xr:uid="{00000000-0005-0000-0000-0000A32D0000}"/>
    <cellStyle name="Normal 32" xfId="280" xr:uid="{00000000-0005-0000-0000-0000A42D0000}"/>
    <cellStyle name="Normal 32 10" xfId="10355" xr:uid="{00000000-0005-0000-0000-0000A52D0000}"/>
    <cellStyle name="Normal 32 11" xfId="10356" xr:uid="{00000000-0005-0000-0000-0000A62D0000}"/>
    <cellStyle name="Normal 32 12" xfId="10357" xr:uid="{00000000-0005-0000-0000-0000A72D0000}"/>
    <cellStyle name="Normal 32 13" xfId="10358" xr:uid="{00000000-0005-0000-0000-0000A82D0000}"/>
    <cellStyle name="Normal 32 14" xfId="10359" xr:uid="{00000000-0005-0000-0000-0000A92D0000}"/>
    <cellStyle name="Normal 32 15" xfId="10354" xr:uid="{00000000-0005-0000-0000-0000AA2D0000}"/>
    <cellStyle name="Normal 32 2" xfId="281" xr:uid="{00000000-0005-0000-0000-0000AB2D0000}"/>
    <cellStyle name="Normal 32 2 2" xfId="10360" xr:uid="{00000000-0005-0000-0000-0000AC2D0000}"/>
    <cellStyle name="Normal 32 3" xfId="10361" xr:uid="{00000000-0005-0000-0000-0000AD2D0000}"/>
    <cellStyle name="Normal 32 4" xfId="10362" xr:uid="{00000000-0005-0000-0000-0000AE2D0000}"/>
    <cellStyle name="Normal 32 5" xfId="10363" xr:uid="{00000000-0005-0000-0000-0000AF2D0000}"/>
    <cellStyle name="Normal 32 6" xfId="10364" xr:uid="{00000000-0005-0000-0000-0000B02D0000}"/>
    <cellStyle name="Normal 32 7" xfId="10365" xr:uid="{00000000-0005-0000-0000-0000B12D0000}"/>
    <cellStyle name="Normal 32 8" xfId="10366" xr:uid="{00000000-0005-0000-0000-0000B22D0000}"/>
    <cellStyle name="Normal 32 9" xfId="10367" xr:uid="{00000000-0005-0000-0000-0000B32D0000}"/>
    <cellStyle name="Normal 33" xfId="282" xr:uid="{00000000-0005-0000-0000-0000B42D0000}"/>
    <cellStyle name="Normal 33 2" xfId="283" xr:uid="{00000000-0005-0000-0000-0000B52D0000}"/>
    <cellStyle name="Normal 33 2 2" xfId="10369" xr:uid="{00000000-0005-0000-0000-0000B62D0000}"/>
    <cellStyle name="Normal 33 3" xfId="10370" xr:uid="{00000000-0005-0000-0000-0000B72D0000}"/>
    <cellStyle name="Normal 33 4" xfId="10371" xr:uid="{00000000-0005-0000-0000-0000B82D0000}"/>
    <cellStyle name="Normal 33 5" xfId="10368" xr:uid="{00000000-0005-0000-0000-0000B92D0000}"/>
    <cellStyle name="Normal 34" xfId="284" xr:uid="{00000000-0005-0000-0000-0000BA2D0000}"/>
    <cellStyle name="Normal 34 2" xfId="285" xr:uid="{00000000-0005-0000-0000-0000BB2D0000}"/>
    <cellStyle name="Normal 34 2 2" xfId="10373" xr:uid="{00000000-0005-0000-0000-0000BC2D0000}"/>
    <cellStyle name="Normal 34 3" xfId="10374" xr:uid="{00000000-0005-0000-0000-0000BD2D0000}"/>
    <cellStyle name="Normal 34 4" xfId="10372" xr:uid="{00000000-0005-0000-0000-0000BE2D0000}"/>
    <cellStyle name="Normal 34 5" xfId="27510" xr:uid="{00000000-0005-0000-0000-0000BF2D0000}"/>
    <cellStyle name="Normal 35" xfId="286" xr:uid="{00000000-0005-0000-0000-0000C02D0000}"/>
    <cellStyle name="Normal 35 2" xfId="287" xr:uid="{00000000-0005-0000-0000-0000C12D0000}"/>
    <cellStyle name="Normal 35 3" xfId="10375" xr:uid="{00000000-0005-0000-0000-0000C22D0000}"/>
    <cellStyle name="Normal 35 4" xfId="27511" xr:uid="{00000000-0005-0000-0000-0000C32D0000}"/>
    <cellStyle name="Normal 36" xfId="288" xr:uid="{00000000-0005-0000-0000-0000C42D0000}"/>
    <cellStyle name="Normal 36 2" xfId="289" xr:uid="{00000000-0005-0000-0000-0000C52D0000}"/>
    <cellStyle name="Normal 36 3" xfId="10376" xr:uid="{00000000-0005-0000-0000-0000C62D0000}"/>
    <cellStyle name="Normal 36 4" xfId="27512" xr:uid="{00000000-0005-0000-0000-0000C72D0000}"/>
    <cellStyle name="Normal 37" xfId="290" xr:uid="{00000000-0005-0000-0000-0000C82D0000}"/>
    <cellStyle name="Normal 37 2" xfId="291" xr:uid="{00000000-0005-0000-0000-0000C92D0000}"/>
    <cellStyle name="Normal 37 3" xfId="10377" xr:uid="{00000000-0005-0000-0000-0000CA2D0000}"/>
    <cellStyle name="Normal 37 4" xfId="27513" xr:uid="{00000000-0005-0000-0000-0000CB2D0000}"/>
    <cellStyle name="Normal 38" xfId="292" xr:uid="{00000000-0005-0000-0000-0000CC2D0000}"/>
    <cellStyle name="Normal 38 2" xfId="293" xr:uid="{00000000-0005-0000-0000-0000CD2D0000}"/>
    <cellStyle name="Normal 38 3" xfId="10378" xr:uid="{00000000-0005-0000-0000-0000CE2D0000}"/>
    <cellStyle name="Normal 39" xfId="294" xr:uid="{00000000-0005-0000-0000-0000CF2D0000}"/>
    <cellStyle name="Normal 39 2" xfId="295" xr:uid="{00000000-0005-0000-0000-0000D02D0000}"/>
    <cellStyle name="Normal 39 3" xfId="10379" xr:uid="{00000000-0005-0000-0000-0000D12D0000}"/>
    <cellStyle name="Normal 39 4" xfId="27514" xr:uid="{00000000-0005-0000-0000-0000D22D0000}"/>
    <cellStyle name="Normal 4" xfId="296" xr:uid="{00000000-0005-0000-0000-0000D32D0000}"/>
    <cellStyle name="Normal 4 10" xfId="297" xr:uid="{00000000-0005-0000-0000-0000D42D0000}"/>
    <cellStyle name="Normal 4 10 2" xfId="10380" xr:uid="{00000000-0005-0000-0000-0000D52D0000}"/>
    <cellStyle name="Normal 4 11" xfId="10381" xr:uid="{00000000-0005-0000-0000-0000D62D0000}"/>
    <cellStyle name="Normal 4 12" xfId="10382" xr:uid="{00000000-0005-0000-0000-0000D72D0000}"/>
    <cellStyle name="Normal 4 13" xfId="10383" xr:uid="{00000000-0005-0000-0000-0000D82D0000}"/>
    <cellStyle name="Normal 4 14" xfId="10384" xr:uid="{00000000-0005-0000-0000-0000D92D0000}"/>
    <cellStyle name="Normal 4 15" xfId="10385" xr:uid="{00000000-0005-0000-0000-0000DA2D0000}"/>
    <cellStyle name="Normal 4 16" xfId="10386" xr:uid="{00000000-0005-0000-0000-0000DB2D0000}"/>
    <cellStyle name="Normal 4 17" xfId="10387" xr:uid="{00000000-0005-0000-0000-0000DC2D0000}"/>
    <cellStyle name="Normal 4 18" xfId="10388" xr:uid="{00000000-0005-0000-0000-0000DD2D0000}"/>
    <cellStyle name="Normal 4 19" xfId="10389" xr:uid="{00000000-0005-0000-0000-0000DE2D0000}"/>
    <cellStyle name="Normal 4 2" xfId="298" xr:uid="{00000000-0005-0000-0000-0000DF2D0000}"/>
    <cellStyle name="Normal 4 2 2" xfId="299" xr:uid="{00000000-0005-0000-0000-0000E02D0000}"/>
    <cellStyle name="Normal 4 2 2 2" xfId="10391" xr:uid="{00000000-0005-0000-0000-0000E12D0000}"/>
    <cellStyle name="Normal 4 2 2 2 2" xfId="25870" xr:uid="{00000000-0005-0000-0000-0000E22D0000}"/>
    <cellStyle name="Normal 4 2 2 2 2 2" xfId="27102" xr:uid="{00000000-0005-0000-0000-0000E32D0000}"/>
    <cellStyle name="Normal 4 2 2 2 3" xfId="27101" xr:uid="{00000000-0005-0000-0000-0000E42D0000}"/>
    <cellStyle name="Normal 4 2 2 2 4" xfId="25869" xr:uid="{00000000-0005-0000-0000-0000E52D0000}"/>
    <cellStyle name="Normal 4 2 2 3" xfId="25871" xr:uid="{00000000-0005-0000-0000-0000E62D0000}"/>
    <cellStyle name="Normal 4 2 2 3 2" xfId="27103" xr:uid="{00000000-0005-0000-0000-0000E72D0000}"/>
    <cellStyle name="Normal 4 2 2 4" xfId="27100" xr:uid="{00000000-0005-0000-0000-0000E82D0000}"/>
    <cellStyle name="Normal 4 2 2 5" xfId="25868" xr:uid="{00000000-0005-0000-0000-0000E92D0000}"/>
    <cellStyle name="Normal 4 2 3" xfId="300" xr:uid="{00000000-0005-0000-0000-0000EA2D0000}"/>
    <cellStyle name="Normal 4 2 4" xfId="10390" xr:uid="{00000000-0005-0000-0000-0000EB2D0000}"/>
    <cellStyle name="Normal 4 2 4 2" xfId="25872" xr:uid="{00000000-0005-0000-0000-0000EC2D0000}"/>
    <cellStyle name="Normal 4 2 4 2 2" xfId="27105" xr:uid="{00000000-0005-0000-0000-0000ED2D0000}"/>
    <cellStyle name="Normal 4 2 4 3" xfId="27104" xr:uid="{00000000-0005-0000-0000-0000EE2D0000}"/>
    <cellStyle name="Normal 4 2 5" xfId="25873" xr:uid="{00000000-0005-0000-0000-0000EF2D0000}"/>
    <cellStyle name="Normal 4 2 5 2" xfId="27106" xr:uid="{00000000-0005-0000-0000-0000F02D0000}"/>
    <cellStyle name="Normal 4 20" xfId="10392" xr:uid="{00000000-0005-0000-0000-0000F12D0000}"/>
    <cellStyle name="Normal 4 21" xfId="10393" xr:uid="{00000000-0005-0000-0000-0000F22D0000}"/>
    <cellStyle name="Normal 4 22" xfId="10394" xr:uid="{00000000-0005-0000-0000-0000F32D0000}"/>
    <cellStyle name="Normal 4 23" xfId="10395" xr:uid="{00000000-0005-0000-0000-0000F42D0000}"/>
    <cellStyle name="Normal 4 24" xfId="10396" xr:uid="{00000000-0005-0000-0000-0000F52D0000}"/>
    <cellStyle name="Normal 4 25" xfId="10397" xr:uid="{00000000-0005-0000-0000-0000F62D0000}"/>
    <cellStyle name="Normal 4 26" xfId="10398" xr:uid="{00000000-0005-0000-0000-0000F72D0000}"/>
    <cellStyle name="Normal 4 27" xfId="10399" xr:uid="{00000000-0005-0000-0000-0000F82D0000}"/>
    <cellStyle name="Normal 4 28" xfId="10400" xr:uid="{00000000-0005-0000-0000-0000F92D0000}"/>
    <cellStyle name="Normal 4 29" xfId="10401" xr:uid="{00000000-0005-0000-0000-0000FA2D0000}"/>
    <cellStyle name="Normal 4 3" xfId="301" xr:uid="{00000000-0005-0000-0000-0000FB2D0000}"/>
    <cellStyle name="Normal 4 3 2" xfId="302" xr:uid="{00000000-0005-0000-0000-0000FC2D0000}"/>
    <cellStyle name="Normal 4 3 2 2" xfId="303" xr:uid="{00000000-0005-0000-0000-0000FD2D0000}"/>
    <cellStyle name="Normal 4 3 2 2 2" xfId="304" xr:uid="{00000000-0005-0000-0000-0000FE2D0000}"/>
    <cellStyle name="Normal 4 3 2 3" xfId="305" xr:uid="{00000000-0005-0000-0000-0000FF2D0000}"/>
    <cellStyle name="Normal 4 3 2 4" xfId="10403" xr:uid="{00000000-0005-0000-0000-0000002E0000}"/>
    <cellStyle name="Normal 4 3 3" xfId="306" xr:uid="{00000000-0005-0000-0000-0000012E0000}"/>
    <cellStyle name="Normal 4 3 3 2" xfId="307" xr:uid="{00000000-0005-0000-0000-0000022E0000}"/>
    <cellStyle name="Normal 4 3 3 3" xfId="10404" xr:uid="{00000000-0005-0000-0000-0000032E0000}"/>
    <cellStyle name="Normal 4 3 4" xfId="308" xr:uid="{00000000-0005-0000-0000-0000042E0000}"/>
    <cellStyle name="Normal 4 3 4 2" xfId="10405" xr:uid="{00000000-0005-0000-0000-0000052E0000}"/>
    <cellStyle name="Normal 4 3 5" xfId="10402" xr:uid="{00000000-0005-0000-0000-0000062E0000}"/>
    <cellStyle name="Normal 4 30" xfId="10406" xr:uid="{00000000-0005-0000-0000-0000072E0000}"/>
    <cellStyle name="Normal 4 31" xfId="10407" xr:uid="{00000000-0005-0000-0000-0000082E0000}"/>
    <cellStyle name="Normal 4 32" xfId="10408" xr:uid="{00000000-0005-0000-0000-0000092E0000}"/>
    <cellStyle name="Normal 4 33" xfId="10409" xr:uid="{00000000-0005-0000-0000-00000A2E0000}"/>
    <cellStyle name="Normal 4 34" xfId="10410" xr:uid="{00000000-0005-0000-0000-00000B2E0000}"/>
    <cellStyle name="Normal 4 35" xfId="10411" xr:uid="{00000000-0005-0000-0000-00000C2E0000}"/>
    <cellStyle name="Normal 4 36" xfId="10412" xr:uid="{00000000-0005-0000-0000-00000D2E0000}"/>
    <cellStyle name="Normal 4 37" xfId="10413" xr:uid="{00000000-0005-0000-0000-00000E2E0000}"/>
    <cellStyle name="Normal 4 4" xfId="309" xr:uid="{00000000-0005-0000-0000-00000F2E0000}"/>
    <cellStyle name="Normal 4 4 10" xfId="10415" xr:uid="{00000000-0005-0000-0000-0000102E0000}"/>
    <cellStyle name="Normal 4 4 10 2" xfId="10416" xr:uid="{00000000-0005-0000-0000-0000112E0000}"/>
    <cellStyle name="Normal 4 4 11" xfId="10417" xr:uid="{00000000-0005-0000-0000-0000122E0000}"/>
    <cellStyle name="Normal 4 4 11 2" xfId="10418" xr:uid="{00000000-0005-0000-0000-0000132E0000}"/>
    <cellStyle name="Normal 4 4 12" xfId="10419" xr:uid="{00000000-0005-0000-0000-0000142E0000}"/>
    <cellStyle name="Normal 4 4 12 2" xfId="10420" xr:uid="{00000000-0005-0000-0000-0000152E0000}"/>
    <cellStyle name="Normal 4 4 13" xfId="10414" xr:uid="{00000000-0005-0000-0000-0000162E0000}"/>
    <cellStyle name="Normal 4 4 2" xfId="310" xr:uid="{00000000-0005-0000-0000-0000172E0000}"/>
    <cellStyle name="Normal 4 4 2 10" xfId="10421" xr:uid="{00000000-0005-0000-0000-0000182E0000}"/>
    <cellStyle name="Normal 4 4 2 11" xfId="10422" xr:uid="{00000000-0005-0000-0000-0000192E0000}"/>
    <cellStyle name="Normal 4 4 2 2" xfId="311" xr:uid="{00000000-0005-0000-0000-00001A2E0000}"/>
    <cellStyle name="Normal 4 4 2 2 2" xfId="10423" xr:uid="{00000000-0005-0000-0000-00001B2E0000}"/>
    <cellStyle name="Normal 4 4 2 3" xfId="10424" xr:uid="{00000000-0005-0000-0000-00001C2E0000}"/>
    <cellStyle name="Normal 4 4 2 4" xfId="10425" xr:uid="{00000000-0005-0000-0000-00001D2E0000}"/>
    <cellStyle name="Normal 4 4 2 5" xfId="10426" xr:uid="{00000000-0005-0000-0000-00001E2E0000}"/>
    <cellStyle name="Normal 4 4 2 6" xfId="10427" xr:uid="{00000000-0005-0000-0000-00001F2E0000}"/>
    <cellStyle name="Normal 4 4 2 7" xfId="10428" xr:uid="{00000000-0005-0000-0000-0000202E0000}"/>
    <cellStyle name="Normal 4 4 2 8" xfId="10429" xr:uid="{00000000-0005-0000-0000-0000212E0000}"/>
    <cellStyle name="Normal 4 4 2 9" xfId="10430" xr:uid="{00000000-0005-0000-0000-0000222E0000}"/>
    <cellStyle name="Normal 4 4 3" xfId="312" xr:uid="{00000000-0005-0000-0000-0000232E0000}"/>
    <cellStyle name="Normal 4 4 3 2" xfId="10431" xr:uid="{00000000-0005-0000-0000-0000242E0000}"/>
    <cellStyle name="Normal 4 4 4" xfId="10432" xr:uid="{00000000-0005-0000-0000-0000252E0000}"/>
    <cellStyle name="Normal 4 4 5" xfId="10433" xr:uid="{00000000-0005-0000-0000-0000262E0000}"/>
    <cellStyle name="Normal 4 4 5 2" xfId="10434" xr:uid="{00000000-0005-0000-0000-0000272E0000}"/>
    <cellStyle name="Normal 4 4 6" xfId="10435" xr:uid="{00000000-0005-0000-0000-0000282E0000}"/>
    <cellStyle name="Normal 4 4 6 2" xfId="10436" xr:uid="{00000000-0005-0000-0000-0000292E0000}"/>
    <cellStyle name="Normal 4 4 7" xfId="10437" xr:uid="{00000000-0005-0000-0000-00002A2E0000}"/>
    <cellStyle name="Normal 4 4 7 2" xfId="10438" xr:uid="{00000000-0005-0000-0000-00002B2E0000}"/>
    <cellStyle name="Normal 4 4 8" xfId="10439" xr:uid="{00000000-0005-0000-0000-00002C2E0000}"/>
    <cellStyle name="Normal 4 4 8 2" xfId="10440" xr:uid="{00000000-0005-0000-0000-00002D2E0000}"/>
    <cellStyle name="Normal 4 4 9" xfId="10441" xr:uid="{00000000-0005-0000-0000-00002E2E0000}"/>
    <cellStyle name="Normal 4 4 9 2" xfId="10442" xr:uid="{00000000-0005-0000-0000-00002F2E0000}"/>
    <cellStyle name="Normal 4 5" xfId="313" xr:uid="{00000000-0005-0000-0000-0000302E0000}"/>
    <cellStyle name="Normal 4 5 2" xfId="314" xr:uid="{00000000-0005-0000-0000-0000312E0000}"/>
    <cellStyle name="Normal 4 5 2 2" xfId="315" xr:uid="{00000000-0005-0000-0000-0000322E0000}"/>
    <cellStyle name="Normal 4 5 3" xfId="316" xr:uid="{00000000-0005-0000-0000-0000332E0000}"/>
    <cellStyle name="Normal 4 5 4" xfId="10443" xr:uid="{00000000-0005-0000-0000-0000342E0000}"/>
    <cellStyle name="Normal 4 6" xfId="317" xr:uid="{00000000-0005-0000-0000-0000352E0000}"/>
    <cellStyle name="Normal 4 6 10" xfId="10445" xr:uid="{00000000-0005-0000-0000-0000362E0000}"/>
    <cellStyle name="Normal 4 6 10 2" xfId="10446" xr:uid="{00000000-0005-0000-0000-0000372E0000}"/>
    <cellStyle name="Normal 4 6 11" xfId="10444" xr:uid="{00000000-0005-0000-0000-0000382E0000}"/>
    <cellStyle name="Normal 4 6 2" xfId="10447" xr:uid="{00000000-0005-0000-0000-0000392E0000}"/>
    <cellStyle name="Normal 4 6 2 2" xfId="10448" xr:uid="{00000000-0005-0000-0000-00003A2E0000}"/>
    <cellStyle name="Normal 4 6 3" xfId="10449" xr:uid="{00000000-0005-0000-0000-00003B2E0000}"/>
    <cellStyle name="Normal 4 6 3 2" xfId="10450" xr:uid="{00000000-0005-0000-0000-00003C2E0000}"/>
    <cellStyle name="Normal 4 6 4" xfId="10451" xr:uid="{00000000-0005-0000-0000-00003D2E0000}"/>
    <cellStyle name="Normal 4 6 4 2" xfId="10452" xr:uid="{00000000-0005-0000-0000-00003E2E0000}"/>
    <cellStyle name="Normal 4 6 5" xfId="10453" xr:uid="{00000000-0005-0000-0000-00003F2E0000}"/>
    <cellStyle name="Normal 4 6 5 2" xfId="10454" xr:uid="{00000000-0005-0000-0000-0000402E0000}"/>
    <cellStyle name="Normal 4 6 6" xfId="10455" xr:uid="{00000000-0005-0000-0000-0000412E0000}"/>
    <cellStyle name="Normal 4 6 6 2" xfId="10456" xr:uid="{00000000-0005-0000-0000-0000422E0000}"/>
    <cellStyle name="Normal 4 6 7" xfId="10457" xr:uid="{00000000-0005-0000-0000-0000432E0000}"/>
    <cellStyle name="Normal 4 6 7 2" xfId="10458" xr:uid="{00000000-0005-0000-0000-0000442E0000}"/>
    <cellStyle name="Normal 4 6 8" xfId="10459" xr:uid="{00000000-0005-0000-0000-0000452E0000}"/>
    <cellStyle name="Normal 4 6 8 2" xfId="10460" xr:uid="{00000000-0005-0000-0000-0000462E0000}"/>
    <cellStyle name="Normal 4 6 9" xfId="10461" xr:uid="{00000000-0005-0000-0000-0000472E0000}"/>
    <cellStyle name="Normal 4 6 9 2" xfId="10462" xr:uid="{00000000-0005-0000-0000-0000482E0000}"/>
    <cellStyle name="Normal 4 7" xfId="318" xr:uid="{00000000-0005-0000-0000-0000492E0000}"/>
    <cellStyle name="Normal 4 7 10" xfId="10464" xr:uid="{00000000-0005-0000-0000-00004A2E0000}"/>
    <cellStyle name="Normal 4 7 10 2" xfId="10465" xr:uid="{00000000-0005-0000-0000-00004B2E0000}"/>
    <cellStyle name="Normal 4 7 11" xfId="10463" xr:uid="{00000000-0005-0000-0000-00004C2E0000}"/>
    <cellStyle name="Normal 4 7 12" xfId="27099" xr:uid="{00000000-0005-0000-0000-00004D2E0000}"/>
    <cellStyle name="Normal 4 7 2" xfId="319" xr:uid="{00000000-0005-0000-0000-00004E2E0000}"/>
    <cellStyle name="Normal 4 7 2 2" xfId="10466" xr:uid="{00000000-0005-0000-0000-00004F2E0000}"/>
    <cellStyle name="Normal 4 7 3" xfId="10467" xr:uid="{00000000-0005-0000-0000-0000502E0000}"/>
    <cellStyle name="Normal 4 7 3 2" xfId="10468" xr:uid="{00000000-0005-0000-0000-0000512E0000}"/>
    <cellStyle name="Normal 4 7 4" xfId="10469" xr:uid="{00000000-0005-0000-0000-0000522E0000}"/>
    <cellStyle name="Normal 4 7 4 2" xfId="10470" xr:uid="{00000000-0005-0000-0000-0000532E0000}"/>
    <cellStyle name="Normal 4 7 5" xfId="10471" xr:uid="{00000000-0005-0000-0000-0000542E0000}"/>
    <cellStyle name="Normal 4 7 5 2" xfId="10472" xr:uid="{00000000-0005-0000-0000-0000552E0000}"/>
    <cellStyle name="Normal 4 7 6" xfId="10473" xr:uid="{00000000-0005-0000-0000-0000562E0000}"/>
    <cellStyle name="Normal 4 7 6 2" xfId="10474" xr:uid="{00000000-0005-0000-0000-0000572E0000}"/>
    <cellStyle name="Normal 4 7 7" xfId="10475" xr:uid="{00000000-0005-0000-0000-0000582E0000}"/>
    <cellStyle name="Normal 4 7 7 2" xfId="10476" xr:uid="{00000000-0005-0000-0000-0000592E0000}"/>
    <cellStyle name="Normal 4 7 8" xfId="10477" xr:uid="{00000000-0005-0000-0000-00005A2E0000}"/>
    <cellStyle name="Normal 4 7 8 2" xfId="10478" xr:uid="{00000000-0005-0000-0000-00005B2E0000}"/>
    <cellStyle name="Normal 4 7 9" xfId="10479" xr:uid="{00000000-0005-0000-0000-00005C2E0000}"/>
    <cellStyle name="Normal 4 7 9 2" xfId="10480" xr:uid="{00000000-0005-0000-0000-00005D2E0000}"/>
    <cellStyle name="Normal 4 8" xfId="320" xr:uid="{00000000-0005-0000-0000-00005E2E0000}"/>
    <cellStyle name="Normal 4 8 2" xfId="10481" xr:uid="{00000000-0005-0000-0000-00005F2E0000}"/>
    <cellStyle name="Normal 4 9" xfId="321" xr:uid="{00000000-0005-0000-0000-0000602E0000}"/>
    <cellStyle name="Normal 4 9 2" xfId="10482" xr:uid="{00000000-0005-0000-0000-0000612E0000}"/>
    <cellStyle name="Normal 4_Dívida - Eletrobrás - contrato genérico v2" xfId="10483" xr:uid="{00000000-0005-0000-0000-0000622E0000}"/>
    <cellStyle name="Normal 40" xfId="322" xr:uid="{00000000-0005-0000-0000-0000632E0000}"/>
    <cellStyle name="Normal 40 2" xfId="323" xr:uid="{00000000-0005-0000-0000-0000642E0000}"/>
    <cellStyle name="Normal 40 3" xfId="25027" xr:uid="{00000000-0005-0000-0000-0000652E0000}"/>
    <cellStyle name="Normal 41" xfId="324" xr:uid="{00000000-0005-0000-0000-0000662E0000}"/>
    <cellStyle name="Normal 41 2" xfId="325" xr:uid="{00000000-0005-0000-0000-0000672E0000}"/>
    <cellStyle name="Normal 41 3" xfId="10484" xr:uid="{00000000-0005-0000-0000-0000682E0000}"/>
    <cellStyle name="Normal 41 4" xfId="27515" xr:uid="{00000000-0005-0000-0000-0000692E0000}"/>
    <cellStyle name="Normal 42" xfId="326" xr:uid="{00000000-0005-0000-0000-00006A2E0000}"/>
    <cellStyle name="Normal 42 2" xfId="327" xr:uid="{00000000-0005-0000-0000-00006B2E0000}"/>
    <cellStyle name="Normal 42 3" xfId="10485" xr:uid="{00000000-0005-0000-0000-00006C2E0000}"/>
    <cellStyle name="Normal 43" xfId="328" xr:uid="{00000000-0005-0000-0000-00006D2E0000}"/>
    <cellStyle name="Normal 43 2" xfId="329" xr:uid="{00000000-0005-0000-0000-00006E2E0000}"/>
    <cellStyle name="Normal 43 3" xfId="10486" xr:uid="{00000000-0005-0000-0000-00006F2E0000}"/>
    <cellStyle name="Normal 44" xfId="330" xr:uid="{00000000-0005-0000-0000-0000702E0000}"/>
    <cellStyle name="Normal 44 2" xfId="331" xr:uid="{00000000-0005-0000-0000-0000712E0000}"/>
    <cellStyle name="Normal 44 3" xfId="10487" xr:uid="{00000000-0005-0000-0000-0000722E0000}"/>
    <cellStyle name="Normal 45" xfId="332" xr:uid="{00000000-0005-0000-0000-0000732E0000}"/>
    <cellStyle name="Normal 45 2" xfId="333" xr:uid="{00000000-0005-0000-0000-0000742E0000}"/>
    <cellStyle name="Normal 45 3" xfId="10488" xr:uid="{00000000-0005-0000-0000-0000752E0000}"/>
    <cellStyle name="Normal 46" xfId="334" xr:uid="{00000000-0005-0000-0000-0000762E0000}"/>
    <cellStyle name="Normal 46 2" xfId="335" xr:uid="{00000000-0005-0000-0000-0000772E0000}"/>
    <cellStyle name="Normal 46 3" xfId="10489" xr:uid="{00000000-0005-0000-0000-0000782E0000}"/>
    <cellStyle name="Normal 47" xfId="336" xr:uid="{00000000-0005-0000-0000-0000792E0000}"/>
    <cellStyle name="Normal 47 2" xfId="337" xr:uid="{00000000-0005-0000-0000-00007A2E0000}"/>
    <cellStyle name="Normal 47 3" xfId="10490" xr:uid="{00000000-0005-0000-0000-00007B2E0000}"/>
    <cellStyle name="Normal 48" xfId="338" xr:uid="{00000000-0005-0000-0000-00007C2E0000}"/>
    <cellStyle name="Normal 48 2" xfId="339" xr:uid="{00000000-0005-0000-0000-00007D2E0000}"/>
    <cellStyle name="Normal 48 3" xfId="10491" xr:uid="{00000000-0005-0000-0000-00007E2E0000}"/>
    <cellStyle name="Normal 48 4" xfId="27517" xr:uid="{00000000-0005-0000-0000-00007F2E0000}"/>
    <cellStyle name="Normal 49" xfId="340" xr:uid="{00000000-0005-0000-0000-0000802E0000}"/>
    <cellStyle name="Normal 49 2" xfId="341" xr:uid="{00000000-0005-0000-0000-0000812E0000}"/>
    <cellStyle name="Normal 49 3" xfId="10492" xr:uid="{00000000-0005-0000-0000-0000822E0000}"/>
    <cellStyle name="Normal 5" xfId="342" xr:uid="{00000000-0005-0000-0000-0000832E0000}"/>
    <cellStyle name="Normal 5 10" xfId="10493" xr:uid="{00000000-0005-0000-0000-0000842E0000}"/>
    <cellStyle name="Normal 5 10 10" xfId="10494" xr:uid="{00000000-0005-0000-0000-0000852E0000}"/>
    <cellStyle name="Normal 5 10 11" xfId="10495" xr:uid="{00000000-0005-0000-0000-0000862E0000}"/>
    <cellStyle name="Normal 5 10 2" xfId="10496" xr:uid="{00000000-0005-0000-0000-0000872E0000}"/>
    <cellStyle name="Normal 5 10 3" xfId="10497" xr:uid="{00000000-0005-0000-0000-0000882E0000}"/>
    <cellStyle name="Normal 5 10 4" xfId="10498" xr:uid="{00000000-0005-0000-0000-0000892E0000}"/>
    <cellStyle name="Normal 5 10 5" xfId="10499" xr:uid="{00000000-0005-0000-0000-00008A2E0000}"/>
    <cellStyle name="Normal 5 10 6" xfId="10500" xr:uid="{00000000-0005-0000-0000-00008B2E0000}"/>
    <cellStyle name="Normal 5 10 7" xfId="10501" xr:uid="{00000000-0005-0000-0000-00008C2E0000}"/>
    <cellStyle name="Normal 5 10 8" xfId="10502" xr:uid="{00000000-0005-0000-0000-00008D2E0000}"/>
    <cellStyle name="Normal 5 10 9" xfId="10503" xr:uid="{00000000-0005-0000-0000-00008E2E0000}"/>
    <cellStyle name="Normal 5 11" xfId="10504" xr:uid="{00000000-0005-0000-0000-00008F2E0000}"/>
    <cellStyle name="Normal 5 11 2" xfId="10505" xr:uid="{00000000-0005-0000-0000-0000902E0000}"/>
    <cellStyle name="Normal 5 11 3" xfId="10506" xr:uid="{00000000-0005-0000-0000-0000912E0000}"/>
    <cellStyle name="Normal 5 12" xfId="10507" xr:uid="{00000000-0005-0000-0000-0000922E0000}"/>
    <cellStyle name="Normal 5 12 2" xfId="10508" xr:uid="{00000000-0005-0000-0000-0000932E0000}"/>
    <cellStyle name="Normal 5 12 3" xfId="10509" xr:uid="{00000000-0005-0000-0000-0000942E0000}"/>
    <cellStyle name="Normal 5 13" xfId="10510" xr:uid="{00000000-0005-0000-0000-0000952E0000}"/>
    <cellStyle name="Normal 5 13 2" xfId="10511" xr:uid="{00000000-0005-0000-0000-0000962E0000}"/>
    <cellStyle name="Normal 5 13 3" xfId="10512" xr:uid="{00000000-0005-0000-0000-0000972E0000}"/>
    <cellStyle name="Normal 5 14" xfId="10513" xr:uid="{00000000-0005-0000-0000-0000982E0000}"/>
    <cellStyle name="Normal 5 14 2" xfId="10514" xr:uid="{00000000-0005-0000-0000-0000992E0000}"/>
    <cellStyle name="Normal 5 14 3" xfId="10515" xr:uid="{00000000-0005-0000-0000-00009A2E0000}"/>
    <cellStyle name="Normal 5 15" xfId="10516" xr:uid="{00000000-0005-0000-0000-00009B2E0000}"/>
    <cellStyle name="Normal 5 15 2" xfId="10517" xr:uid="{00000000-0005-0000-0000-00009C2E0000}"/>
    <cellStyle name="Normal 5 15 3" xfId="10518" xr:uid="{00000000-0005-0000-0000-00009D2E0000}"/>
    <cellStyle name="Normal 5 16" xfId="10519" xr:uid="{00000000-0005-0000-0000-00009E2E0000}"/>
    <cellStyle name="Normal 5 16 2" xfId="10520" xr:uid="{00000000-0005-0000-0000-00009F2E0000}"/>
    <cellStyle name="Normal 5 16 3" xfId="10521" xr:uid="{00000000-0005-0000-0000-0000A02E0000}"/>
    <cellStyle name="Normal 5 17" xfId="10522" xr:uid="{00000000-0005-0000-0000-0000A12E0000}"/>
    <cellStyle name="Normal 5 17 2" xfId="10523" xr:uid="{00000000-0005-0000-0000-0000A22E0000}"/>
    <cellStyle name="Normal 5 17 3" xfId="10524" xr:uid="{00000000-0005-0000-0000-0000A32E0000}"/>
    <cellStyle name="Normal 5 18" xfId="10525" xr:uid="{00000000-0005-0000-0000-0000A42E0000}"/>
    <cellStyle name="Normal 5 18 2" xfId="10526" xr:uid="{00000000-0005-0000-0000-0000A52E0000}"/>
    <cellStyle name="Normal 5 18 3" xfId="10527" xr:uid="{00000000-0005-0000-0000-0000A62E0000}"/>
    <cellStyle name="Normal 5 19" xfId="10528" xr:uid="{00000000-0005-0000-0000-0000A72E0000}"/>
    <cellStyle name="Normal 5 19 2" xfId="10529" xr:uid="{00000000-0005-0000-0000-0000A82E0000}"/>
    <cellStyle name="Normal 5 19 3" xfId="10530" xr:uid="{00000000-0005-0000-0000-0000A92E0000}"/>
    <cellStyle name="Normal 5 2" xfId="343" xr:uid="{00000000-0005-0000-0000-0000AA2E0000}"/>
    <cellStyle name="Normal 5 2 10" xfId="10531" xr:uid="{00000000-0005-0000-0000-0000AB2E0000}"/>
    <cellStyle name="Normal 5 2 10 2" xfId="10532" xr:uid="{00000000-0005-0000-0000-0000AC2E0000}"/>
    <cellStyle name="Normal 5 2 10 3" xfId="10533" xr:uid="{00000000-0005-0000-0000-0000AD2E0000}"/>
    <cellStyle name="Normal 5 2 11" xfId="10534" xr:uid="{00000000-0005-0000-0000-0000AE2E0000}"/>
    <cellStyle name="Normal 5 2 11 2" xfId="10535" xr:uid="{00000000-0005-0000-0000-0000AF2E0000}"/>
    <cellStyle name="Normal 5 2 11 3" xfId="10536" xr:uid="{00000000-0005-0000-0000-0000B02E0000}"/>
    <cellStyle name="Normal 5 2 12" xfId="10537" xr:uid="{00000000-0005-0000-0000-0000B12E0000}"/>
    <cellStyle name="Normal 5 2 12 2" xfId="10538" xr:uid="{00000000-0005-0000-0000-0000B22E0000}"/>
    <cellStyle name="Normal 5 2 12 3" xfId="10539" xr:uid="{00000000-0005-0000-0000-0000B32E0000}"/>
    <cellStyle name="Normal 5 2 13" xfId="10540" xr:uid="{00000000-0005-0000-0000-0000B42E0000}"/>
    <cellStyle name="Normal 5 2 13 2" xfId="10541" xr:uid="{00000000-0005-0000-0000-0000B52E0000}"/>
    <cellStyle name="Normal 5 2 13 3" xfId="10542" xr:uid="{00000000-0005-0000-0000-0000B62E0000}"/>
    <cellStyle name="Normal 5 2 14" xfId="10543" xr:uid="{00000000-0005-0000-0000-0000B72E0000}"/>
    <cellStyle name="Normal 5 2 14 2" xfId="10544" xr:uid="{00000000-0005-0000-0000-0000B82E0000}"/>
    <cellStyle name="Normal 5 2 14 3" xfId="10545" xr:uid="{00000000-0005-0000-0000-0000B92E0000}"/>
    <cellStyle name="Normal 5 2 15" xfId="10546" xr:uid="{00000000-0005-0000-0000-0000BA2E0000}"/>
    <cellStyle name="Normal 5 2 15 2" xfId="10547" xr:uid="{00000000-0005-0000-0000-0000BB2E0000}"/>
    <cellStyle name="Normal 5 2 15 3" xfId="10548" xr:uid="{00000000-0005-0000-0000-0000BC2E0000}"/>
    <cellStyle name="Normal 5 2 16" xfId="10549" xr:uid="{00000000-0005-0000-0000-0000BD2E0000}"/>
    <cellStyle name="Normal 5 2 16 2" xfId="10550" xr:uid="{00000000-0005-0000-0000-0000BE2E0000}"/>
    <cellStyle name="Normal 5 2 16 3" xfId="10551" xr:uid="{00000000-0005-0000-0000-0000BF2E0000}"/>
    <cellStyle name="Normal 5 2 17" xfId="10552" xr:uid="{00000000-0005-0000-0000-0000C02E0000}"/>
    <cellStyle name="Normal 5 2 17 2" xfId="10553" xr:uid="{00000000-0005-0000-0000-0000C12E0000}"/>
    <cellStyle name="Normal 5 2 17 3" xfId="10554" xr:uid="{00000000-0005-0000-0000-0000C22E0000}"/>
    <cellStyle name="Normal 5 2 18" xfId="10555" xr:uid="{00000000-0005-0000-0000-0000C32E0000}"/>
    <cellStyle name="Normal 5 2 18 2" xfId="10556" xr:uid="{00000000-0005-0000-0000-0000C42E0000}"/>
    <cellStyle name="Normal 5 2 18 3" xfId="10557" xr:uid="{00000000-0005-0000-0000-0000C52E0000}"/>
    <cellStyle name="Normal 5 2 19" xfId="10558" xr:uid="{00000000-0005-0000-0000-0000C62E0000}"/>
    <cellStyle name="Normal 5 2 19 2" xfId="10559" xr:uid="{00000000-0005-0000-0000-0000C72E0000}"/>
    <cellStyle name="Normal 5 2 19 3" xfId="10560" xr:uid="{00000000-0005-0000-0000-0000C82E0000}"/>
    <cellStyle name="Normal 5 2 2" xfId="344" xr:uid="{00000000-0005-0000-0000-0000C92E0000}"/>
    <cellStyle name="Normal 5 2 2 10" xfId="10561" xr:uid="{00000000-0005-0000-0000-0000CA2E0000}"/>
    <cellStyle name="Normal 5 2 2 10 2" xfId="10562" xr:uid="{00000000-0005-0000-0000-0000CB2E0000}"/>
    <cellStyle name="Normal 5 2 2 10 3" xfId="10563" xr:uid="{00000000-0005-0000-0000-0000CC2E0000}"/>
    <cellStyle name="Normal 5 2 2 11" xfId="10564" xr:uid="{00000000-0005-0000-0000-0000CD2E0000}"/>
    <cellStyle name="Normal 5 2 2 11 2" xfId="10565" xr:uid="{00000000-0005-0000-0000-0000CE2E0000}"/>
    <cellStyle name="Normal 5 2 2 11 3" xfId="10566" xr:uid="{00000000-0005-0000-0000-0000CF2E0000}"/>
    <cellStyle name="Normal 5 2 2 12" xfId="10567" xr:uid="{00000000-0005-0000-0000-0000D02E0000}"/>
    <cellStyle name="Normal 5 2 2 12 2" xfId="10568" xr:uid="{00000000-0005-0000-0000-0000D12E0000}"/>
    <cellStyle name="Normal 5 2 2 12 3" xfId="10569" xr:uid="{00000000-0005-0000-0000-0000D22E0000}"/>
    <cellStyle name="Normal 5 2 2 13" xfId="10570" xr:uid="{00000000-0005-0000-0000-0000D32E0000}"/>
    <cellStyle name="Normal 5 2 2 13 2" xfId="10571" xr:uid="{00000000-0005-0000-0000-0000D42E0000}"/>
    <cellStyle name="Normal 5 2 2 13 3" xfId="10572" xr:uid="{00000000-0005-0000-0000-0000D52E0000}"/>
    <cellStyle name="Normal 5 2 2 14" xfId="10573" xr:uid="{00000000-0005-0000-0000-0000D62E0000}"/>
    <cellStyle name="Normal 5 2 2 14 2" xfId="10574" xr:uid="{00000000-0005-0000-0000-0000D72E0000}"/>
    <cellStyle name="Normal 5 2 2 14 3" xfId="10575" xr:uid="{00000000-0005-0000-0000-0000D82E0000}"/>
    <cellStyle name="Normal 5 2 2 15" xfId="10576" xr:uid="{00000000-0005-0000-0000-0000D92E0000}"/>
    <cellStyle name="Normal 5 2 2 15 2" xfId="10577" xr:uid="{00000000-0005-0000-0000-0000DA2E0000}"/>
    <cellStyle name="Normal 5 2 2 15 3" xfId="10578" xr:uid="{00000000-0005-0000-0000-0000DB2E0000}"/>
    <cellStyle name="Normal 5 2 2 16" xfId="10579" xr:uid="{00000000-0005-0000-0000-0000DC2E0000}"/>
    <cellStyle name="Normal 5 2 2 16 2" xfId="10580" xr:uid="{00000000-0005-0000-0000-0000DD2E0000}"/>
    <cellStyle name="Normal 5 2 2 16 3" xfId="10581" xr:uid="{00000000-0005-0000-0000-0000DE2E0000}"/>
    <cellStyle name="Normal 5 2 2 17" xfId="10582" xr:uid="{00000000-0005-0000-0000-0000DF2E0000}"/>
    <cellStyle name="Normal 5 2 2 17 2" xfId="10583" xr:uid="{00000000-0005-0000-0000-0000E02E0000}"/>
    <cellStyle name="Normal 5 2 2 17 3" xfId="10584" xr:uid="{00000000-0005-0000-0000-0000E12E0000}"/>
    <cellStyle name="Normal 5 2 2 18" xfId="10585" xr:uid="{00000000-0005-0000-0000-0000E22E0000}"/>
    <cellStyle name="Normal 5 2 2 18 2" xfId="10586" xr:uid="{00000000-0005-0000-0000-0000E32E0000}"/>
    <cellStyle name="Normal 5 2 2 18 3" xfId="10587" xr:uid="{00000000-0005-0000-0000-0000E42E0000}"/>
    <cellStyle name="Normal 5 2 2 19" xfId="10588" xr:uid="{00000000-0005-0000-0000-0000E52E0000}"/>
    <cellStyle name="Normal 5 2 2 19 2" xfId="10589" xr:uid="{00000000-0005-0000-0000-0000E62E0000}"/>
    <cellStyle name="Normal 5 2 2 19 3" xfId="10590" xr:uid="{00000000-0005-0000-0000-0000E72E0000}"/>
    <cellStyle name="Normal 5 2 2 2" xfId="345" xr:uid="{00000000-0005-0000-0000-0000E82E0000}"/>
    <cellStyle name="Normal 5 2 2 2 10" xfId="10592" xr:uid="{00000000-0005-0000-0000-0000E92E0000}"/>
    <cellStyle name="Normal 5 2 2 2 11" xfId="10593" xr:uid="{00000000-0005-0000-0000-0000EA2E0000}"/>
    <cellStyle name="Normal 5 2 2 2 11 2" xfId="10594" xr:uid="{00000000-0005-0000-0000-0000EB2E0000}"/>
    <cellStyle name="Normal 5 2 2 2 12" xfId="10595" xr:uid="{00000000-0005-0000-0000-0000EC2E0000}"/>
    <cellStyle name="Normal 5 2 2 2 12 2" xfId="10596" xr:uid="{00000000-0005-0000-0000-0000ED2E0000}"/>
    <cellStyle name="Normal 5 2 2 2 13" xfId="10597" xr:uid="{00000000-0005-0000-0000-0000EE2E0000}"/>
    <cellStyle name="Normal 5 2 2 2 14" xfId="10598" xr:uid="{00000000-0005-0000-0000-0000EF2E0000}"/>
    <cellStyle name="Normal 5 2 2 2 14 2" xfId="10599" xr:uid="{00000000-0005-0000-0000-0000F02E0000}"/>
    <cellStyle name="Normal 5 2 2 2 15" xfId="10600" xr:uid="{00000000-0005-0000-0000-0000F12E0000}"/>
    <cellStyle name="Normal 5 2 2 2 15 2" xfId="10601" xr:uid="{00000000-0005-0000-0000-0000F22E0000}"/>
    <cellStyle name="Normal 5 2 2 2 16" xfId="10602" xr:uid="{00000000-0005-0000-0000-0000F32E0000}"/>
    <cellStyle name="Normal 5 2 2 2 17" xfId="10603" xr:uid="{00000000-0005-0000-0000-0000F42E0000}"/>
    <cellStyle name="Normal 5 2 2 2 17 2" xfId="10604" xr:uid="{00000000-0005-0000-0000-0000F52E0000}"/>
    <cellStyle name="Normal 5 2 2 2 18" xfId="10605" xr:uid="{00000000-0005-0000-0000-0000F62E0000}"/>
    <cellStyle name="Normal 5 2 2 2 18 2" xfId="10606" xr:uid="{00000000-0005-0000-0000-0000F72E0000}"/>
    <cellStyle name="Normal 5 2 2 2 19" xfId="10607" xr:uid="{00000000-0005-0000-0000-0000F82E0000}"/>
    <cellStyle name="Normal 5 2 2 2 2" xfId="346" xr:uid="{00000000-0005-0000-0000-0000F92E0000}"/>
    <cellStyle name="Normal 5 2 2 2 2 10" xfId="10608" xr:uid="{00000000-0005-0000-0000-0000FA2E0000}"/>
    <cellStyle name="Normal 5 2 2 2 2 10 2" xfId="10609" xr:uid="{00000000-0005-0000-0000-0000FB2E0000}"/>
    <cellStyle name="Normal 5 2 2 2 2 11" xfId="10610" xr:uid="{00000000-0005-0000-0000-0000FC2E0000}"/>
    <cellStyle name="Normal 5 2 2 2 2 11 2" xfId="10611" xr:uid="{00000000-0005-0000-0000-0000FD2E0000}"/>
    <cellStyle name="Normal 5 2 2 2 2 12" xfId="10612" xr:uid="{00000000-0005-0000-0000-0000FE2E0000}"/>
    <cellStyle name="Normal 5 2 2 2 2 12 2" xfId="10613" xr:uid="{00000000-0005-0000-0000-0000FF2E0000}"/>
    <cellStyle name="Normal 5 2 2 2 2 13" xfId="10614" xr:uid="{00000000-0005-0000-0000-0000002F0000}"/>
    <cellStyle name="Normal 5 2 2 2 2 13 2" xfId="10615" xr:uid="{00000000-0005-0000-0000-0000012F0000}"/>
    <cellStyle name="Normal 5 2 2 2 2 14" xfId="10616" xr:uid="{00000000-0005-0000-0000-0000022F0000}"/>
    <cellStyle name="Normal 5 2 2 2 2 14 2" xfId="10617" xr:uid="{00000000-0005-0000-0000-0000032F0000}"/>
    <cellStyle name="Normal 5 2 2 2 2 15" xfId="10618" xr:uid="{00000000-0005-0000-0000-0000042F0000}"/>
    <cellStyle name="Normal 5 2 2 2 2 15 2" xfId="10619" xr:uid="{00000000-0005-0000-0000-0000052F0000}"/>
    <cellStyle name="Normal 5 2 2 2 2 16" xfId="10620" xr:uid="{00000000-0005-0000-0000-0000062F0000}"/>
    <cellStyle name="Normal 5 2 2 2 2 16 2" xfId="10621" xr:uid="{00000000-0005-0000-0000-0000072F0000}"/>
    <cellStyle name="Normal 5 2 2 2 2 17" xfId="10622" xr:uid="{00000000-0005-0000-0000-0000082F0000}"/>
    <cellStyle name="Normal 5 2 2 2 2 17 2" xfId="10623" xr:uid="{00000000-0005-0000-0000-0000092F0000}"/>
    <cellStyle name="Normal 5 2 2 2 2 18" xfId="10624" xr:uid="{00000000-0005-0000-0000-00000A2F0000}"/>
    <cellStyle name="Normal 5 2 2 2 2 18 2" xfId="10625" xr:uid="{00000000-0005-0000-0000-00000B2F0000}"/>
    <cellStyle name="Normal 5 2 2 2 2 19" xfId="10626" xr:uid="{00000000-0005-0000-0000-00000C2F0000}"/>
    <cellStyle name="Normal 5 2 2 2 2 19 2" xfId="10627" xr:uid="{00000000-0005-0000-0000-00000D2F0000}"/>
    <cellStyle name="Normal 5 2 2 2 2 2" xfId="10628" xr:uid="{00000000-0005-0000-0000-00000E2F0000}"/>
    <cellStyle name="Normal 5 2 2 2 2 2 10" xfId="10629" xr:uid="{00000000-0005-0000-0000-00000F2F0000}"/>
    <cellStyle name="Normal 5 2 2 2 2 2 11" xfId="10630" xr:uid="{00000000-0005-0000-0000-0000102F0000}"/>
    <cellStyle name="Normal 5 2 2 2 2 2 12" xfId="10631" xr:uid="{00000000-0005-0000-0000-0000112F0000}"/>
    <cellStyle name="Normal 5 2 2 2 2 2 13" xfId="10632" xr:uid="{00000000-0005-0000-0000-0000122F0000}"/>
    <cellStyle name="Normal 5 2 2 2 2 2 14" xfId="10633" xr:uid="{00000000-0005-0000-0000-0000132F0000}"/>
    <cellStyle name="Normal 5 2 2 2 2 2 15" xfId="10634" xr:uid="{00000000-0005-0000-0000-0000142F0000}"/>
    <cellStyle name="Normal 5 2 2 2 2 2 16" xfId="10635" xr:uid="{00000000-0005-0000-0000-0000152F0000}"/>
    <cellStyle name="Normal 5 2 2 2 2 2 2" xfId="10636" xr:uid="{00000000-0005-0000-0000-0000162F0000}"/>
    <cellStyle name="Normal 5 2 2 2 2 2 2 10" xfId="10637" xr:uid="{00000000-0005-0000-0000-0000172F0000}"/>
    <cellStyle name="Normal 5 2 2 2 2 2 2 10 2" xfId="10638" xr:uid="{00000000-0005-0000-0000-0000182F0000}"/>
    <cellStyle name="Normal 5 2 2 2 2 2 2 2" xfId="10639" xr:uid="{00000000-0005-0000-0000-0000192F0000}"/>
    <cellStyle name="Normal 5 2 2 2 2 2 2 2 2" xfId="10640" xr:uid="{00000000-0005-0000-0000-00001A2F0000}"/>
    <cellStyle name="Normal 5 2 2 2 2 2 2 3" xfId="10641" xr:uid="{00000000-0005-0000-0000-00001B2F0000}"/>
    <cellStyle name="Normal 5 2 2 2 2 2 2 3 2" xfId="10642" xr:uid="{00000000-0005-0000-0000-00001C2F0000}"/>
    <cellStyle name="Normal 5 2 2 2 2 2 2 4" xfId="10643" xr:uid="{00000000-0005-0000-0000-00001D2F0000}"/>
    <cellStyle name="Normal 5 2 2 2 2 2 2 4 2" xfId="10644" xr:uid="{00000000-0005-0000-0000-00001E2F0000}"/>
    <cellStyle name="Normal 5 2 2 2 2 2 2 5" xfId="10645" xr:uid="{00000000-0005-0000-0000-00001F2F0000}"/>
    <cellStyle name="Normal 5 2 2 2 2 2 2 5 2" xfId="10646" xr:uid="{00000000-0005-0000-0000-0000202F0000}"/>
    <cellStyle name="Normal 5 2 2 2 2 2 2 6" xfId="10647" xr:uid="{00000000-0005-0000-0000-0000212F0000}"/>
    <cellStyle name="Normal 5 2 2 2 2 2 2 6 2" xfId="10648" xr:uid="{00000000-0005-0000-0000-0000222F0000}"/>
    <cellStyle name="Normal 5 2 2 2 2 2 2 7" xfId="10649" xr:uid="{00000000-0005-0000-0000-0000232F0000}"/>
    <cellStyle name="Normal 5 2 2 2 2 2 2 7 2" xfId="10650" xr:uid="{00000000-0005-0000-0000-0000242F0000}"/>
    <cellStyle name="Normal 5 2 2 2 2 2 2 8" xfId="10651" xr:uid="{00000000-0005-0000-0000-0000252F0000}"/>
    <cellStyle name="Normal 5 2 2 2 2 2 2 8 2" xfId="10652" xr:uid="{00000000-0005-0000-0000-0000262F0000}"/>
    <cellStyle name="Normal 5 2 2 2 2 2 2 9" xfId="10653" xr:uid="{00000000-0005-0000-0000-0000272F0000}"/>
    <cellStyle name="Normal 5 2 2 2 2 2 2 9 2" xfId="10654" xr:uid="{00000000-0005-0000-0000-0000282F0000}"/>
    <cellStyle name="Normal 5 2 2 2 2 2 3" xfId="10655" xr:uid="{00000000-0005-0000-0000-0000292F0000}"/>
    <cellStyle name="Normal 5 2 2 2 2 2 3 2" xfId="10656" xr:uid="{00000000-0005-0000-0000-00002A2F0000}"/>
    <cellStyle name="Normal 5 2 2 2 2 2 3 2 2" xfId="10657" xr:uid="{00000000-0005-0000-0000-00002B2F0000}"/>
    <cellStyle name="Normal 5 2 2 2 2 2 3 3" xfId="10658" xr:uid="{00000000-0005-0000-0000-00002C2F0000}"/>
    <cellStyle name="Normal 5 2 2 2 2 2 3 3 2" xfId="10659" xr:uid="{00000000-0005-0000-0000-00002D2F0000}"/>
    <cellStyle name="Normal 5 2 2 2 2 2 3 4" xfId="10660" xr:uid="{00000000-0005-0000-0000-00002E2F0000}"/>
    <cellStyle name="Normal 5 2 2 2 2 2 3 4 2" xfId="10661" xr:uid="{00000000-0005-0000-0000-00002F2F0000}"/>
    <cellStyle name="Normal 5 2 2 2 2 2 3 5" xfId="10662" xr:uid="{00000000-0005-0000-0000-0000302F0000}"/>
    <cellStyle name="Normal 5 2 2 2 2 2 3 5 2" xfId="10663" xr:uid="{00000000-0005-0000-0000-0000312F0000}"/>
    <cellStyle name="Normal 5 2 2 2 2 2 3 6" xfId="10664" xr:uid="{00000000-0005-0000-0000-0000322F0000}"/>
    <cellStyle name="Normal 5 2 2 2 2 2 4" xfId="10665" xr:uid="{00000000-0005-0000-0000-0000332F0000}"/>
    <cellStyle name="Normal 5 2 2 2 2 2 4 2" xfId="10666" xr:uid="{00000000-0005-0000-0000-0000342F0000}"/>
    <cellStyle name="Normal 5 2 2 2 2 2 4 2 2" xfId="10667" xr:uid="{00000000-0005-0000-0000-0000352F0000}"/>
    <cellStyle name="Normal 5 2 2 2 2 2 4 3" xfId="10668" xr:uid="{00000000-0005-0000-0000-0000362F0000}"/>
    <cellStyle name="Normal 5 2 2 2 2 2 4 3 2" xfId="10669" xr:uid="{00000000-0005-0000-0000-0000372F0000}"/>
    <cellStyle name="Normal 5 2 2 2 2 2 4 4" xfId="10670" xr:uid="{00000000-0005-0000-0000-0000382F0000}"/>
    <cellStyle name="Normal 5 2 2 2 2 2 4 4 2" xfId="10671" xr:uid="{00000000-0005-0000-0000-0000392F0000}"/>
    <cellStyle name="Normal 5 2 2 2 2 2 4 5" xfId="10672" xr:uid="{00000000-0005-0000-0000-00003A2F0000}"/>
    <cellStyle name="Normal 5 2 2 2 2 2 4 5 2" xfId="10673" xr:uid="{00000000-0005-0000-0000-00003B2F0000}"/>
    <cellStyle name="Normal 5 2 2 2 2 2 4 6" xfId="10674" xr:uid="{00000000-0005-0000-0000-00003C2F0000}"/>
    <cellStyle name="Normal 5 2 2 2 2 2 5" xfId="10675" xr:uid="{00000000-0005-0000-0000-00003D2F0000}"/>
    <cellStyle name="Normal 5 2 2 2 2 2 6" xfId="10676" xr:uid="{00000000-0005-0000-0000-00003E2F0000}"/>
    <cellStyle name="Normal 5 2 2 2 2 2 7" xfId="10677" xr:uid="{00000000-0005-0000-0000-00003F2F0000}"/>
    <cellStyle name="Normal 5 2 2 2 2 2 8" xfId="10678" xr:uid="{00000000-0005-0000-0000-0000402F0000}"/>
    <cellStyle name="Normal 5 2 2 2 2 2 9" xfId="10679" xr:uid="{00000000-0005-0000-0000-0000412F0000}"/>
    <cellStyle name="Normal 5 2 2 2 2 20" xfId="10680" xr:uid="{00000000-0005-0000-0000-0000422F0000}"/>
    <cellStyle name="Normal 5 2 2 2 2 20 2" xfId="10681" xr:uid="{00000000-0005-0000-0000-0000432F0000}"/>
    <cellStyle name="Normal 5 2 2 2 2 21" xfId="10682" xr:uid="{00000000-0005-0000-0000-0000442F0000}"/>
    <cellStyle name="Normal 5 2 2 2 2 21 2" xfId="10683" xr:uid="{00000000-0005-0000-0000-0000452F0000}"/>
    <cellStyle name="Normal 5 2 2 2 2 22" xfId="10684" xr:uid="{00000000-0005-0000-0000-0000462F0000}"/>
    <cellStyle name="Normal 5 2 2 2 2 22 2" xfId="10685" xr:uid="{00000000-0005-0000-0000-0000472F0000}"/>
    <cellStyle name="Normal 5 2 2 2 2 23" xfId="10686" xr:uid="{00000000-0005-0000-0000-0000482F0000}"/>
    <cellStyle name="Normal 5 2 2 2 2 23 2" xfId="10687" xr:uid="{00000000-0005-0000-0000-0000492F0000}"/>
    <cellStyle name="Normal 5 2 2 2 2 24" xfId="10688" xr:uid="{00000000-0005-0000-0000-00004A2F0000}"/>
    <cellStyle name="Normal 5 2 2 2 2 24 2" xfId="10689" xr:uid="{00000000-0005-0000-0000-00004B2F0000}"/>
    <cellStyle name="Normal 5 2 2 2 2 25" xfId="10690" xr:uid="{00000000-0005-0000-0000-00004C2F0000}"/>
    <cellStyle name="Normal 5 2 2 2 2 25 2" xfId="10691" xr:uid="{00000000-0005-0000-0000-00004D2F0000}"/>
    <cellStyle name="Normal 5 2 2 2 2 26" xfId="10692" xr:uid="{00000000-0005-0000-0000-00004E2F0000}"/>
    <cellStyle name="Normal 5 2 2 2 2 26 2" xfId="10693" xr:uid="{00000000-0005-0000-0000-00004F2F0000}"/>
    <cellStyle name="Normal 5 2 2 2 2 27" xfId="10694" xr:uid="{00000000-0005-0000-0000-0000502F0000}"/>
    <cellStyle name="Normal 5 2 2 2 2 27 2" xfId="10695" xr:uid="{00000000-0005-0000-0000-0000512F0000}"/>
    <cellStyle name="Normal 5 2 2 2 2 28" xfId="10696" xr:uid="{00000000-0005-0000-0000-0000522F0000}"/>
    <cellStyle name="Normal 5 2 2 2 2 28 2" xfId="10697" xr:uid="{00000000-0005-0000-0000-0000532F0000}"/>
    <cellStyle name="Normal 5 2 2 2 2 29" xfId="10698" xr:uid="{00000000-0005-0000-0000-0000542F0000}"/>
    <cellStyle name="Normal 5 2 2 2 2 29 2" xfId="10699" xr:uid="{00000000-0005-0000-0000-0000552F0000}"/>
    <cellStyle name="Normal 5 2 2 2 2 3" xfId="10700" xr:uid="{00000000-0005-0000-0000-0000562F0000}"/>
    <cellStyle name="Normal 5 2 2 2 2 3 2" xfId="10701" xr:uid="{00000000-0005-0000-0000-0000572F0000}"/>
    <cellStyle name="Normal 5 2 2 2 2 3 2 2" xfId="10702" xr:uid="{00000000-0005-0000-0000-0000582F0000}"/>
    <cellStyle name="Normal 5 2 2 2 2 3 3" xfId="10703" xr:uid="{00000000-0005-0000-0000-0000592F0000}"/>
    <cellStyle name="Normal 5 2 2 2 2 3 3 2" xfId="10704" xr:uid="{00000000-0005-0000-0000-00005A2F0000}"/>
    <cellStyle name="Normal 5 2 2 2 2 3 4" xfId="10705" xr:uid="{00000000-0005-0000-0000-00005B2F0000}"/>
    <cellStyle name="Normal 5 2 2 2 2 3 4 2" xfId="10706" xr:uid="{00000000-0005-0000-0000-00005C2F0000}"/>
    <cellStyle name="Normal 5 2 2 2 2 3 5" xfId="10707" xr:uid="{00000000-0005-0000-0000-00005D2F0000}"/>
    <cellStyle name="Normal 5 2 2 2 2 3 5 2" xfId="10708" xr:uid="{00000000-0005-0000-0000-00005E2F0000}"/>
    <cellStyle name="Normal 5 2 2 2 2 3 6" xfId="10709" xr:uid="{00000000-0005-0000-0000-00005F2F0000}"/>
    <cellStyle name="Normal 5 2 2 2 2 30" xfId="10710" xr:uid="{00000000-0005-0000-0000-0000602F0000}"/>
    <cellStyle name="Normal 5 2 2 2 2 30 2" xfId="10711" xr:uid="{00000000-0005-0000-0000-0000612F0000}"/>
    <cellStyle name="Normal 5 2 2 2 2 31" xfId="10712" xr:uid="{00000000-0005-0000-0000-0000622F0000}"/>
    <cellStyle name="Normal 5 2 2 2 2 31 2" xfId="10713" xr:uid="{00000000-0005-0000-0000-0000632F0000}"/>
    <cellStyle name="Normal 5 2 2 2 2 32" xfId="10714" xr:uid="{00000000-0005-0000-0000-0000642F0000}"/>
    <cellStyle name="Normal 5 2 2 2 2 32 2" xfId="10715" xr:uid="{00000000-0005-0000-0000-0000652F0000}"/>
    <cellStyle name="Normal 5 2 2 2 2 33" xfId="10716" xr:uid="{00000000-0005-0000-0000-0000662F0000}"/>
    <cellStyle name="Normal 5 2 2 2 2 33 2" xfId="10717" xr:uid="{00000000-0005-0000-0000-0000672F0000}"/>
    <cellStyle name="Normal 5 2 2 2 2 34" xfId="10718" xr:uid="{00000000-0005-0000-0000-0000682F0000}"/>
    <cellStyle name="Normal 5 2 2 2 2 34 2" xfId="10719" xr:uid="{00000000-0005-0000-0000-0000692F0000}"/>
    <cellStyle name="Normal 5 2 2 2 2 35" xfId="10720" xr:uid="{00000000-0005-0000-0000-00006A2F0000}"/>
    <cellStyle name="Normal 5 2 2 2 2 35 2" xfId="10721" xr:uid="{00000000-0005-0000-0000-00006B2F0000}"/>
    <cellStyle name="Normal 5 2 2 2 2 36" xfId="10722" xr:uid="{00000000-0005-0000-0000-00006C2F0000}"/>
    <cellStyle name="Normal 5 2 2 2 2 36 2" xfId="10723" xr:uid="{00000000-0005-0000-0000-00006D2F0000}"/>
    <cellStyle name="Normal 5 2 2 2 2 37" xfId="10724" xr:uid="{00000000-0005-0000-0000-00006E2F0000}"/>
    <cellStyle name="Normal 5 2 2 2 2 37 2" xfId="10725" xr:uid="{00000000-0005-0000-0000-00006F2F0000}"/>
    <cellStyle name="Normal 5 2 2 2 2 38" xfId="10726" xr:uid="{00000000-0005-0000-0000-0000702F0000}"/>
    <cellStyle name="Normal 5 2 2 2 2 38 2" xfId="10727" xr:uid="{00000000-0005-0000-0000-0000712F0000}"/>
    <cellStyle name="Normal 5 2 2 2 2 39" xfId="10728" xr:uid="{00000000-0005-0000-0000-0000722F0000}"/>
    <cellStyle name="Normal 5 2 2 2 2 4" xfId="10729" xr:uid="{00000000-0005-0000-0000-0000732F0000}"/>
    <cellStyle name="Normal 5 2 2 2 2 4 2" xfId="10730" xr:uid="{00000000-0005-0000-0000-0000742F0000}"/>
    <cellStyle name="Normal 5 2 2 2 2 4 2 2" xfId="10731" xr:uid="{00000000-0005-0000-0000-0000752F0000}"/>
    <cellStyle name="Normal 5 2 2 2 2 4 3" xfId="10732" xr:uid="{00000000-0005-0000-0000-0000762F0000}"/>
    <cellStyle name="Normal 5 2 2 2 2 4 3 2" xfId="10733" xr:uid="{00000000-0005-0000-0000-0000772F0000}"/>
    <cellStyle name="Normal 5 2 2 2 2 4 4" xfId="10734" xr:uid="{00000000-0005-0000-0000-0000782F0000}"/>
    <cellStyle name="Normal 5 2 2 2 2 4 4 2" xfId="10735" xr:uid="{00000000-0005-0000-0000-0000792F0000}"/>
    <cellStyle name="Normal 5 2 2 2 2 4 5" xfId="10736" xr:uid="{00000000-0005-0000-0000-00007A2F0000}"/>
    <cellStyle name="Normal 5 2 2 2 2 4 5 2" xfId="10737" xr:uid="{00000000-0005-0000-0000-00007B2F0000}"/>
    <cellStyle name="Normal 5 2 2 2 2 4 6" xfId="10738" xr:uid="{00000000-0005-0000-0000-00007C2F0000}"/>
    <cellStyle name="Normal 5 2 2 2 2 5" xfId="10739" xr:uid="{00000000-0005-0000-0000-00007D2F0000}"/>
    <cellStyle name="Normal 5 2 2 2 2 6" xfId="10740" xr:uid="{00000000-0005-0000-0000-00007E2F0000}"/>
    <cellStyle name="Normal 5 2 2 2 2 7" xfId="10741" xr:uid="{00000000-0005-0000-0000-00007F2F0000}"/>
    <cellStyle name="Normal 5 2 2 2 2 7 2" xfId="10742" xr:uid="{00000000-0005-0000-0000-0000802F0000}"/>
    <cellStyle name="Normal 5 2 2 2 2 8" xfId="10743" xr:uid="{00000000-0005-0000-0000-0000812F0000}"/>
    <cellStyle name="Normal 5 2 2 2 2 8 2" xfId="10744" xr:uid="{00000000-0005-0000-0000-0000822F0000}"/>
    <cellStyle name="Normal 5 2 2 2 2 9" xfId="10745" xr:uid="{00000000-0005-0000-0000-0000832F0000}"/>
    <cellStyle name="Normal 5 2 2 2 2 9 2" xfId="10746" xr:uid="{00000000-0005-0000-0000-0000842F0000}"/>
    <cellStyle name="Normal 5 2 2 2 20" xfId="10747" xr:uid="{00000000-0005-0000-0000-0000852F0000}"/>
    <cellStyle name="Normal 5 2 2 2 20 2" xfId="10748" xr:uid="{00000000-0005-0000-0000-0000862F0000}"/>
    <cellStyle name="Normal 5 2 2 2 21" xfId="10749" xr:uid="{00000000-0005-0000-0000-0000872F0000}"/>
    <cellStyle name="Normal 5 2 2 2 21 2" xfId="10750" xr:uid="{00000000-0005-0000-0000-0000882F0000}"/>
    <cellStyle name="Normal 5 2 2 2 22" xfId="10751" xr:uid="{00000000-0005-0000-0000-0000892F0000}"/>
    <cellStyle name="Normal 5 2 2 2 23" xfId="10752" xr:uid="{00000000-0005-0000-0000-00008A2F0000}"/>
    <cellStyle name="Normal 5 2 2 2 23 2" xfId="10753" xr:uid="{00000000-0005-0000-0000-00008B2F0000}"/>
    <cellStyle name="Normal 5 2 2 2 24" xfId="10754" xr:uid="{00000000-0005-0000-0000-00008C2F0000}"/>
    <cellStyle name="Normal 5 2 2 2 25" xfId="10755" xr:uid="{00000000-0005-0000-0000-00008D2F0000}"/>
    <cellStyle name="Normal 5 2 2 2 25 2" xfId="10756" xr:uid="{00000000-0005-0000-0000-00008E2F0000}"/>
    <cellStyle name="Normal 5 2 2 2 26" xfId="10757" xr:uid="{00000000-0005-0000-0000-00008F2F0000}"/>
    <cellStyle name="Normal 5 2 2 2 26 2" xfId="10758" xr:uid="{00000000-0005-0000-0000-0000902F0000}"/>
    <cellStyle name="Normal 5 2 2 2 27" xfId="10759" xr:uid="{00000000-0005-0000-0000-0000912F0000}"/>
    <cellStyle name="Normal 5 2 2 2 27 2" xfId="10760" xr:uid="{00000000-0005-0000-0000-0000922F0000}"/>
    <cellStyle name="Normal 5 2 2 2 28" xfId="10761" xr:uid="{00000000-0005-0000-0000-0000932F0000}"/>
    <cellStyle name="Normal 5 2 2 2 28 2" xfId="10762" xr:uid="{00000000-0005-0000-0000-0000942F0000}"/>
    <cellStyle name="Normal 5 2 2 2 29" xfId="10763" xr:uid="{00000000-0005-0000-0000-0000952F0000}"/>
    <cellStyle name="Normal 5 2 2 2 29 2" xfId="10764" xr:uid="{00000000-0005-0000-0000-0000962F0000}"/>
    <cellStyle name="Normal 5 2 2 2 3" xfId="10765" xr:uid="{00000000-0005-0000-0000-0000972F0000}"/>
    <cellStyle name="Normal 5 2 2 2 3 10" xfId="10766" xr:uid="{00000000-0005-0000-0000-0000982F0000}"/>
    <cellStyle name="Normal 5 2 2 2 3 10 2" xfId="10767" xr:uid="{00000000-0005-0000-0000-0000992F0000}"/>
    <cellStyle name="Normal 5 2 2 2 3 11" xfId="10768" xr:uid="{00000000-0005-0000-0000-00009A2F0000}"/>
    <cellStyle name="Normal 5 2 2 2 3 11 2" xfId="10769" xr:uid="{00000000-0005-0000-0000-00009B2F0000}"/>
    <cellStyle name="Normal 5 2 2 2 3 12" xfId="10770" xr:uid="{00000000-0005-0000-0000-00009C2F0000}"/>
    <cellStyle name="Normal 5 2 2 2 3 12 2" xfId="10771" xr:uid="{00000000-0005-0000-0000-00009D2F0000}"/>
    <cellStyle name="Normal 5 2 2 2 3 13" xfId="10772" xr:uid="{00000000-0005-0000-0000-00009E2F0000}"/>
    <cellStyle name="Normal 5 2 2 2 3 13 2" xfId="10773" xr:uid="{00000000-0005-0000-0000-00009F2F0000}"/>
    <cellStyle name="Normal 5 2 2 2 3 14" xfId="10774" xr:uid="{00000000-0005-0000-0000-0000A02F0000}"/>
    <cellStyle name="Normal 5 2 2 2 3 14 2" xfId="10775" xr:uid="{00000000-0005-0000-0000-0000A12F0000}"/>
    <cellStyle name="Normal 5 2 2 2 3 15" xfId="10776" xr:uid="{00000000-0005-0000-0000-0000A22F0000}"/>
    <cellStyle name="Normal 5 2 2 2 3 15 2" xfId="10777" xr:uid="{00000000-0005-0000-0000-0000A32F0000}"/>
    <cellStyle name="Normal 5 2 2 2 3 16" xfId="10778" xr:uid="{00000000-0005-0000-0000-0000A42F0000}"/>
    <cellStyle name="Normal 5 2 2 2 3 16 2" xfId="10779" xr:uid="{00000000-0005-0000-0000-0000A52F0000}"/>
    <cellStyle name="Normal 5 2 2 2 3 17" xfId="10780" xr:uid="{00000000-0005-0000-0000-0000A62F0000}"/>
    <cellStyle name="Normal 5 2 2 2 3 17 2" xfId="10781" xr:uid="{00000000-0005-0000-0000-0000A72F0000}"/>
    <cellStyle name="Normal 5 2 2 2 3 18" xfId="10782" xr:uid="{00000000-0005-0000-0000-0000A82F0000}"/>
    <cellStyle name="Normal 5 2 2 2 3 18 2" xfId="10783" xr:uid="{00000000-0005-0000-0000-0000A92F0000}"/>
    <cellStyle name="Normal 5 2 2 2 3 19" xfId="10784" xr:uid="{00000000-0005-0000-0000-0000AA2F0000}"/>
    <cellStyle name="Normal 5 2 2 2 3 19 2" xfId="10785" xr:uid="{00000000-0005-0000-0000-0000AB2F0000}"/>
    <cellStyle name="Normal 5 2 2 2 3 2" xfId="10786" xr:uid="{00000000-0005-0000-0000-0000AC2F0000}"/>
    <cellStyle name="Normal 5 2 2 2 3 2 10" xfId="10787" xr:uid="{00000000-0005-0000-0000-0000AD2F0000}"/>
    <cellStyle name="Normal 5 2 2 2 3 2 11" xfId="10788" xr:uid="{00000000-0005-0000-0000-0000AE2F0000}"/>
    <cellStyle name="Normal 5 2 2 2 3 2 2" xfId="10789" xr:uid="{00000000-0005-0000-0000-0000AF2F0000}"/>
    <cellStyle name="Normal 5 2 2 2 3 2 3" xfId="10790" xr:uid="{00000000-0005-0000-0000-0000B02F0000}"/>
    <cellStyle name="Normal 5 2 2 2 3 2 4" xfId="10791" xr:uid="{00000000-0005-0000-0000-0000B12F0000}"/>
    <cellStyle name="Normal 5 2 2 2 3 2 5" xfId="10792" xr:uid="{00000000-0005-0000-0000-0000B22F0000}"/>
    <cellStyle name="Normal 5 2 2 2 3 2 6" xfId="10793" xr:uid="{00000000-0005-0000-0000-0000B32F0000}"/>
    <cellStyle name="Normal 5 2 2 2 3 2 7" xfId="10794" xr:uid="{00000000-0005-0000-0000-0000B42F0000}"/>
    <cellStyle name="Normal 5 2 2 2 3 2 8" xfId="10795" xr:uid="{00000000-0005-0000-0000-0000B52F0000}"/>
    <cellStyle name="Normal 5 2 2 2 3 2 9" xfId="10796" xr:uid="{00000000-0005-0000-0000-0000B62F0000}"/>
    <cellStyle name="Normal 5 2 2 2 3 20" xfId="10797" xr:uid="{00000000-0005-0000-0000-0000B72F0000}"/>
    <cellStyle name="Normal 5 2 2 2 3 20 2" xfId="10798" xr:uid="{00000000-0005-0000-0000-0000B82F0000}"/>
    <cellStyle name="Normal 5 2 2 2 3 21" xfId="10799" xr:uid="{00000000-0005-0000-0000-0000B92F0000}"/>
    <cellStyle name="Normal 5 2 2 2 3 21 2" xfId="10800" xr:uid="{00000000-0005-0000-0000-0000BA2F0000}"/>
    <cellStyle name="Normal 5 2 2 2 3 22" xfId="10801" xr:uid="{00000000-0005-0000-0000-0000BB2F0000}"/>
    <cellStyle name="Normal 5 2 2 2 3 22 2" xfId="10802" xr:uid="{00000000-0005-0000-0000-0000BC2F0000}"/>
    <cellStyle name="Normal 5 2 2 2 3 23" xfId="10803" xr:uid="{00000000-0005-0000-0000-0000BD2F0000}"/>
    <cellStyle name="Normal 5 2 2 2 3 23 2" xfId="10804" xr:uid="{00000000-0005-0000-0000-0000BE2F0000}"/>
    <cellStyle name="Normal 5 2 2 2 3 24" xfId="10805" xr:uid="{00000000-0005-0000-0000-0000BF2F0000}"/>
    <cellStyle name="Normal 5 2 2 2 3 24 2" xfId="10806" xr:uid="{00000000-0005-0000-0000-0000C02F0000}"/>
    <cellStyle name="Normal 5 2 2 2 3 25" xfId="10807" xr:uid="{00000000-0005-0000-0000-0000C12F0000}"/>
    <cellStyle name="Normal 5 2 2 2 3 25 2" xfId="10808" xr:uid="{00000000-0005-0000-0000-0000C22F0000}"/>
    <cellStyle name="Normal 5 2 2 2 3 26" xfId="10809" xr:uid="{00000000-0005-0000-0000-0000C32F0000}"/>
    <cellStyle name="Normal 5 2 2 2 3 26 2" xfId="10810" xr:uid="{00000000-0005-0000-0000-0000C42F0000}"/>
    <cellStyle name="Normal 5 2 2 2 3 27" xfId="10811" xr:uid="{00000000-0005-0000-0000-0000C52F0000}"/>
    <cellStyle name="Normal 5 2 2 2 3 27 2" xfId="10812" xr:uid="{00000000-0005-0000-0000-0000C62F0000}"/>
    <cellStyle name="Normal 5 2 2 2 3 28" xfId="10813" xr:uid="{00000000-0005-0000-0000-0000C72F0000}"/>
    <cellStyle name="Normal 5 2 2 2 3 28 2" xfId="10814" xr:uid="{00000000-0005-0000-0000-0000C82F0000}"/>
    <cellStyle name="Normal 5 2 2 2 3 29" xfId="10815" xr:uid="{00000000-0005-0000-0000-0000C92F0000}"/>
    <cellStyle name="Normal 5 2 2 2 3 29 2" xfId="10816" xr:uid="{00000000-0005-0000-0000-0000CA2F0000}"/>
    <cellStyle name="Normal 5 2 2 2 3 3" xfId="10817" xr:uid="{00000000-0005-0000-0000-0000CB2F0000}"/>
    <cellStyle name="Normal 5 2 2 2 3 30" xfId="10818" xr:uid="{00000000-0005-0000-0000-0000CC2F0000}"/>
    <cellStyle name="Normal 5 2 2 2 3 30 2" xfId="10819" xr:uid="{00000000-0005-0000-0000-0000CD2F0000}"/>
    <cellStyle name="Normal 5 2 2 2 3 31" xfId="10820" xr:uid="{00000000-0005-0000-0000-0000CE2F0000}"/>
    <cellStyle name="Normal 5 2 2 2 3 31 2" xfId="10821" xr:uid="{00000000-0005-0000-0000-0000CF2F0000}"/>
    <cellStyle name="Normal 5 2 2 2 3 32" xfId="10822" xr:uid="{00000000-0005-0000-0000-0000D02F0000}"/>
    <cellStyle name="Normal 5 2 2 2 3 32 2" xfId="10823" xr:uid="{00000000-0005-0000-0000-0000D12F0000}"/>
    <cellStyle name="Normal 5 2 2 2 3 33" xfId="10824" xr:uid="{00000000-0005-0000-0000-0000D22F0000}"/>
    <cellStyle name="Normal 5 2 2 2 3 33 2" xfId="10825" xr:uid="{00000000-0005-0000-0000-0000D32F0000}"/>
    <cellStyle name="Normal 5 2 2 2 3 34" xfId="10826" xr:uid="{00000000-0005-0000-0000-0000D42F0000}"/>
    <cellStyle name="Normal 5 2 2 2 3 34 2" xfId="10827" xr:uid="{00000000-0005-0000-0000-0000D52F0000}"/>
    <cellStyle name="Normal 5 2 2 2 3 35" xfId="10828" xr:uid="{00000000-0005-0000-0000-0000D62F0000}"/>
    <cellStyle name="Normal 5 2 2 2 3 35 2" xfId="10829" xr:uid="{00000000-0005-0000-0000-0000D72F0000}"/>
    <cellStyle name="Normal 5 2 2 2 3 36" xfId="10830" xr:uid="{00000000-0005-0000-0000-0000D82F0000}"/>
    <cellStyle name="Normal 5 2 2 2 3 36 2" xfId="10831" xr:uid="{00000000-0005-0000-0000-0000D92F0000}"/>
    <cellStyle name="Normal 5 2 2 2 3 37" xfId="10832" xr:uid="{00000000-0005-0000-0000-0000DA2F0000}"/>
    <cellStyle name="Normal 5 2 2 2 3 4" xfId="10833" xr:uid="{00000000-0005-0000-0000-0000DB2F0000}"/>
    <cellStyle name="Normal 5 2 2 2 3 5" xfId="10834" xr:uid="{00000000-0005-0000-0000-0000DC2F0000}"/>
    <cellStyle name="Normal 5 2 2 2 3 5 2" xfId="10835" xr:uid="{00000000-0005-0000-0000-0000DD2F0000}"/>
    <cellStyle name="Normal 5 2 2 2 3 6" xfId="10836" xr:uid="{00000000-0005-0000-0000-0000DE2F0000}"/>
    <cellStyle name="Normal 5 2 2 2 3 6 2" xfId="10837" xr:uid="{00000000-0005-0000-0000-0000DF2F0000}"/>
    <cellStyle name="Normal 5 2 2 2 3 7" xfId="10838" xr:uid="{00000000-0005-0000-0000-0000E02F0000}"/>
    <cellStyle name="Normal 5 2 2 2 3 7 2" xfId="10839" xr:uid="{00000000-0005-0000-0000-0000E12F0000}"/>
    <cellStyle name="Normal 5 2 2 2 3 8" xfId="10840" xr:uid="{00000000-0005-0000-0000-0000E22F0000}"/>
    <cellStyle name="Normal 5 2 2 2 3 8 2" xfId="10841" xr:uid="{00000000-0005-0000-0000-0000E32F0000}"/>
    <cellStyle name="Normal 5 2 2 2 3 9" xfId="10842" xr:uid="{00000000-0005-0000-0000-0000E42F0000}"/>
    <cellStyle name="Normal 5 2 2 2 3 9 2" xfId="10843" xr:uid="{00000000-0005-0000-0000-0000E52F0000}"/>
    <cellStyle name="Normal 5 2 2 2 30" xfId="10844" xr:uid="{00000000-0005-0000-0000-0000E62F0000}"/>
    <cellStyle name="Normal 5 2 2 2 30 2" xfId="10845" xr:uid="{00000000-0005-0000-0000-0000E72F0000}"/>
    <cellStyle name="Normal 5 2 2 2 31" xfId="10846" xr:uid="{00000000-0005-0000-0000-0000E82F0000}"/>
    <cellStyle name="Normal 5 2 2 2 31 2" xfId="10847" xr:uid="{00000000-0005-0000-0000-0000E92F0000}"/>
    <cellStyle name="Normal 5 2 2 2 32" xfId="10848" xr:uid="{00000000-0005-0000-0000-0000EA2F0000}"/>
    <cellStyle name="Normal 5 2 2 2 32 2" xfId="10849" xr:uid="{00000000-0005-0000-0000-0000EB2F0000}"/>
    <cellStyle name="Normal 5 2 2 2 33" xfId="10850" xr:uid="{00000000-0005-0000-0000-0000EC2F0000}"/>
    <cellStyle name="Normal 5 2 2 2 33 2" xfId="10851" xr:uid="{00000000-0005-0000-0000-0000ED2F0000}"/>
    <cellStyle name="Normal 5 2 2 2 34" xfId="10852" xr:uid="{00000000-0005-0000-0000-0000EE2F0000}"/>
    <cellStyle name="Normal 5 2 2 2 34 2" xfId="10853" xr:uid="{00000000-0005-0000-0000-0000EF2F0000}"/>
    <cellStyle name="Normal 5 2 2 2 35" xfId="10854" xr:uid="{00000000-0005-0000-0000-0000F02F0000}"/>
    <cellStyle name="Normal 5 2 2 2 35 2" xfId="10855" xr:uid="{00000000-0005-0000-0000-0000F12F0000}"/>
    <cellStyle name="Normal 5 2 2 2 36" xfId="10856" xr:uid="{00000000-0005-0000-0000-0000F22F0000}"/>
    <cellStyle name="Normal 5 2 2 2 36 2" xfId="10857" xr:uid="{00000000-0005-0000-0000-0000F32F0000}"/>
    <cellStyle name="Normal 5 2 2 2 37" xfId="10858" xr:uid="{00000000-0005-0000-0000-0000F42F0000}"/>
    <cellStyle name="Normal 5 2 2 2 37 2" xfId="10859" xr:uid="{00000000-0005-0000-0000-0000F52F0000}"/>
    <cellStyle name="Normal 5 2 2 2 38" xfId="10860" xr:uid="{00000000-0005-0000-0000-0000F62F0000}"/>
    <cellStyle name="Normal 5 2 2 2 38 2" xfId="10861" xr:uid="{00000000-0005-0000-0000-0000F72F0000}"/>
    <cellStyle name="Normal 5 2 2 2 39" xfId="10862" xr:uid="{00000000-0005-0000-0000-0000F82F0000}"/>
    <cellStyle name="Normal 5 2 2 2 39 2" xfId="10863" xr:uid="{00000000-0005-0000-0000-0000F92F0000}"/>
    <cellStyle name="Normal 5 2 2 2 4" xfId="10864" xr:uid="{00000000-0005-0000-0000-0000FA2F0000}"/>
    <cellStyle name="Normal 5 2 2 2 40" xfId="10865" xr:uid="{00000000-0005-0000-0000-0000FB2F0000}"/>
    <cellStyle name="Normal 5 2 2 2 40 2" xfId="10866" xr:uid="{00000000-0005-0000-0000-0000FC2F0000}"/>
    <cellStyle name="Normal 5 2 2 2 41" xfId="10867" xr:uid="{00000000-0005-0000-0000-0000FD2F0000}"/>
    <cellStyle name="Normal 5 2 2 2 41 2" xfId="10868" xr:uid="{00000000-0005-0000-0000-0000FE2F0000}"/>
    <cellStyle name="Normal 5 2 2 2 42" xfId="10869" xr:uid="{00000000-0005-0000-0000-0000FF2F0000}"/>
    <cellStyle name="Normal 5 2 2 2 42 2" xfId="10870" xr:uid="{00000000-0005-0000-0000-000000300000}"/>
    <cellStyle name="Normal 5 2 2 2 43" xfId="10871" xr:uid="{00000000-0005-0000-0000-000001300000}"/>
    <cellStyle name="Normal 5 2 2 2 44" xfId="10872" xr:uid="{00000000-0005-0000-0000-000002300000}"/>
    <cellStyle name="Normal 5 2 2 2 44 2" xfId="10873" xr:uid="{00000000-0005-0000-0000-000003300000}"/>
    <cellStyle name="Normal 5 2 2 2 45" xfId="10874" xr:uid="{00000000-0005-0000-0000-000004300000}"/>
    <cellStyle name="Normal 5 2 2 2 45 2" xfId="10875" xr:uid="{00000000-0005-0000-0000-000005300000}"/>
    <cellStyle name="Normal 5 2 2 2 46" xfId="10876" xr:uid="{00000000-0005-0000-0000-000006300000}"/>
    <cellStyle name="Normal 5 2 2 2 46 2" xfId="10877" xr:uid="{00000000-0005-0000-0000-000007300000}"/>
    <cellStyle name="Normal 5 2 2 2 47" xfId="10878" xr:uid="{00000000-0005-0000-0000-000008300000}"/>
    <cellStyle name="Normal 5 2 2 2 47 2" xfId="10879" xr:uid="{00000000-0005-0000-0000-000009300000}"/>
    <cellStyle name="Normal 5 2 2 2 48" xfId="10880" xr:uid="{00000000-0005-0000-0000-00000A300000}"/>
    <cellStyle name="Normal 5 2 2 2 48 2" xfId="10881" xr:uid="{00000000-0005-0000-0000-00000B300000}"/>
    <cellStyle name="Normal 5 2 2 2 49" xfId="10882" xr:uid="{00000000-0005-0000-0000-00000C300000}"/>
    <cellStyle name="Normal 5 2 2 2 5" xfId="10883" xr:uid="{00000000-0005-0000-0000-00000D300000}"/>
    <cellStyle name="Normal 5 2 2 2 5 2" xfId="10884" xr:uid="{00000000-0005-0000-0000-00000E300000}"/>
    <cellStyle name="Normal 5 2 2 2 5 2 2" xfId="10885" xr:uid="{00000000-0005-0000-0000-00000F300000}"/>
    <cellStyle name="Normal 5 2 2 2 5 3" xfId="10886" xr:uid="{00000000-0005-0000-0000-000010300000}"/>
    <cellStyle name="Normal 5 2 2 2 5 3 2" xfId="10887" xr:uid="{00000000-0005-0000-0000-000011300000}"/>
    <cellStyle name="Normal 5 2 2 2 5 4" xfId="10888" xr:uid="{00000000-0005-0000-0000-000012300000}"/>
    <cellStyle name="Normal 5 2 2 2 5 4 2" xfId="10889" xr:uid="{00000000-0005-0000-0000-000013300000}"/>
    <cellStyle name="Normal 5 2 2 2 5 5" xfId="10890" xr:uid="{00000000-0005-0000-0000-000014300000}"/>
    <cellStyle name="Normal 5 2 2 2 5 5 2" xfId="10891" xr:uid="{00000000-0005-0000-0000-000015300000}"/>
    <cellStyle name="Normal 5 2 2 2 5 6" xfId="10892" xr:uid="{00000000-0005-0000-0000-000016300000}"/>
    <cellStyle name="Normal 5 2 2 2 50" xfId="10591" xr:uid="{00000000-0005-0000-0000-000017300000}"/>
    <cellStyle name="Normal 5 2 2 2 6" xfId="10893" xr:uid="{00000000-0005-0000-0000-000018300000}"/>
    <cellStyle name="Normal 5 2 2 2 6 2" xfId="10894" xr:uid="{00000000-0005-0000-0000-000019300000}"/>
    <cellStyle name="Normal 5 2 2 2 6 2 2" xfId="10895" xr:uid="{00000000-0005-0000-0000-00001A300000}"/>
    <cellStyle name="Normal 5 2 2 2 6 3" xfId="10896" xr:uid="{00000000-0005-0000-0000-00001B300000}"/>
    <cellStyle name="Normal 5 2 2 2 6 3 2" xfId="10897" xr:uid="{00000000-0005-0000-0000-00001C300000}"/>
    <cellStyle name="Normal 5 2 2 2 6 4" xfId="10898" xr:uid="{00000000-0005-0000-0000-00001D300000}"/>
    <cellStyle name="Normal 5 2 2 2 6 4 2" xfId="10899" xr:uid="{00000000-0005-0000-0000-00001E300000}"/>
    <cellStyle name="Normal 5 2 2 2 6 5" xfId="10900" xr:uid="{00000000-0005-0000-0000-00001F300000}"/>
    <cellStyle name="Normal 5 2 2 2 6 5 2" xfId="10901" xr:uid="{00000000-0005-0000-0000-000020300000}"/>
    <cellStyle name="Normal 5 2 2 2 6 6" xfId="10902" xr:uid="{00000000-0005-0000-0000-000021300000}"/>
    <cellStyle name="Normal 5 2 2 2 7" xfId="10903" xr:uid="{00000000-0005-0000-0000-000022300000}"/>
    <cellStyle name="Normal 5 2 2 2 7 2" xfId="10904" xr:uid="{00000000-0005-0000-0000-000023300000}"/>
    <cellStyle name="Normal 5 2 2 2 8" xfId="10905" xr:uid="{00000000-0005-0000-0000-000024300000}"/>
    <cellStyle name="Normal 5 2 2 2 8 2" xfId="10906" xr:uid="{00000000-0005-0000-0000-000025300000}"/>
    <cellStyle name="Normal 5 2 2 2 9" xfId="10907" xr:uid="{00000000-0005-0000-0000-000026300000}"/>
    <cellStyle name="Normal 5 2 2 20" xfId="10908" xr:uid="{00000000-0005-0000-0000-000027300000}"/>
    <cellStyle name="Normal 5 2 2 20 2" xfId="10909" xr:uid="{00000000-0005-0000-0000-000028300000}"/>
    <cellStyle name="Normal 5 2 2 20 3" xfId="10910" xr:uid="{00000000-0005-0000-0000-000029300000}"/>
    <cellStyle name="Normal 5 2 2 21" xfId="10911" xr:uid="{00000000-0005-0000-0000-00002A300000}"/>
    <cellStyle name="Normal 5 2 2 22" xfId="10912" xr:uid="{00000000-0005-0000-0000-00002B300000}"/>
    <cellStyle name="Normal 5 2 2 23" xfId="10913" xr:uid="{00000000-0005-0000-0000-00002C300000}"/>
    <cellStyle name="Normal 5 2 2 24" xfId="10914" xr:uid="{00000000-0005-0000-0000-00002D300000}"/>
    <cellStyle name="Normal 5 2 2 25" xfId="10915" xr:uid="{00000000-0005-0000-0000-00002E300000}"/>
    <cellStyle name="Normal 5 2 2 26" xfId="10916" xr:uid="{00000000-0005-0000-0000-00002F300000}"/>
    <cellStyle name="Normal 5 2 2 27" xfId="10917" xr:uid="{00000000-0005-0000-0000-000030300000}"/>
    <cellStyle name="Normal 5 2 2 28" xfId="10918" xr:uid="{00000000-0005-0000-0000-000031300000}"/>
    <cellStyle name="Normal 5 2 2 29" xfId="10919" xr:uid="{00000000-0005-0000-0000-000032300000}"/>
    <cellStyle name="Normal 5 2 2 3" xfId="347" xr:uid="{00000000-0005-0000-0000-000033300000}"/>
    <cellStyle name="Normal 5 2 2 3 10" xfId="10921" xr:uid="{00000000-0005-0000-0000-000034300000}"/>
    <cellStyle name="Normal 5 2 2 3 10 2" xfId="10922" xr:uid="{00000000-0005-0000-0000-000035300000}"/>
    <cellStyle name="Normal 5 2 2 3 11" xfId="10923" xr:uid="{00000000-0005-0000-0000-000036300000}"/>
    <cellStyle name="Normal 5 2 2 3 11 2" xfId="10924" xr:uid="{00000000-0005-0000-0000-000037300000}"/>
    <cellStyle name="Normal 5 2 2 3 12" xfId="10925" xr:uid="{00000000-0005-0000-0000-000038300000}"/>
    <cellStyle name="Normal 5 2 2 3 12 2" xfId="10926" xr:uid="{00000000-0005-0000-0000-000039300000}"/>
    <cellStyle name="Normal 5 2 2 3 13" xfId="10927" xr:uid="{00000000-0005-0000-0000-00003A300000}"/>
    <cellStyle name="Normal 5 2 2 3 13 2" xfId="10928" xr:uid="{00000000-0005-0000-0000-00003B300000}"/>
    <cellStyle name="Normal 5 2 2 3 14" xfId="10929" xr:uid="{00000000-0005-0000-0000-00003C300000}"/>
    <cellStyle name="Normal 5 2 2 3 14 2" xfId="10930" xr:uid="{00000000-0005-0000-0000-00003D300000}"/>
    <cellStyle name="Normal 5 2 2 3 15" xfId="10931" xr:uid="{00000000-0005-0000-0000-00003E300000}"/>
    <cellStyle name="Normal 5 2 2 3 15 2" xfId="10932" xr:uid="{00000000-0005-0000-0000-00003F300000}"/>
    <cellStyle name="Normal 5 2 2 3 16" xfId="10933" xr:uid="{00000000-0005-0000-0000-000040300000}"/>
    <cellStyle name="Normal 5 2 2 3 16 2" xfId="10934" xr:uid="{00000000-0005-0000-0000-000041300000}"/>
    <cellStyle name="Normal 5 2 2 3 17" xfId="10935" xr:uid="{00000000-0005-0000-0000-000042300000}"/>
    <cellStyle name="Normal 5 2 2 3 17 2" xfId="10936" xr:uid="{00000000-0005-0000-0000-000043300000}"/>
    <cellStyle name="Normal 5 2 2 3 18" xfId="10937" xr:uid="{00000000-0005-0000-0000-000044300000}"/>
    <cellStyle name="Normal 5 2 2 3 18 2" xfId="10938" xr:uid="{00000000-0005-0000-0000-000045300000}"/>
    <cellStyle name="Normal 5 2 2 3 19" xfId="10939" xr:uid="{00000000-0005-0000-0000-000046300000}"/>
    <cellStyle name="Normal 5 2 2 3 19 2" xfId="10940" xr:uid="{00000000-0005-0000-0000-000047300000}"/>
    <cellStyle name="Normal 5 2 2 3 2" xfId="10941" xr:uid="{00000000-0005-0000-0000-000048300000}"/>
    <cellStyle name="Normal 5 2 2 3 2 10" xfId="10942" xr:uid="{00000000-0005-0000-0000-000049300000}"/>
    <cellStyle name="Normal 5 2 2 3 2 10 2" xfId="10943" xr:uid="{00000000-0005-0000-0000-00004A300000}"/>
    <cellStyle name="Normal 5 2 2 3 2 11" xfId="10944" xr:uid="{00000000-0005-0000-0000-00004B300000}"/>
    <cellStyle name="Normal 5 2 2 3 2 11 2" xfId="10945" xr:uid="{00000000-0005-0000-0000-00004C300000}"/>
    <cellStyle name="Normal 5 2 2 3 2 12" xfId="10946" xr:uid="{00000000-0005-0000-0000-00004D300000}"/>
    <cellStyle name="Normal 5 2 2 3 2 12 2" xfId="10947" xr:uid="{00000000-0005-0000-0000-00004E300000}"/>
    <cellStyle name="Normal 5 2 2 3 2 13" xfId="10948" xr:uid="{00000000-0005-0000-0000-00004F300000}"/>
    <cellStyle name="Normal 5 2 2 3 2 13 2" xfId="10949" xr:uid="{00000000-0005-0000-0000-000050300000}"/>
    <cellStyle name="Normal 5 2 2 3 2 14" xfId="10950" xr:uid="{00000000-0005-0000-0000-000051300000}"/>
    <cellStyle name="Normal 5 2 2 3 2 14 2" xfId="10951" xr:uid="{00000000-0005-0000-0000-000052300000}"/>
    <cellStyle name="Normal 5 2 2 3 2 15" xfId="10952" xr:uid="{00000000-0005-0000-0000-000053300000}"/>
    <cellStyle name="Normal 5 2 2 3 2 15 2" xfId="10953" xr:uid="{00000000-0005-0000-0000-000054300000}"/>
    <cellStyle name="Normal 5 2 2 3 2 16" xfId="10954" xr:uid="{00000000-0005-0000-0000-000055300000}"/>
    <cellStyle name="Normal 5 2 2 3 2 16 2" xfId="10955" xr:uid="{00000000-0005-0000-0000-000056300000}"/>
    <cellStyle name="Normal 5 2 2 3 2 17" xfId="10956" xr:uid="{00000000-0005-0000-0000-000057300000}"/>
    <cellStyle name="Normal 5 2 2 3 2 17 2" xfId="10957" xr:uid="{00000000-0005-0000-0000-000058300000}"/>
    <cellStyle name="Normal 5 2 2 3 2 18" xfId="10958" xr:uid="{00000000-0005-0000-0000-000059300000}"/>
    <cellStyle name="Normal 5 2 2 3 2 18 2" xfId="10959" xr:uid="{00000000-0005-0000-0000-00005A300000}"/>
    <cellStyle name="Normal 5 2 2 3 2 19" xfId="10960" xr:uid="{00000000-0005-0000-0000-00005B300000}"/>
    <cellStyle name="Normal 5 2 2 3 2 19 2" xfId="10961" xr:uid="{00000000-0005-0000-0000-00005C300000}"/>
    <cellStyle name="Normal 5 2 2 3 2 2" xfId="10962" xr:uid="{00000000-0005-0000-0000-00005D300000}"/>
    <cellStyle name="Normal 5 2 2 3 2 2 2" xfId="10963" xr:uid="{00000000-0005-0000-0000-00005E300000}"/>
    <cellStyle name="Normal 5 2 2 3 2 20" xfId="10964" xr:uid="{00000000-0005-0000-0000-00005F300000}"/>
    <cellStyle name="Normal 5 2 2 3 2 20 2" xfId="10965" xr:uid="{00000000-0005-0000-0000-000060300000}"/>
    <cellStyle name="Normal 5 2 2 3 2 21" xfId="10966" xr:uid="{00000000-0005-0000-0000-000061300000}"/>
    <cellStyle name="Normal 5 2 2 3 2 21 2" xfId="10967" xr:uid="{00000000-0005-0000-0000-000062300000}"/>
    <cellStyle name="Normal 5 2 2 3 2 22" xfId="10968" xr:uid="{00000000-0005-0000-0000-000063300000}"/>
    <cellStyle name="Normal 5 2 2 3 2 22 2" xfId="10969" xr:uid="{00000000-0005-0000-0000-000064300000}"/>
    <cellStyle name="Normal 5 2 2 3 2 23" xfId="10970" xr:uid="{00000000-0005-0000-0000-000065300000}"/>
    <cellStyle name="Normal 5 2 2 3 2 23 2" xfId="10971" xr:uid="{00000000-0005-0000-0000-000066300000}"/>
    <cellStyle name="Normal 5 2 2 3 2 24" xfId="10972" xr:uid="{00000000-0005-0000-0000-000067300000}"/>
    <cellStyle name="Normal 5 2 2 3 2 24 2" xfId="10973" xr:uid="{00000000-0005-0000-0000-000068300000}"/>
    <cellStyle name="Normal 5 2 2 3 2 25" xfId="10974" xr:uid="{00000000-0005-0000-0000-000069300000}"/>
    <cellStyle name="Normal 5 2 2 3 2 25 2" xfId="10975" xr:uid="{00000000-0005-0000-0000-00006A300000}"/>
    <cellStyle name="Normal 5 2 2 3 2 26" xfId="10976" xr:uid="{00000000-0005-0000-0000-00006B300000}"/>
    <cellStyle name="Normal 5 2 2 3 2 26 2" xfId="10977" xr:uid="{00000000-0005-0000-0000-00006C300000}"/>
    <cellStyle name="Normal 5 2 2 3 2 27" xfId="10978" xr:uid="{00000000-0005-0000-0000-00006D300000}"/>
    <cellStyle name="Normal 5 2 2 3 2 27 2" xfId="10979" xr:uid="{00000000-0005-0000-0000-00006E300000}"/>
    <cellStyle name="Normal 5 2 2 3 2 28" xfId="10980" xr:uid="{00000000-0005-0000-0000-00006F300000}"/>
    <cellStyle name="Normal 5 2 2 3 2 28 2" xfId="10981" xr:uid="{00000000-0005-0000-0000-000070300000}"/>
    <cellStyle name="Normal 5 2 2 3 2 29" xfId="10982" xr:uid="{00000000-0005-0000-0000-000071300000}"/>
    <cellStyle name="Normal 5 2 2 3 2 29 2" xfId="10983" xr:uid="{00000000-0005-0000-0000-000072300000}"/>
    <cellStyle name="Normal 5 2 2 3 2 3" xfId="10984" xr:uid="{00000000-0005-0000-0000-000073300000}"/>
    <cellStyle name="Normal 5 2 2 3 2 3 2" xfId="10985" xr:uid="{00000000-0005-0000-0000-000074300000}"/>
    <cellStyle name="Normal 5 2 2 3 2 30" xfId="10986" xr:uid="{00000000-0005-0000-0000-000075300000}"/>
    <cellStyle name="Normal 5 2 2 3 2 30 2" xfId="10987" xr:uid="{00000000-0005-0000-0000-000076300000}"/>
    <cellStyle name="Normal 5 2 2 3 2 31" xfId="10988" xr:uid="{00000000-0005-0000-0000-000077300000}"/>
    <cellStyle name="Normal 5 2 2 3 2 31 2" xfId="10989" xr:uid="{00000000-0005-0000-0000-000078300000}"/>
    <cellStyle name="Normal 5 2 2 3 2 32" xfId="10990" xr:uid="{00000000-0005-0000-0000-000079300000}"/>
    <cellStyle name="Normal 5 2 2 3 2 32 2" xfId="10991" xr:uid="{00000000-0005-0000-0000-00007A300000}"/>
    <cellStyle name="Normal 5 2 2 3 2 33" xfId="10992" xr:uid="{00000000-0005-0000-0000-00007B300000}"/>
    <cellStyle name="Normal 5 2 2 3 2 33 2" xfId="10993" xr:uid="{00000000-0005-0000-0000-00007C300000}"/>
    <cellStyle name="Normal 5 2 2 3 2 34" xfId="10994" xr:uid="{00000000-0005-0000-0000-00007D300000}"/>
    <cellStyle name="Normal 5 2 2 3 2 34 2" xfId="10995" xr:uid="{00000000-0005-0000-0000-00007E300000}"/>
    <cellStyle name="Normal 5 2 2 3 2 35" xfId="10996" xr:uid="{00000000-0005-0000-0000-00007F300000}"/>
    <cellStyle name="Normal 5 2 2 3 2 4" xfId="10997" xr:uid="{00000000-0005-0000-0000-000080300000}"/>
    <cellStyle name="Normal 5 2 2 3 2 4 2" xfId="10998" xr:uid="{00000000-0005-0000-0000-000081300000}"/>
    <cellStyle name="Normal 5 2 2 3 2 5" xfId="10999" xr:uid="{00000000-0005-0000-0000-000082300000}"/>
    <cellStyle name="Normal 5 2 2 3 2 5 2" xfId="11000" xr:uid="{00000000-0005-0000-0000-000083300000}"/>
    <cellStyle name="Normal 5 2 2 3 2 6" xfId="11001" xr:uid="{00000000-0005-0000-0000-000084300000}"/>
    <cellStyle name="Normal 5 2 2 3 2 6 2" xfId="11002" xr:uid="{00000000-0005-0000-0000-000085300000}"/>
    <cellStyle name="Normal 5 2 2 3 2 7" xfId="11003" xr:uid="{00000000-0005-0000-0000-000086300000}"/>
    <cellStyle name="Normal 5 2 2 3 2 7 2" xfId="11004" xr:uid="{00000000-0005-0000-0000-000087300000}"/>
    <cellStyle name="Normal 5 2 2 3 2 8" xfId="11005" xr:uid="{00000000-0005-0000-0000-000088300000}"/>
    <cellStyle name="Normal 5 2 2 3 2 8 2" xfId="11006" xr:uid="{00000000-0005-0000-0000-000089300000}"/>
    <cellStyle name="Normal 5 2 2 3 2 9" xfId="11007" xr:uid="{00000000-0005-0000-0000-00008A300000}"/>
    <cellStyle name="Normal 5 2 2 3 2 9 2" xfId="11008" xr:uid="{00000000-0005-0000-0000-00008B300000}"/>
    <cellStyle name="Normal 5 2 2 3 20" xfId="11009" xr:uid="{00000000-0005-0000-0000-00008C300000}"/>
    <cellStyle name="Normal 5 2 2 3 20 2" xfId="11010" xr:uid="{00000000-0005-0000-0000-00008D300000}"/>
    <cellStyle name="Normal 5 2 2 3 21" xfId="11011" xr:uid="{00000000-0005-0000-0000-00008E300000}"/>
    <cellStyle name="Normal 5 2 2 3 21 2" xfId="11012" xr:uid="{00000000-0005-0000-0000-00008F300000}"/>
    <cellStyle name="Normal 5 2 2 3 22" xfId="11013" xr:uid="{00000000-0005-0000-0000-000090300000}"/>
    <cellStyle name="Normal 5 2 2 3 22 2" xfId="11014" xr:uid="{00000000-0005-0000-0000-000091300000}"/>
    <cellStyle name="Normal 5 2 2 3 23" xfId="11015" xr:uid="{00000000-0005-0000-0000-000092300000}"/>
    <cellStyle name="Normal 5 2 2 3 23 2" xfId="11016" xr:uid="{00000000-0005-0000-0000-000093300000}"/>
    <cellStyle name="Normal 5 2 2 3 24" xfId="11017" xr:uid="{00000000-0005-0000-0000-000094300000}"/>
    <cellStyle name="Normal 5 2 2 3 24 2" xfId="11018" xr:uid="{00000000-0005-0000-0000-000095300000}"/>
    <cellStyle name="Normal 5 2 2 3 25" xfId="11019" xr:uid="{00000000-0005-0000-0000-000096300000}"/>
    <cellStyle name="Normal 5 2 2 3 25 2" xfId="11020" xr:uid="{00000000-0005-0000-0000-000097300000}"/>
    <cellStyle name="Normal 5 2 2 3 26" xfId="11021" xr:uid="{00000000-0005-0000-0000-000098300000}"/>
    <cellStyle name="Normal 5 2 2 3 26 2" xfId="11022" xr:uid="{00000000-0005-0000-0000-000099300000}"/>
    <cellStyle name="Normal 5 2 2 3 27" xfId="11023" xr:uid="{00000000-0005-0000-0000-00009A300000}"/>
    <cellStyle name="Normal 5 2 2 3 27 2" xfId="11024" xr:uid="{00000000-0005-0000-0000-00009B300000}"/>
    <cellStyle name="Normal 5 2 2 3 28" xfId="11025" xr:uid="{00000000-0005-0000-0000-00009C300000}"/>
    <cellStyle name="Normal 5 2 2 3 28 2" xfId="11026" xr:uid="{00000000-0005-0000-0000-00009D300000}"/>
    <cellStyle name="Normal 5 2 2 3 29" xfId="11027" xr:uid="{00000000-0005-0000-0000-00009E300000}"/>
    <cellStyle name="Normal 5 2 2 3 29 2" xfId="11028" xr:uid="{00000000-0005-0000-0000-00009F300000}"/>
    <cellStyle name="Normal 5 2 2 3 3" xfId="11029" xr:uid="{00000000-0005-0000-0000-0000A0300000}"/>
    <cellStyle name="Normal 5 2 2 3 3 10" xfId="11030" xr:uid="{00000000-0005-0000-0000-0000A1300000}"/>
    <cellStyle name="Normal 5 2 2 3 3 10 2" xfId="11031" xr:uid="{00000000-0005-0000-0000-0000A2300000}"/>
    <cellStyle name="Normal 5 2 2 3 3 11" xfId="11032" xr:uid="{00000000-0005-0000-0000-0000A3300000}"/>
    <cellStyle name="Normal 5 2 2 3 3 11 2" xfId="11033" xr:uid="{00000000-0005-0000-0000-0000A4300000}"/>
    <cellStyle name="Normal 5 2 2 3 3 12" xfId="11034" xr:uid="{00000000-0005-0000-0000-0000A5300000}"/>
    <cellStyle name="Normal 5 2 2 3 3 12 2" xfId="11035" xr:uid="{00000000-0005-0000-0000-0000A6300000}"/>
    <cellStyle name="Normal 5 2 2 3 3 13" xfId="11036" xr:uid="{00000000-0005-0000-0000-0000A7300000}"/>
    <cellStyle name="Normal 5 2 2 3 3 13 2" xfId="11037" xr:uid="{00000000-0005-0000-0000-0000A8300000}"/>
    <cellStyle name="Normal 5 2 2 3 3 14" xfId="11038" xr:uid="{00000000-0005-0000-0000-0000A9300000}"/>
    <cellStyle name="Normal 5 2 2 3 3 14 2" xfId="11039" xr:uid="{00000000-0005-0000-0000-0000AA300000}"/>
    <cellStyle name="Normal 5 2 2 3 3 15" xfId="11040" xr:uid="{00000000-0005-0000-0000-0000AB300000}"/>
    <cellStyle name="Normal 5 2 2 3 3 15 2" xfId="11041" xr:uid="{00000000-0005-0000-0000-0000AC300000}"/>
    <cellStyle name="Normal 5 2 2 3 3 16" xfId="11042" xr:uid="{00000000-0005-0000-0000-0000AD300000}"/>
    <cellStyle name="Normal 5 2 2 3 3 16 2" xfId="11043" xr:uid="{00000000-0005-0000-0000-0000AE300000}"/>
    <cellStyle name="Normal 5 2 2 3 3 17" xfId="11044" xr:uid="{00000000-0005-0000-0000-0000AF300000}"/>
    <cellStyle name="Normal 5 2 2 3 3 17 2" xfId="11045" xr:uid="{00000000-0005-0000-0000-0000B0300000}"/>
    <cellStyle name="Normal 5 2 2 3 3 18" xfId="11046" xr:uid="{00000000-0005-0000-0000-0000B1300000}"/>
    <cellStyle name="Normal 5 2 2 3 3 18 2" xfId="11047" xr:uid="{00000000-0005-0000-0000-0000B2300000}"/>
    <cellStyle name="Normal 5 2 2 3 3 19" xfId="11048" xr:uid="{00000000-0005-0000-0000-0000B3300000}"/>
    <cellStyle name="Normal 5 2 2 3 3 19 2" xfId="11049" xr:uid="{00000000-0005-0000-0000-0000B4300000}"/>
    <cellStyle name="Normal 5 2 2 3 3 2" xfId="11050" xr:uid="{00000000-0005-0000-0000-0000B5300000}"/>
    <cellStyle name="Normal 5 2 2 3 3 2 2" xfId="11051" xr:uid="{00000000-0005-0000-0000-0000B6300000}"/>
    <cellStyle name="Normal 5 2 2 3 3 20" xfId="11052" xr:uid="{00000000-0005-0000-0000-0000B7300000}"/>
    <cellStyle name="Normal 5 2 2 3 3 20 2" xfId="11053" xr:uid="{00000000-0005-0000-0000-0000B8300000}"/>
    <cellStyle name="Normal 5 2 2 3 3 21" xfId="11054" xr:uid="{00000000-0005-0000-0000-0000B9300000}"/>
    <cellStyle name="Normal 5 2 2 3 3 21 2" xfId="11055" xr:uid="{00000000-0005-0000-0000-0000BA300000}"/>
    <cellStyle name="Normal 5 2 2 3 3 22" xfId="11056" xr:uid="{00000000-0005-0000-0000-0000BB300000}"/>
    <cellStyle name="Normal 5 2 2 3 3 22 2" xfId="11057" xr:uid="{00000000-0005-0000-0000-0000BC300000}"/>
    <cellStyle name="Normal 5 2 2 3 3 23" xfId="11058" xr:uid="{00000000-0005-0000-0000-0000BD300000}"/>
    <cellStyle name="Normal 5 2 2 3 3 23 2" xfId="11059" xr:uid="{00000000-0005-0000-0000-0000BE300000}"/>
    <cellStyle name="Normal 5 2 2 3 3 24" xfId="11060" xr:uid="{00000000-0005-0000-0000-0000BF300000}"/>
    <cellStyle name="Normal 5 2 2 3 3 24 2" xfId="11061" xr:uid="{00000000-0005-0000-0000-0000C0300000}"/>
    <cellStyle name="Normal 5 2 2 3 3 25" xfId="11062" xr:uid="{00000000-0005-0000-0000-0000C1300000}"/>
    <cellStyle name="Normal 5 2 2 3 3 25 2" xfId="11063" xr:uid="{00000000-0005-0000-0000-0000C2300000}"/>
    <cellStyle name="Normal 5 2 2 3 3 26" xfId="11064" xr:uid="{00000000-0005-0000-0000-0000C3300000}"/>
    <cellStyle name="Normal 5 2 2 3 3 26 2" xfId="11065" xr:uid="{00000000-0005-0000-0000-0000C4300000}"/>
    <cellStyle name="Normal 5 2 2 3 3 27" xfId="11066" xr:uid="{00000000-0005-0000-0000-0000C5300000}"/>
    <cellStyle name="Normal 5 2 2 3 3 27 2" xfId="11067" xr:uid="{00000000-0005-0000-0000-0000C6300000}"/>
    <cellStyle name="Normal 5 2 2 3 3 28" xfId="11068" xr:uid="{00000000-0005-0000-0000-0000C7300000}"/>
    <cellStyle name="Normal 5 2 2 3 3 28 2" xfId="11069" xr:uid="{00000000-0005-0000-0000-0000C8300000}"/>
    <cellStyle name="Normal 5 2 2 3 3 29" xfId="11070" xr:uid="{00000000-0005-0000-0000-0000C9300000}"/>
    <cellStyle name="Normal 5 2 2 3 3 29 2" xfId="11071" xr:uid="{00000000-0005-0000-0000-0000CA300000}"/>
    <cellStyle name="Normal 5 2 2 3 3 3" xfId="11072" xr:uid="{00000000-0005-0000-0000-0000CB300000}"/>
    <cellStyle name="Normal 5 2 2 3 3 3 2" xfId="11073" xr:uid="{00000000-0005-0000-0000-0000CC300000}"/>
    <cellStyle name="Normal 5 2 2 3 3 30" xfId="11074" xr:uid="{00000000-0005-0000-0000-0000CD300000}"/>
    <cellStyle name="Normal 5 2 2 3 3 30 2" xfId="11075" xr:uid="{00000000-0005-0000-0000-0000CE300000}"/>
    <cellStyle name="Normal 5 2 2 3 3 31" xfId="11076" xr:uid="{00000000-0005-0000-0000-0000CF300000}"/>
    <cellStyle name="Normal 5 2 2 3 3 31 2" xfId="11077" xr:uid="{00000000-0005-0000-0000-0000D0300000}"/>
    <cellStyle name="Normal 5 2 2 3 3 32" xfId="11078" xr:uid="{00000000-0005-0000-0000-0000D1300000}"/>
    <cellStyle name="Normal 5 2 2 3 3 32 2" xfId="11079" xr:uid="{00000000-0005-0000-0000-0000D2300000}"/>
    <cellStyle name="Normal 5 2 2 3 3 33" xfId="11080" xr:uid="{00000000-0005-0000-0000-0000D3300000}"/>
    <cellStyle name="Normal 5 2 2 3 3 33 2" xfId="11081" xr:uid="{00000000-0005-0000-0000-0000D4300000}"/>
    <cellStyle name="Normal 5 2 2 3 3 34" xfId="11082" xr:uid="{00000000-0005-0000-0000-0000D5300000}"/>
    <cellStyle name="Normal 5 2 2 3 3 34 2" xfId="11083" xr:uid="{00000000-0005-0000-0000-0000D6300000}"/>
    <cellStyle name="Normal 5 2 2 3 3 35" xfId="11084" xr:uid="{00000000-0005-0000-0000-0000D7300000}"/>
    <cellStyle name="Normal 5 2 2 3 3 4" xfId="11085" xr:uid="{00000000-0005-0000-0000-0000D8300000}"/>
    <cellStyle name="Normal 5 2 2 3 3 4 2" xfId="11086" xr:uid="{00000000-0005-0000-0000-0000D9300000}"/>
    <cellStyle name="Normal 5 2 2 3 3 5" xfId="11087" xr:uid="{00000000-0005-0000-0000-0000DA300000}"/>
    <cellStyle name="Normal 5 2 2 3 3 5 2" xfId="11088" xr:uid="{00000000-0005-0000-0000-0000DB300000}"/>
    <cellStyle name="Normal 5 2 2 3 3 6" xfId="11089" xr:uid="{00000000-0005-0000-0000-0000DC300000}"/>
    <cellStyle name="Normal 5 2 2 3 3 6 2" xfId="11090" xr:uid="{00000000-0005-0000-0000-0000DD300000}"/>
    <cellStyle name="Normal 5 2 2 3 3 7" xfId="11091" xr:uid="{00000000-0005-0000-0000-0000DE300000}"/>
    <cellStyle name="Normal 5 2 2 3 3 7 2" xfId="11092" xr:uid="{00000000-0005-0000-0000-0000DF300000}"/>
    <cellStyle name="Normal 5 2 2 3 3 8" xfId="11093" xr:uid="{00000000-0005-0000-0000-0000E0300000}"/>
    <cellStyle name="Normal 5 2 2 3 3 8 2" xfId="11094" xr:uid="{00000000-0005-0000-0000-0000E1300000}"/>
    <cellStyle name="Normal 5 2 2 3 3 9" xfId="11095" xr:uid="{00000000-0005-0000-0000-0000E2300000}"/>
    <cellStyle name="Normal 5 2 2 3 3 9 2" xfId="11096" xr:uid="{00000000-0005-0000-0000-0000E3300000}"/>
    <cellStyle name="Normal 5 2 2 3 30" xfId="11097" xr:uid="{00000000-0005-0000-0000-0000E4300000}"/>
    <cellStyle name="Normal 5 2 2 3 30 2" xfId="11098" xr:uid="{00000000-0005-0000-0000-0000E5300000}"/>
    <cellStyle name="Normal 5 2 2 3 31" xfId="11099" xr:uid="{00000000-0005-0000-0000-0000E6300000}"/>
    <cellStyle name="Normal 5 2 2 3 31 2" xfId="11100" xr:uid="{00000000-0005-0000-0000-0000E7300000}"/>
    <cellStyle name="Normal 5 2 2 3 32" xfId="11101" xr:uid="{00000000-0005-0000-0000-0000E8300000}"/>
    <cellStyle name="Normal 5 2 2 3 32 2" xfId="11102" xr:uid="{00000000-0005-0000-0000-0000E9300000}"/>
    <cellStyle name="Normal 5 2 2 3 33" xfId="11103" xr:uid="{00000000-0005-0000-0000-0000EA300000}"/>
    <cellStyle name="Normal 5 2 2 3 33 2" xfId="11104" xr:uid="{00000000-0005-0000-0000-0000EB300000}"/>
    <cellStyle name="Normal 5 2 2 3 34" xfId="11105" xr:uid="{00000000-0005-0000-0000-0000EC300000}"/>
    <cellStyle name="Normal 5 2 2 3 34 2" xfId="11106" xr:uid="{00000000-0005-0000-0000-0000ED300000}"/>
    <cellStyle name="Normal 5 2 2 3 35" xfId="11107" xr:uid="{00000000-0005-0000-0000-0000EE300000}"/>
    <cellStyle name="Normal 5 2 2 3 35 2" xfId="11108" xr:uid="{00000000-0005-0000-0000-0000EF300000}"/>
    <cellStyle name="Normal 5 2 2 3 36" xfId="11109" xr:uid="{00000000-0005-0000-0000-0000F0300000}"/>
    <cellStyle name="Normal 5 2 2 3 36 2" xfId="11110" xr:uid="{00000000-0005-0000-0000-0000F1300000}"/>
    <cellStyle name="Normal 5 2 2 3 37" xfId="11111" xr:uid="{00000000-0005-0000-0000-0000F2300000}"/>
    <cellStyle name="Normal 5 2 2 3 37 2" xfId="11112" xr:uid="{00000000-0005-0000-0000-0000F3300000}"/>
    <cellStyle name="Normal 5 2 2 3 38" xfId="11113" xr:uid="{00000000-0005-0000-0000-0000F4300000}"/>
    <cellStyle name="Normal 5 2 2 3 38 2" xfId="11114" xr:uid="{00000000-0005-0000-0000-0000F5300000}"/>
    <cellStyle name="Normal 5 2 2 3 39" xfId="11115" xr:uid="{00000000-0005-0000-0000-0000F6300000}"/>
    <cellStyle name="Normal 5 2 2 3 39 2" xfId="11116" xr:uid="{00000000-0005-0000-0000-0000F7300000}"/>
    <cellStyle name="Normal 5 2 2 3 4" xfId="11117" xr:uid="{00000000-0005-0000-0000-0000F8300000}"/>
    <cellStyle name="Normal 5 2 2 3 4 2" xfId="11118" xr:uid="{00000000-0005-0000-0000-0000F9300000}"/>
    <cellStyle name="Normal 5 2 2 3 4 2 2" xfId="11119" xr:uid="{00000000-0005-0000-0000-0000FA300000}"/>
    <cellStyle name="Normal 5 2 2 3 4 3" xfId="11120" xr:uid="{00000000-0005-0000-0000-0000FB300000}"/>
    <cellStyle name="Normal 5 2 2 3 4 3 2" xfId="11121" xr:uid="{00000000-0005-0000-0000-0000FC300000}"/>
    <cellStyle name="Normal 5 2 2 3 4 4" xfId="11122" xr:uid="{00000000-0005-0000-0000-0000FD300000}"/>
    <cellStyle name="Normal 5 2 2 3 4 4 2" xfId="11123" xr:uid="{00000000-0005-0000-0000-0000FE300000}"/>
    <cellStyle name="Normal 5 2 2 3 4 5" xfId="11124" xr:uid="{00000000-0005-0000-0000-0000FF300000}"/>
    <cellStyle name="Normal 5 2 2 3 4 5 2" xfId="11125" xr:uid="{00000000-0005-0000-0000-000000310000}"/>
    <cellStyle name="Normal 5 2 2 3 4 6" xfId="11126" xr:uid="{00000000-0005-0000-0000-000001310000}"/>
    <cellStyle name="Normal 5 2 2 3 40" xfId="11127" xr:uid="{00000000-0005-0000-0000-000002310000}"/>
    <cellStyle name="Normal 5 2 2 3 40 2" xfId="11128" xr:uid="{00000000-0005-0000-0000-000003310000}"/>
    <cellStyle name="Normal 5 2 2 3 41" xfId="11129" xr:uid="{00000000-0005-0000-0000-000004310000}"/>
    <cellStyle name="Normal 5 2 2 3 41 2" xfId="11130" xr:uid="{00000000-0005-0000-0000-000005310000}"/>
    <cellStyle name="Normal 5 2 2 3 42" xfId="11131" xr:uid="{00000000-0005-0000-0000-000006310000}"/>
    <cellStyle name="Normal 5 2 2 3 42 2" xfId="11132" xr:uid="{00000000-0005-0000-0000-000007310000}"/>
    <cellStyle name="Normal 5 2 2 3 43" xfId="11133" xr:uid="{00000000-0005-0000-0000-000008310000}"/>
    <cellStyle name="Normal 5 2 2 3 43 2" xfId="11134" xr:uid="{00000000-0005-0000-0000-000009310000}"/>
    <cellStyle name="Normal 5 2 2 3 44" xfId="11135" xr:uid="{00000000-0005-0000-0000-00000A310000}"/>
    <cellStyle name="Normal 5 2 2 3 44 2" xfId="11136" xr:uid="{00000000-0005-0000-0000-00000B310000}"/>
    <cellStyle name="Normal 5 2 2 3 45" xfId="11137" xr:uid="{00000000-0005-0000-0000-00000C310000}"/>
    <cellStyle name="Normal 5 2 2 3 45 2" xfId="11138" xr:uid="{00000000-0005-0000-0000-00000D310000}"/>
    <cellStyle name="Normal 5 2 2 3 46" xfId="11139" xr:uid="{00000000-0005-0000-0000-00000E310000}"/>
    <cellStyle name="Normal 5 2 2 3 46 2" xfId="11140" xr:uid="{00000000-0005-0000-0000-00000F310000}"/>
    <cellStyle name="Normal 5 2 2 3 47" xfId="11141" xr:uid="{00000000-0005-0000-0000-000010310000}"/>
    <cellStyle name="Normal 5 2 2 3 48" xfId="10920" xr:uid="{00000000-0005-0000-0000-000011310000}"/>
    <cellStyle name="Normal 5 2 2 3 5" xfId="11142" xr:uid="{00000000-0005-0000-0000-000012310000}"/>
    <cellStyle name="Normal 5 2 2 3 5 2" xfId="11143" xr:uid="{00000000-0005-0000-0000-000013310000}"/>
    <cellStyle name="Normal 5 2 2 3 6" xfId="11144" xr:uid="{00000000-0005-0000-0000-000014310000}"/>
    <cellStyle name="Normal 5 2 2 3 6 2" xfId="11145" xr:uid="{00000000-0005-0000-0000-000015310000}"/>
    <cellStyle name="Normal 5 2 2 3 7" xfId="11146" xr:uid="{00000000-0005-0000-0000-000016310000}"/>
    <cellStyle name="Normal 5 2 2 3 7 2" xfId="11147" xr:uid="{00000000-0005-0000-0000-000017310000}"/>
    <cellStyle name="Normal 5 2 2 3 8" xfId="11148" xr:uid="{00000000-0005-0000-0000-000018310000}"/>
    <cellStyle name="Normal 5 2 2 3 8 2" xfId="11149" xr:uid="{00000000-0005-0000-0000-000019310000}"/>
    <cellStyle name="Normal 5 2 2 3 9" xfId="11150" xr:uid="{00000000-0005-0000-0000-00001A310000}"/>
    <cellStyle name="Normal 5 2 2 3 9 2" xfId="11151" xr:uid="{00000000-0005-0000-0000-00001B310000}"/>
    <cellStyle name="Normal 5 2 2 30" xfId="11152" xr:uid="{00000000-0005-0000-0000-00001C310000}"/>
    <cellStyle name="Normal 5 2 2 31" xfId="11153" xr:uid="{00000000-0005-0000-0000-00001D310000}"/>
    <cellStyle name="Normal 5 2 2 32" xfId="11154" xr:uid="{00000000-0005-0000-0000-00001E310000}"/>
    <cellStyle name="Normal 5 2 2 33" xfId="11155" xr:uid="{00000000-0005-0000-0000-00001F310000}"/>
    <cellStyle name="Normal 5 2 2 34" xfId="11156" xr:uid="{00000000-0005-0000-0000-000020310000}"/>
    <cellStyle name="Normal 5 2 2 35" xfId="11157" xr:uid="{00000000-0005-0000-0000-000021310000}"/>
    <cellStyle name="Normal 5 2 2 36" xfId="11158" xr:uid="{00000000-0005-0000-0000-000022310000}"/>
    <cellStyle name="Normal 5 2 2 37" xfId="11159" xr:uid="{00000000-0005-0000-0000-000023310000}"/>
    <cellStyle name="Normal 5 2 2 38" xfId="27108" xr:uid="{00000000-0005-0000-0000-000024310000}"/>
    <cellStyle name="Normal 5 2 2 4" xfId="11160" xr:uid="{00000000-0005-0000-0000-000025310000}"/>
    <cellStyle name="Normal 5 2 2 4 10" xfId="11161" xr:uid="{00000000-0005-0000-0000-000026310000}"/>
    <cellStyle name="Normal 5 2 2 4 10 2" xfId="11162" xr:uid="{00000000-0005-0000-0000-000027310000}"/>
    <cellStyle name="Normal 5 2 2 4 11" xfId="11163" xr:uid="{00000000-0005-0000-0000-000028310000}"/>
    <cellStyle name="Normal 5 2 2 4 11 2" xfId="11164" xr:uid="{00000000-0005-0000-0000-000029310000}"/>
    <cellStyle name="Normal 5 2 2 4 12" xfId="11165" xr:uid="{00000000-0005-0000-0000-00002A310000}"/>
    <cellStyle name="Normal 5 2 2 4 12 2" xfId="11166" xr:uid="{00000000-0005-0000-0000-00002B310000}"/>
    <cellStyle name="Normal 5 2 2 4 13" xfId="11167" xr:uid="{00000000-0005-0000-0000-00002C310000}"/>
    <cellStyle name="Normal 5 2 2 4 13 2" xfId="11168" xr:uid="{00000000-0005-0000-0000-00002D310000}"/>
    <cellStyle name="Normal 5 2 2 4 14" xfId="11169" xr:uid="{00000000-0005-0000-0000-00002E310000}"/>
    <cellStyle name="Normal 5 2 2 4 14 2" xfId="11170" xr:uid="{00000000-0005-0000-0000-00002F310000}"/>
    <cellStyle name="Normal 5 2 2 4 15" xfId="11171" xr:uid="{00000000-0005-0000-0000-000030310000}"/>
    <cellStyle name="Normal 5 2 2 4 15 2" xfId="11172" xr:uid="{00000000-0005-0000-0000-000031310000}"/>
    <cellStyle name="Normal 5 2 2 4 16" xfId="11173" xr:uid="{00000000-0005-0000-0000-000032310000}"/>
    <cellStyle name="Normal 5 2 2 4 16 2" xfId="11174" xr:uid="{00000000-0005-0000-0000-000033310000}"/>
    <cellStyle name="Normal 5 2 2 4 17" xfId="11175" xr:uid="{00000000-0005-0000-0000-000034310000}"/>
    <cellStyle name="Normal 5 2 2 4 17 2" xfId="11176" xr:uid="{00000000-0005-0000-0000-000035310000}"/>
    <cellStyle name="Normal 5 2 2 4 18" xfId="11177" xr:uid="{00000000-0005-0000-0000-000036310000}"/>
    <cellStyle name="Normal 5 2 2 4 18 2" xfId="11178" xr:uid="{00000000-0005-0000-0000-000037310000}"/>
    <cellStyle name="Normal 5 2 2 4 19" xfId="11179" xr:uid="{00000000-0005-0000-0000-000038310000}"/>
    <cellStyle name="Normal 5 2 2 4 2" xfId="11180" xr:uid="{00000000-0005-0000-0000-000039310000}"/>
    <cellStyle name="Normal 5 2 2 4 2 2" xfId="11181" xr:uid="{00000000-0005-0000-0000-00003A310000}"/>
    <cellStyle name="Normal 5 2 2 4 2 2 2" xfId="11182" xr:uid="{00000000-0005-0000-0000-00003B310000}"/>
    <cellStyle name="Normal 5 2 2 4 2 3" xfId="11183" xr:uid="{00000000-0005-0000-0000-00003C310000}"/>
    <cellStyle name="Normal 5 2 2 4 2 3 2" xfId="11184" xr:uid="{00000000-0005-0000-0000-00003D310000}"/>
    <cellStyle name="Normal 5 2 2 4 2 4" xfId="11185" xr:uid="{00000000-0005-0000-0000-00003E310000}"/>
    <cellStyle name="Normal 5 2 2 4 2 4 2" xfId="11186" xr:uid="{00000000-0005-0000-0000-00003F310000}"/>
    <cellStyle name="Normal 5 2 2 4 2 5" xfId="11187" xr:uid="{00000000-0005-0000-0000-000040310000}"/>
    <cellStyle name="Normal 5 2 2 4 2 5 2" xfId="11188" xr:uid="{00000000-0005-0000-0000-000041310000}"/>
    <cellStyle name="Normal 5 2 2 4 2 6" xfId="11189" xr:uid="{00000000-0005-0000-0000-000042310000}"/>
    <cellStyle name="Normal 5 2 2 4 3" xfId="11190" xr:uid="{00000000-0005-0000-0000-000043310000}"/>
    <cellStyle name="Normal 5 2 2 4 3 2" xfId="11191" xr:uid="{00000000-0005-0000-0000-000044310000}"/>
    <cellStyle name="Normal 5 2 2 4 3 2 2" xfId="11192" xr:uid="{00000000-0005-0000-0000-000045310000}"/>
    <cellStyle name="Normal 5 2 2 4 3 3" xfId="11193" xr:uid="{00000000-0005-0000-0000-000046310000}"/>
    <cellStyle name="Normal 5 2 2 4 3 3 2" xfId="11194" xr:uid="{00000000-0005-0000-0000-000047310000}"/>
    <cellStyle name="Normal 5 2 2 4 3 4" xfId="11195" xr:uid="{00000000-0005-0000-0000-000048310000}"/>
    <cellStyle name="Normal 5 2 2 4 3 4 2" xfId="11196" xr:uid="{00000000-0005-0000-0000-000049310000}"/>
    <cellStyle name="Normal 5 2 2 4 3 5" xfId="11197" xr:uid="{00000000-0005-0000-0000-00004A310000}"/>
    <cellStyle name="Normal 5 2 2 4 3 5 2" xfId="11198" xr:uid="{00000000-0005-0000-0000-00004B310000}"/>
    <cellStyle name="Normal 5 2 2 4 3 6" xfId="11199" xr:uid="{00000000-0005-0000-0000-00004C310000}"/>
    <cellStyle name="Normal 5 2 2 4 4" xfId="11200" xr:uid="{00000000-0005-0000-0000-00004D310000}"/>
    <cellStyle name="Normal 5 2 2 4 4 2" xfId="11201" xr:uid="{00000000-0005-0000-0000-00004E310000}"/>
    <cellStyle name="Normal 5 2 2 4 4 2 2" xfId="11202" xr:uid="{00000000-0005-0000-0000-00004F310000}"/>
    <cellStyle name="Normal 5 2 2 4 4 3" xfId="11203" xr:uid="{00000000-0005-0000-0000-000050310000}"/>
    <cellStyle name="Normal 5 2 2 4 4 3 2" xfId="11204" xr:uid="{00000000-0005-0000-0000-000051310000}"/>
    <cellStyle name="Normal 5 2 2 4 4 4" xfId="11205" xr:uid="{00000000-0005-0000-0000-000052310000}"/>
    <cellStyle name="Normal 5 2 2 4 4 4 2" xfId="11206" xr:uid="{00000000-0005-0000-0000-000053310000}"/>
    <cellStyle name="Normal 5 2 2 4 4 5" xfId="11207" xr:uid="{00000000-0005-0000-0000-000054310000}"/>
    <cellStyle name="Normal 5 2 2 4 4 5 2" xfId="11208" xr:uid="{00000000-0005-0000-0000-000055310000}"/>
    <cellStyle name="Normal 5 2 2 4 4 6" xfId="11209" xr:uid="{00000000-0005-0000-0000-000056310000}"/>
    <cellStyle name="Normal 5 2 2 4 5" xfId="11210" xr:uid="{00000000-0005-0000-0000-000057310000}"/>
    <cellStyle name="Normal 5 2 2 4 5 2" xfId="11211" xr:uid="{00000000-0005-0000-0000-000058310000}"/>
    <cellStyle name="Normal 5 2 2 4 6" xfId="11212" xr:uid="{00000000-0005-0000-0000-000059310000}"/>
    <cellStyle name="Normal 5 2 2 4 6 2" xfId="11213" xr:uid="{00000000-0005-0000-0000-00005A310000}"/>
    <cellStyle name="Normal 5 2 2 4 7" xfId="11214" xr:uid="{00000000-0005-0000-0000-00005B310000}"/>
    <cellStyle name="Normal 5 2 2 4 7 2" xfId="11215" xr:uid="{00000000-0005-0000-0000-00005C310000}"/>
    <cellStyle name="Normal 5 2 2 4 8" xfId="11216" xr:uid="{00000000-0005-0000-0000-00005D310000}"/>
    <cellStyle name="Normal 5 2 2 4 8 2" xfId="11217" xr:uid="{00000000-0005-0000-0000-00005E310000}"/>
    <cellStyle name="Normal 5 2 2 4 9" xfId="11218" xr:uid="{00000000-0005-0000-0000-00005F310000}"/>
    <cellStyle name="Normal 5 2 2 4 9 2" xfId="11219" xr:uid="{00000000-0005-0000-0000-000060310000}"/>
    <cellStyle name="Normal 5 2 2 5" xfId="11220" xr:uid="{00000000-0005-0000-0000-000061310000}"/>
    <cellStyle name="Normal 5 2 2 5 2" xfId="11221" xr:uid="{00000000-0005-0000-0000-000062310000}"/>
    <cellStyle name="Normal 5 2 2 5 2 2" xfId="11222" xr:uid="{00000000-0005-0000-0000-000063310000}"/>
    <cellStyle name="Normal 5 2 2 5 2 2 2" xfId="11223" xr:uid="{00000000-0005-0000-0000-000064310000}"/>
    <cellStyle name="Normal 5 2 2 5 2 3" xfId="11224" xr:uid="{00000000-0005-0000-0000-000065310000}"/>
    <cellStyle name="Normal 5 2 2 5 2 3 2" xfId="11225" xr:uid="{00000000-0005-0000-0000-000066310000}"/>
    <cellStyle name="Normal 5 2 2 5 2 4" xfId="11226" xr:uid="{00000000-0005-0000-0000-000067310000}"/>
    <cellStyle name="Normal 5 2 2 5 2 4 2" xfId="11227" xr:uid="{00000000-0005-0000-0000-000068310000}"/>
    <cellStyle name="Normal 5 2 2 5 2 5" xfId="11228" xr:uid="{00000000-0005-0000-0000-000069310000}"/>
    <cellStyle name="Normal 5 2 2 5 2 5 2" xfId="11229" xr:uid="{00000000-0005-0000-0000-00006A310000}"/>
    <cellStyle name="Normal 5 2 2 5 2 6" xfId="11230" xr:uid="{00000000-0005-0000-0000-00006B310000}"/>
    <cellStyle name="Normal 5 2 2 5 3" xfId="11231" xr:uid="{00000000-0005-0000-0000-00006C310000}"/>
    <cellStyle name="Normal 5 2 2 5 3 2" xfId="11232" xr:uid="{00000000-0005-0000-0000-00006D310000}"/>
    <cellStyle name="Normal 5 2 2 5 3 2 2" xfId="11233" xr:uid="{00000000-0005-0000-0000-00006E310000}"/>
    <cellStyle name="Normal 5 2 2 5 3 3" xfId="11234" xr:uid="{00000000-0005-0000-0000-00006F310000}"/>
    <cellStyle name="Normal 5 2 2 5 3 3 2" xfId="11235" xr:uid="{00000000-0005-0000-0000-000070310000}"/>
    <cellStyle name="Normal 5 2 2 5 3 4" xfId="11236" xr:uid="{00000000-0005-0000-0000-000071310000}"/>
    <cellStyle name="Normal 5 2 2 5 3 4 2" xfId="11237" xr:uid="{00000000-0005-0000-0000-000072310000}"/>
    <cellStyle name="Normal 5 2 2 5 3 5" xfId="11238" xr:uid="{00000000-0005-0000-0000-000073310000}"/>
    <cellStyle name="Normal 5 2 2 5 3 5 2" xfId="11239" xr:uid="{00000000-0005-0000-0000-000074310000}"/>
    <cellStyle name="Normal 5 2 2 5 3 6" xfId="11240" xr:uid="{00000000-0005-0000-0000-000075310000}"/>
    <cellStyle name="Normal 5 2 2 5 4" xfId="11241" xr:uid="{00000000-0005-0000-0000-000076310000}"/>
    <cellStyle name="Normal 5 2 2 5 4 2" xfId="11242" xr:uid="{00000000-0005-0000-0000-000077310000}"/>
    <cellStyle name="Normal 5 2 2 5 4 2 2" xfId="11243" xr:uid="{00000000-0005-0000-0000-000078310000}"/>
    <cellStyle name="Normal 5 2 2 5 4 3" xfId="11244" xr:uid="{00000000-0005-0000-0000-000079310000}"/>
    <cellStyle name="Normal 5 2 2 5 4 3 2" xfId="11245" xr:uid="{00000000-0005-0000-0000-00007A310000}"/>
    <cellStyle name="Normal 5 2 2 5 4 4" xfId="11246" xr:uid="{00000000-0005-0000-0000-00007B310000}"/>
    <cellStyle name="Normal 5 2 2 5 4 4 2" xfId="11247" xr:uid="{00000000-0005-0000-0000-00007C310000}"/>
    <cellStyle name="Normal 5 2 2 5 4 5" xfId="11248" xr:uid="{00000000-0005-0000-0000-00007D310000}"/>
    <cellStyle name="Normal 5 2 2 5 4 5 2" xfId="11249" xr:uid="{00000000-0005-0000-0000-00007E310000}"/>
    <cellStyle name="Normal 5 2 2 5 4 6" xfId="11250" xr:uid="{00000000-0005-0000-0000-00007F310000}"/>
    <cellStyle name="Normal 5 2 2 6" xfId="11251" xr:uid="{00000000-0005-0000-0000-000080310000}"/>
    <cellStyle name="Normal 5 2 2 6 2" xfId="11252" xr:uid="{00000000-0005-0000-0000-000081310000}"/>
    <cellStyle name="Normal 5 2 2 6 2 2" xfId="11253" xr:uid="{00000000-0005-0000-0000-000082310000}"/>
    <cellStyle name="Normal 5 2 2 6 3" xfId="11254" xr:uid="{00000000-0005-0000-0000-000083310000}"/>
    <cellStyle name="Normal 5 2 2 6 3 2" xfId="11255" xr:uid="{00000000-0005-0000-0000-000084310000}"/>
    <cellStyle name="Normal 5 2 2 6 4" xfId="11256" xr:uid="{00000000-0005-0000-0000-000085310000}"/>
    <cellStyle name="Normal 5 2 2 6 4 2" xfId="11257" xr:uid="{00000000-0005-0000-0000-000086310000}"/>
    <cellStyle name="Normal 5 2 2 6 5" xfId="11258" xr:uid="{00000000-0005-0000-0000-000087310000}"/>
    <cellStyle name="Normal 5 2 2 6 5 2" xfId="11259" xr:uid="{00000000-0005-0000-0000-000088310000}"/>
    <cellStyle name="Normal 5 2 2 6 6" xfId="11260" xr:uid="{00000000-0005-0000-0000-000089310000}"/>
    <cellStyle name="Normal 5 2 2 7" xfId="11261" xr:uid="{00000000-0005-0000-0000-00008A310000}"/>
    <cellStyle name="Normal 5 2 2 7 2" xfId="11262" xr:uid="{00000000-0005-0000-0000-00008B310000}"/>
    <cellStyle name="Normal 5 2 2 7 3" xfId="11263" xr:uid="{00000000-0005-0000-0000-00008C310000}"/>
    <cellStyle name="Normal 5 2 2 8" xfId="11264" xr:uid="{00000000-0005-0000-0000-00008D310000}"/>
    <cellStyle name="Normal 5 2 2 8 2" xfId="11265" xr:uid="{00000000-0005-0000-0000-00008E310000}"/>
    <cellStyle name="Normal 5 2 2 8 3" xfId="11266" xr:uid="{00000000-0005-0000-0000-00008F310000}"/>
    <cellStyle name="Normal 5 2 2 9" xfId="11267" xr:uid="{00000000-0005-0000-0000-000090310000}"/>
    <cellStyle name="Normal 5 2 2 9 2" xfId="11268" xr:uid="{00000000-0005-0000-0000-000091310000}"/>
    <cellStyle name="Normal 5 2 2 9 3" xfId="11269" xr:uid="{00000000-0005-0000-0000-000092310000}"/>
    <cellStyle name="Normal 5 2 20" xfId="11270" xr:uid="{00000000-0005-0000-0000-000093310000}"/>
    <cellStyle name="Normal 5 2 20 2" xfId="11271" xr:uid="{00000000-0005-0000-0000-000094310000}"/>
    <cellStyle name="Normal 5 2 20 3" xfId="11272" xr:uid="{00000000-0005-0000-0000-000095310000}"/>
    <cellStyle name="Normal 5 2 21" xfId="11273" xr:uid="{00000000-0005-0000-0000-000096310000}"/>
    <cellStyle name="Normal 5 2 21 2" xfId="11274" xr:uid="{00000000-0005-0000-0000-000097310000}"/>
    <cellStyle name="Normal 5 2 21 3" xfId="11275" xr:uid="{00000000-0005-0000-0000-000098310000}"/>
    <cellStyle name="Normal 5 2 22" xfId="11276" xr:uid="{00000000-0005-0000-0000-000099310000}"/>
    <cellStyle name="Normal 5 2 22 2" xfId="11277" xr:uid="{00000000-0005-0000-0000-00009A310000}"/>
    <cellStyle name="Normal 5 2 22 3" xfId="11278" xr:uid="{00000000-0005-0000-0000-00009B310000}"/>
    <cellStyle name="Normal 5 2 23" xfId="11279" xr:uid="{00000000-0005-0000-0000-00009C310000}"/>
    <cellStyle name="Normal 5 2 23 2" xfId="11280" xr:uid="{00000000-0005-0000-0000-00009D310000}"/>
    <cellStyle name="Normal 5 2 23 3" xfId="11281" xr:uid="{00000000-0005-0000-0000-00009E310000}"/>
    <cellStyle name="Normal 5 2 24" xfId="11282" xr:uid="{00000000-0005-0000-0000-00009F310000}"/>
    <cellStyle name="Normal 5 2 25" xfId="11283" xr:uid="{00000000-0005-0000-0000-0000A0310000}"/>
    <cellStyle name="Normal 5 2 25 2" xfId="11284" xr:uid="{00000000-0005-0000-0000-0000A1310000}"/>
    <cellStyle name="Normal 5 2 26" xfId="11285" xr:uid="{00000000-0005-0000-0000-0000A2310000}"/>
    <cellStyle name="Normal 5 2 27" xfId="11286" xr:uid="{00000000-0005-0000-0000-0000A3310000}"/>
    <cellStyle name="Normal 5 2 27 2" xfId="11287" xr:uid="{00000000-0005-0000-0000-0000A4310000}"/>
    <cellStyle name="Normal 5 2 28" xfId="11288" xr:uid="{00000000-0005-0000-0000-0000A5310000}"/>
    <cellStyle name="Normal 5 2 28 2" xfId="11289" xr:uid="{00000000-0005-0000-0000-0000A6310000}"/>
    <cellStyle name="Normal 5 2 29" xfId="11290" xr:uid="{00000000-0005-0000-0000-0000A7310000}"/>
    <cellStyle name="Normal 5 2 29 2" xfId="11291" xr:uid="{00000000-0005-0000-0000-0000A8310000}"/>
    <cellStyle name="Normal 5 2 3" xfId="348" xr:uid="{00000000-0005-0000-0000-0000A9310000}"/>
    <cellStyle name="Normal 5 2 3 10" xfId="11292" xr:uid="{00000000-0005-0000-0000-0000AA310000}"/>
    <cellStyle name="Normal 5 2 3 10 2" xfId="11293" xr:uid="{00000000-0005-0000-0000-0000AB310000}"/>
    <cellStyle name="Normal 5 2 3 11" xfId="11294" xr:uid="{00000000-0005-0000-0000-0000AC310000}"/>
    <cellStyle name="Normal 5 2 3 11 2" xfId="11295" xr:uid="{00000000-0005-0000-0000-0000AD310000}"/>
    <cellStyle name="Normal 5 2 3 12" xfId="11296" xr:uid="{00000000-0005-0000-0000-0000AE310000}"/>
    <cellStyle name="Normal 5 2 3 12 2" xfId="11297" xr:uid="{00000000-0005-0000-0000-0000AF310000}"/>
    <cellStyle name="Normal 5 2 3 13" xfId="11298" xr:uid="{00000000-0005-0000-0000-0000B0310000}"/>
    <cellStyle name="Normal 5 2 3 13 2" xfId="11299" xr:uid="{00000000-0005-0000-0000-0000B1310000}"/>
    <cellStyle name="Normal 5 2 3 2" xfId="349" xr:uid="{00000000-0005-0000-0000-0000B2310000}"/>
    <cellStyle name="Normal 5 2 3 2 10" xfId="11301" xr:uid="{00000000-0005-0000-0000-0000B3310000}"/>
    <cellStyle name="Normal 5 2 3 2 11" xfId="11302" xr:uid="{00000000-0005-0000-0000-0000B4310000}"/>
    <cellStyle name="Normal 5 2 3 2 12" xfId="11300" xr:uid="{00000000-0005-0000-0000-0000B5310000}"/>
    <cellStyle name="Normal 5 2 3 2 2" xfId="11303" xr:uid="{00000000-0005-0000-0000-0000B6310000}"/>
    <cellStyle name="Normal 5 2 3 2 3" xfId="11304" xr:uid="{00000000-0005-0000-0000-0000B7310000}"/>
    <cellStyle name="Normal 5 2 3 2 4" xfId="11305" xr:uid="{00000000-0005-0000-0000-0000B8310000}"/>
    <cellStyle name="Normal 5 2 3 2 5" xfId="11306" xr:uid="{00000000-0005-0000-0000-0000B9310000}"/>
    <cellStyle name="Normal 5 2 3 2 6" xfId="11307" xr:uid="{00000000-0005-0000-0000-0000BA310000}"/>
    <cellStyle name="Normal 5 2 3 2 7" xfId="11308" xr:uid="{00000000-0005-0000-0000-0000BB310000}"/>
    <cellStyle name="Normal 5 2 3 2 8" xfId="11309" xr:uid="{00000000-0005-0000-0000-0000BC310000}"/>
    <cellStyle name="Normal 5 2 3 2 9" xfId="11310" xr:uid="{00000000-0005-0000-0000-0000BD310000}"/>
    <cellStyle name="Normal 5 2 3 3" xfId="11311" xr:uid="{00000000-0005-0000-0000-0000BE310000}"/>
    <cellStyle name="Normal 5 2 3 3 2" xfId="11312" xr:uid="{00000000-0005-0000-0000-0000BF310000}"/>
    <cellStyle name="Normal 5 2 3 3 2 2" xfId="11313" xr:uid="{00000000-0005-0000-0000-0000C0310000}"/>
    <cellStyle name="Normal 5 2 3 3 3" xfId="11314" xr:uid="{00000000-0005-0000-0000-0000C1310000}"/>
    <cellStyle name="Normal 5 2 3 3 3 2" xfId="11315" xr:uid="{00000000-0005-0000-0000-0000C2310000}"/>
    <cellStyle name="Normal 5 2 3 3 4" xfId="11316" xr:uid="{00000000-0005-0000-0000-0000C3310000}"/>
    <cellStyle name="Normal 5 2 3 3 4 2" xfId="11317" xr:uid="{00000000-0005-0000-0000-0000C4310000}"/>
    <cellStyle name="Normal 5 2 3 3 5" xfId="11318" xr:uid="{00000000-0005-0000-0000-0000C5310000}"/>
    <cellStyle name="Normal 5 2 3 3 5 2" xfId="11319" xr:uid="{00000000-0005-0000-0000-0000C6310000}"/>
    <cellStyle name="Normal 5 2 3 3 6" xfId="11320" xr:uid="{00000000-0005-0000-0000-0000C7310000}"/>
    <cellStyle name="Normal 5 2 3 4" xfId="11321" xr:uid="{00000000-0005-0000-0000-0000C8310000}"/>
    <cellStyle name="Normal 5 2 3 4 2" xfId="11322" xr:uid="{00000000-0005-0000-0000-0000C9310000}"/>
    <cellStyle name="Normal 5 2 3 4 2 2" xfId="11323" xr:uid="{00000000-0005-0000-0000-0000CA310000}"/>
    <cellStyle name="Normal 5 2 3 4 3" xfId="11324" xr:uid="{00000000-0005-0000-0000-0000CB310000}"/>
    <cellStyle name="Normal 5 2 3 4 3 2" xfId="11325" xr:uid="{00000000-0005-0000-0000-0000CC310000}"/>
    <cellStyle name="Normal 5 2 3 4 4" xfId="11326" xr:uid="{00000000-0005-0000-0000-0000CD310000}"/>
    <cellStyle name="Normal 5 2 3 4 4 2" xfId="11327" xr:uid="{00000000-0005-0000-0000-0000CE310000}"/>
    <cellStyle name="Normal 5 2 3 4 5" xfId="11328" xr:uid="{00000000-0005-0000-0000-0000CF310000}"/>
    <cellStyle name="Normal 5 2 3 4 5 2" xfId="11329" xr:uid="{00000000-0005-0000-0000-0000D0310000}"/>
    <cellStyle name="Normal 5 2 3 4 6" xfId="11330" xr:uid="{00000000-0005-0000-0000-0000D1310000}"/>
    <cellStyle name="Normal 5 2 3 5" xfId="11331" xr:uid="{00000000-0005-0000-0000-0000D2310000}"/>
    <cellStyle name="Normal 5 2 3 5 2" xfId="11332" xr:uid="{00000000-0005-0000-0000-0000D3310000}"/>
    <cellStyle name="Normal 5 2 3 5 2 2" xfId="11333" xr:uid="{00000000-0005-0000-0000-0000D4310000}"/>
    <cellStyle name="Normal 5 2 3 5 3" xfId="11334" xr:uid="{00000000-0005-0000-0000-0000D5310000}"/>
    <cellStyle name="Normal 5 2 3 5 3 2" xfId="11335" xr:uid="{00000000-0005-0000-0000-0000D6310000}"/>
    <cellStyle name="Normal 5 2 3 5 4" xfId="11336" xr:uid="{00000000-0005-0000-0000-0000D7310000}"/>
    <cellStyle name="Normal 5 2 3 5 4 2" xfId="11337" xr:uid="{00000000-0005-0000-0000-0000D8310000}"/>
    <cellStyle name="Normal 5 2 3 5 5" xfId="11338" xr:uid="{00000000-0005-0000-0000-0000D9310000}"/>
    <cellStyle name="Normal 5 2 3 5 5 2" xfId="11339" xr:uid="{00000000-0005-0000-0000-0000DA310000}"/>
    <cellStyle name="Normal 5 2 3 5 6" xfId="11340" xr:uid="{00000000-0005-0000-0000-0000DB310000}"/>
    <cellStyle name="Normal 5 2 3 6" xfId="11341" xr:uid="{00000000-0005-0000-0000-0000DC310000}"/>
    <cellStyle name="Normal 5 2 3 6 2" xfId="11342" xr:uid="{00000000-0005-0000-0000-0000DD310000}"/>
    <cellStyle name="Normal 5 2 3 7" xfId="11343" xr:uid="{00000000-0005-0000-0000-0000DE310000}"/>
    <cellStyle name="Normal 5 2 3 7 2" xfId="11344" xr:uid="{00000000-0005-0000-0000-0000DF310000}"/>
    <cellStyle name="Normal 5 2 3 8" xfId="11345" xr:uid="{00000000-0005-0000-0000-0000E0310000}"/>
    <cellStyle name="Normal 5 2 3 8 2" xfId="11346" xr:uid="{00000000-0005-0000-0000-0000E1310000}"/>
    <cellStyle name="Normal 5 2 3 9" xfId="11347" xr:uid="{00000000-0005-0000-0000-0000E2310000}"/>
    <cellStyle name="Normal 5 2 3 9 2" xfId="11348" xr:uid="{00000000-0005-0000-0000-0000E3310000}"/>
    <cellStyle name="Normal 5 2 30" xfId="11349" xr:uid="{00000000-0005-0000-0000-0000E4310000}"/>
    <cellStyle name="Normal 5 2 30 2" xfId="11350" xr:uid="{00000000-0005-0000-0000-0000E5310000}"/>
    <cellStyle name="Normal 5 2 31" xfId="11351" xr:uid="{00000000-0005-0000-0000-0000E6310000}"/>
    <cellStyle name="Normal 5 2 31 2" xfId="11352" xr:uid="{00000000-0005-0000-0000-0000E7310000}"/>
    <cellStyle name="Normal 5 2 32" xfId="11353" xr:uid="{00000000-0005-0000-0000-0000E8310000}"/>
    <cellStyle name="Normal 5 2 32 2" xfId="11354" xr:uid="{00000000-0005-0000-0000-0000E9310000}"/>
    <cellStyle name="Normal 5 2 33" xfId="11355" xr:uid="{00000000-0005-0000-0000-0000EA310000}"/>
    <cellStyle name="Normal 5 2 33 2" xfId="11356" xr:uid="{00000000-0005-0000-0000-0000EB310000}"/>
    <cellStyle name="Normal 5 2 34" xfId="11357" xr:uid="{00000000-0005-0000-0000-0000EC310000}"/>
    <cellStyle name="Normal 5 2 34 2" xfId="11358" xr:uid="{00000000-0005-0000-0000-0000ED310000}"/>
    <cellStyle name="Normal 5 2 35" xfId="11359" xr:uid="{00000000-0005-0000-0000-0000EE310000}"/>
    <cellStyle name="Normal 5 2 35 2" xfId="11360" xr:uid="{00000000-0005-0000-0000-0000EF310000}"/>
    <cellStyle name="Normal 5 2 36" xfId="11361" xr:uid="{00000000-0005-0000-0000-0000F0310000}"/>
    <cellStyle name="Normal 5 2 36 2" xfId="11362" xr:uid="{00000000-0005-0000-0000-0000F1310000}"/>
    <cellStyle name="Normal 5 2 37" xfId="11363" xr:uid="{00000000-0005-0000-0000-0000F2310000}"/>
    <cellStyle name="Normal 5 2 37 2" xfId="11364" xr:uid="{00000000-0005-0000-0000-0000F3310000}"/>
    <cellStyle name="Normal 5 2 38" xfId="11365" xr:uid="{00000000-0005-0000-0000-0000F4310000}"/>
    <cellStyle name="Normal 5 2 38 2" xfId="11366" xr:uid="{00000000-0005-0000-0000-0000F5310000}"/>
    <cellStyle name="Normal 5 2 39" xfId="11367" xr:uid="{00000000-0005-0000-0000-0000F6310000}"/>
    <cellStyle name="Normal 5 2 39 2" xfId="11368" xr:uid="{00000000-0005-0000-0000-0000F7310000}"/>
    <cellStyle name="Normal 5 2 4" xfId="350" xr:uid="{00000000-0005-0000-0000-0000F8310000}"/>
    <cellStyle name="Normal 5 2 4 10" xfId="11369" xr:uid="{00000000-0005-0000-0000-0000F9310000}"/>
    <cellStyle name="Normal 5 2 4 11" xfId="11370" xr:uid="{00000000-0005-0000-0000-0000FA310000}"/>
    <cellStyle name="Normal 5 2 4 11 2" xfId="11371" xr:uid="{00000000-0005-0000-0000-0000FB310000}"/>
    <cellStyle name="Normal 5 2 4 12" xfId="11372" xr:uid="{00000000-0005-0000-0000-0000FC310000}"/>
    <cellStyle name="Normal 5 2 4 13" xfId="11373" xr:uid="{00000000-0005-0000-0000-0000FD310000}"/>
    <cellStyle name="Normal 5 2 4 14" xfId="11374" xr:uid="{00000000-0005-0000-0000-0000FE310000}"/>
    <cellStyle name="Normal 5 2 4 14 2" xfId="11375" xr:uid="{00000000-0005-0000-0000-0000FF310000}"/>
    <cellStyle name="Normal 5 2 4 15" xfId="11376" xr:uid="{00000000-0005-0000-0000-000000320000}"/>
    <cellStyle name="Normal 5 2 4 16" xfId="11377" xr:uid="{00000000-0005-0000-0000-000001320000}"/>
    <cellStyle name="Normal 5 2 4 17" xfId="11378" xr:uid="{00000000-0005-0000-0000-000002320000}"/>
    <cellStyle name="Normal 5 2 4 17 2" xfId="11379" xr:uid="{00000000-0005-0000-0000-000003320000}"/>
    <cellStyle name="Normal 5 2 4 18" xfId="11380" xr:uid="{00000000-0005-0000-0000-000004320000}"/>
    <cellStyle name="Normal 5 2 4 19" xfId="11381" xr:uid="{00000000-0005-0000-0000-000005320000}"/>
    <cellStyle name="Normal 5 2 4 2" xfId="11382" xr:uid="{00000000-0005-0000-0000-000006320000}"/>
    <cellStyle name="Normal 5 2 4 20" xfId="11383" xr:uid="{00000000-0005-0000-0000-000007320000}"/>
    <cellStyle name="Normal 5 2 4 21" xfId="11384" xr:uid="{00000000-0005-0000-0000-000008320000}"/>
    <cellStyle name="Normal 5 2 4 22" xfId="11385" xr:uid="{00000000-0005-0000-0000-000009320000}"/>
    <cellStyle name="Normal 5 2 4 22 2" xfId="11386" xr:uid="{00000000-0005-0000-0000-00000A320000}"/>
    <cellStyle name="Normal 5 2 4 23" xfId="11387" xr:uid="{00000000-0005-0000-0000-00000B320000}"/>
    <cellStyle name="Normal 5 2 4 23 2" xfId="11388" xr:uid="{00000000-0005-0000-0000-00000C320000}"/>
    <cellStyle name="Normal 5 2 4 24" xfId="11389" xr:uid="{00000000-0005-0000-0000-00000D320000}"/>
    <cellStyle name="Normal 5 2 4 24 2" xfId="11390" xr:uid="{00000000-0005-0000-0000-00000E320000}"/>
    <cellStyle name="Normal 5 2 4 25" xfId="11391" xr:uid="{00000000-0005-0000-0000-00000F320000}"/>
    <cellStyle name="Normal 5 2 4 25 2" xfId="11392" xr:uid="{00000000-0005-0000-0000-000010320000}"/>
    <cellStyle name="Normal 5 2 4 26" xfId="11393" xr:uid="{00000000-0005-0000-0000-000011320000}"/>
    <cellStyle name="Normal 5 2 4 26 2" xfId="11394" xr:uid="{00000000-0005-0000-0000-000012320000}"/>
    <cellStyle name="Normal 5 2 4 27" xfId="11395" xr:uid="{00000000-0005-0000-0000-000013320000}"/>
    <cellStyle name="Normal 5 2 4 27 2" xfId="11396" xr:uid="{00000000-0005-0000-0000-000014320000}"/>
    <cellStyle name="Normal 5 2 4 28" xfId="11397" xr:uid="{00000000-0005-0000-0000-000015320000}"/>
    <cellStyle name="Normal 5 2 4 28 2" xfId="11398" xr:uid="{00000000-0005-0000-0000-000016320000}"/>
    <cellStyle name="Normal 5 2 4 29" xfId="11399" xr:uid="{00000000-0005-0000-0000-000017320000}"/>
    <cellStyle name="Normal 5 2 4 29 2" xfId="11400" xr:uid="{00000000-0005-0000-0000-000018320000}"/>
    <cellStyle name="Normal 5 2 4 3" xfId="11401" xr:uid="{00000000-0005-0000-0000-000019320000}"/>
    <cellStyle name="Normal 5 2 4 30" xfId="11402" xr:uid="{00000000-0005-0000-0000-00001A320000}"/>
    <cellStyle name="Normal 5 2 4 30 2" xfId="11403" xr:uid="{00000000-0005-0000-0000-00001B320000}"/>
    <cellStyle name="Normal 5 2 4 31" xfId="11404" xr:uid="{00000000-0005-0000-0000-00001C320000}"/>
    <cellStyle name="Normal 5 2 4 31 2" xfId="11405" xr:uid="{00000000-0005-0000-0000-00001D320000}"/>
    <cellStyle name="Normal 5 2 4 32" xfId="11406" xr:uid="{00000000-0005-0000-0000-00001E320000}"/>
    <cellStyle name="Normal 5 2 4 32 2" xfId="11407" xr:uid="{00000000-0005-0000-0000-00001F320000}"/>
    <cellStyle name="Normal 5 2 4 33" xfId="11408" xr:uid="{00000000-0005-0000-0000-000020320000}"/>
    <cellStyle name="Normal 5 2 4 33 2" xfId="11409" xr:uid="{00000000-0005-0000-0000-000021320000}"/>
    <cellStyle name="Normal 5 2 4 34" xfId="11410" xr:uid="{00000000-0005-0000-0000-000022320000}"/>
    <cellStyle name="Normal 5 2 4 34 2" xfId="11411" xr:uid="{00000000-0005-0000-0000-000023320000}"/>
    <cellStyle name="Normal 5 2 4 35" xfId="11412" xr:uid="{00000000-0005-0000-0000-000024320000}"/>
    <cellStyle name="Normal 5 2 4 35 2" xfId="11413" xr:uid="{00000000-0005-0000-0000-000025320000}"/>
    <cellStyle name="Normal 5 2 4 36" xfId="11414" xr:uid="{00000000-0005-0000-0000-000026320000}"/>
    <cellStyle name="Normal 5 2 4 36 2" xfId="11415" xr:uid="{00000000-0005-0000-0000-000027320000}"/>
    <cellStyle name="Normal 5 2 4 37" xfId="11416" xr:uid="{00000000-0005-0000-0000-000028320000}"/>
    <cellStyle name="Normal 5 2 4 37 2" xfId="11417" xr:uid="{00000000-0005-0000-0000-000029320000}"/>
    <cellStyle name="Normal 5 2 4 38" xfId="11418" xr:uid="{00000000-0005-0000-0000-00002A320000}"/>
    <cellStyle name="Normal 5 2 4 38 2" xfId="11419" xr:uid="{00000000-0005-0000-0000-00002B320000}"/>
    <cellStyle name="Normal 5 2 4 39" xfId="11420" xr:uid="{00000000-0005-0000-0000-00002C320000}"/>
    <cellStyle name="Normal 5 2 4 4" xfId="11421" xr:uid="{00000000-0005-0000-0000-00002D320000}"/>
    <cellStyle name="Normal 5 2 4 4 2" xfId="11422" xr:uid="{00000000-0005-0000-0000-00002E320000}"/>
    <cellStyle name="Normal 5 2 4 40" xfId="11423" xr:uid="{00000000-0005-0000-0000-00002F320000}"/>
    <cellStyle name="Normal 5 2 4 41" xfId="11424" xr:uid="{00000000-0005-0000-0000-000030320000}"/>
    <cellStyle name="Normal 5 2 4 42" xfId="11425" xr:uid="{00000000-0005-0000-0000-000031320000}"/>
    <cellStyle name="Normal 5 2 4 42 2" xfId="11426" xr:uid="{00000000-0005-0000-0000-000032320000}"/>
    <cellStyle name="Normal 5 2 4 43" xfId="11427" xr:uid="{00000000-0005-0000-0000-000033320000}"/>
    <cellStyle name="Normal 5 2 4 43 2" xfId="11428" xr:uid="{00000000-0005-0000-0000-000034320000}"/>
    <cellStyle name="Normal 5 2 4 44" xfId="11429" xr:uid="{00000000-0005-0000-0000-000035320000}"/>
    <cellStyle name="Normal 5 2 4 5" xfId="11430" xr:uid="{00000000-0005-0000-0000-000036320000}"/>
    <cellStyle name="Normal 5 2 4 6" xfId="11431" xr:uid="{00000000-0005-0000-0000-000037320000}"/>
    <cellStyle name="Normal 5 2 4 7" xfId="11432" xr:uid="{00000000-0005-0000-0000-000038320000}"/>
    <cellStyle name="Normal 5 2 4 8" xfId="11433" xr:uid="{00000000-0005-0000-0000-000039320000}"/>
    <cellStyle name="Normal 5 2 4 8 2" xfId="11434" xr:uid="{00000000-0005-0000-0000-00003A320000}"/>
    <cellStyle name="Normal 5 2 4 9" xfId="11435" xr:uid="{00000000-0005-0000-0000-00003B320000}"/>
    <cellStyle name="Normal 5 2 40" xfId="11436" xr:uid="{00000000-0005-0000-0000-00003C320000}"/>
    <cellStyle name="Normal 5 2 40 2" xfId="11437" xr:uid="{00000000-0005-0000-0000-00003D320000}"/>
    <cellStyle name="Normal 5 2 41" xfId="11438" xr:uid="{00000000-0005-0000-0000-00003E320000}"/>
    <cellStyle name="Normal 5 2 41 2" xfId="11439" xr:uid="{00000000-0005-0000-0000-00003F320000}"/>
    <cellStyle name="Normal 5 2 42" xfId="11440" xr:uid="{00000000-0005-0000-0000-000040320000}"/>
    <cellStyle name="Normal 5 2 42 2" xfId="11441" xr:uid="{00000000-0005-0000-0000-000041320000}"/>
    <cellStyle name="Normal 5 2 43" xfId="11442" xr:uid="{00000000-0005-0000-0000-000042320000}"/>
    <cellStyle name="Normal 5 2 43 2" xfId="11443" xr:uid="{00000000-0005-0000-0000-000043320000}"/>
    <cellStyle name="Normal 5 2 44" xfId="11444" xr:uid="{00000000-0005-0000-0000-000044320000}"/>
    <cellStyle name="Normal 5 2 44 2" xfId="11445" xr:uid="{00000000-0005-0000-0000-000045320000}"/>
    <cellStyle name="Normal 5 2 45" xfId="11446" xr:uid="{00000000-0005-0000-0000-000046320000}"/>
    <cellStyle name="Normal 5 2 46" xfId="11447" xr:uid="{00000000-0005-0000-0000-000047320000}"/>
    <cellStyle name="Normal 5 2 47" xfId="11448" xr:uid="{00000000-0005-0000-0000-000048320000}"/>
    <cellStyle name="Normal 5 2 47 2" xfId="11449" xr:uid="{00000000-0005-0000-0000-000049320000}"/>
    <cellStyle name="Normal 5 2 48" xfId="11450" xr:uid="{00000000-0005-0000-0000-00004A320000}"/>
    <cellStyle name="Normal 5 2 48 2" xfId="11451" xr:uid="{00000000-0005-0000-0000-00004B320000}"/>
    <cellStyle name="Normal 5 2 49" xfId="11452" xr:uid="{00000000-0005-0000-0000-00004C320000}"/>
    <cellStyle name="Normal 5 2 49 2" xfId="11453" xr:uid="{00000000-0005-0000-0000-00004D320000}"/>
    <cellStyle name="Normal 5 2 5" xfId="11454" xr:uid="{00000000-0005-0000-0000-00004E320000}"/>
    <cellStyle name="Normal 5 2 5 10" xfId="11455" xr:uid="{00000000-0005-0000-0000-00004F320000}"/>
    <cellStyle name="Normal 5 2 5 10 2" xfId="11456" xr:uid="{00000000-0005-0000-0000-000050320000}"/>
    <cellStyle name="Normal 5 2 5 11" xfId="11457" xr:uid="{00000000-0005-0000-0000-000051320000}"/>
    <cellStyle name="Normal 5 2 5 11 2" xfId="11458" xr:uid="{00000000-0005-0000-0000-000052320000}"/>
    <cellStyle name="Normal 5 2 5 12" xfId="11459" xr:uid="{00000000-0005-0000-0000-000053320000}"/>
    <cellStyle name="Normal 5 2 5 12 2" xfId="11460" xr:uid="{00000000-0005-0000-0000-000054320000}"/>
    <cellStyle name="Normal 5 2 5 13" xfId="11461" xr:uid="{00000000-0005-0000-0000-000055320000}"/>
    <cellStyle name="Normal 5 2 5 13 2" xfId="11462" xr:uid="{00000000-0005-0000-0000-000056320000}"/>
    <cellStyle name="Normal 5 2 5 14" xfId="11463" xr:uid="{00000000-0005-0000-0000-000057320000}"/>
    <cellStyle name="Normal 5 2 5 14 2" xfId="11464" xr:uid="{00000000-0005-0000-0000-000058320000}"/>
    <cellStyle name="Normal 5 2 5 15" xfId="11465" xr:uid="{00000000-0005-0000-0000-000059320000}"/>
    <cellStyle name="Normal 5 2 5 15 2" xfId="11466" xr:uid="{00000000-0005-0000-0000-00005A320000}"/>
    <cellStyle name="Normal 5 2 5 16" xfId="11467" xr:uid="{00000000-0005-0000-0000-00005B320000}"/>
    <cellStyle name="Normal 5 2 5 16 2" xfId="11468" xr:uid="{00000000-0005-0000-0000-00005C320000}"/>
    <cellStyle name="Normal 5 2 5 17" xfId="11469" xr:uid="{00000000-0005-0000-0000-00005D320000}"/>
    <cellStyle name="Normal 5 2 5 17 2" xfId="11470" xr:uid="{00000000-0005-0000-0000-00005E320000}"/>
    <cellStyle name="Normal 5 2 5 18" xfId="11471" xr:uid="{00000000-0005-0000-0000-00005F320000}"/>
    <cellStyle name="Normal 5 2 5 18 2" xfId="11472" xr:uid="{00000000-0005-0000-0000-000060320000}"/>
    <cellStyle name="Normal 5 2 5 19" xfId="11473" xr:uid="{00000000-0005-0000-0000-000061320000}"/>
    <cellStyle name="Normal 5 2 5 19 2" xfId="11474" xr:uid="{00000000-0005-0000-0000-000062320000}"/>
    <cellStyle name="Normal 5 2 5 2" xfId="11475" xr:uid="{00000000-0005-0000-0000-000063320000}"/>
    <cellStyle name="Normal 5 2 5 2 10" xfId="11476" xr:uid="{00000000-0005-0000-0000-000064320000}"/>
    <cellStyle name="Normal 5 2 5 2 11" xfId="11477" xr:uid="{00000000-0005-0000-0000-000065320000}"/>
    <cellStyle name="Normal 5 2 5 2 2" xfId="11478" xr:uid="{00000000-0005-0000-0000-000066320000}"/>
    <cellStyle name="Normal 5 2 5 2 3" xfId="11479" xr:uid="{00000000-0005-0000-0000-000067320000}"/>
    <cellStyle name="Normal 5 2 5 2 4" xfId="11480" xr:uid="{00000000-0005-0000-0000-000068320000}"/>
    <cellStyle name="Normal 5 2 5 2 5" xfId="11481" xr:uid="{00000000-0005-0000-0000-000069320000}"/>
    <cellStyle name="Normal 5 2 5 2 6" xfId="11482" xr:uid="{00000000-0005-0000-0000-00006A320000}"/>
    <cellStyle name="Normal 5 2 5 2 7" xfId="11483" xr:uid="{00000000-0005-0000-0000-00006B320000}"/>
    <cellStyle name="Normal 5 2 5 2 8" xfId="11484" xr:uid="{00000000-0005-0000-0000-00006C320000}"/>
    <cellStyle name="Normal 5 2 5 2 9" xfId="11485" xr:uid="{00000000-0005-0000-0000-00006D320000}"/>
    <cellStyle name="Normal 5 2 5 20" xfId="11486" xr:uid="{00000000-0005-0000-0000-00006E320000}"/>
    <cellStyle name="Normal 5 2 5 20 2" xfId="11487" xr:uid="{00000000-0005-0000-0000-00006F320000}"/>
    <cellStyle name="Normal 5 2 5 21" xfId="11488" xr:uid="{00000000-0005-0000-0000-000070320000}"/>
    <cellStyle name="Normal 5 2 5 21 2" xfId="11489" xr:uid="{00000000-0005-0000-0000-000071320000}"/>
    <cellStyle name="Normal 5 2 5 22" xfId="11490" xr:uid="{00000000-0005-0000-0000-000072320000}"/>
    <cellStyle name="Normal 5 2 5 22 2" xfId="11491" xr:uid="{00000000-0005-0000-0000-000073320000}"/>
    <cellStyle name="Normal 5 2 5 23" xfId="11492" xr:uid="{00000000-0005-0000-0000-000074320000}"/>
    <cellStyle name="Normal 5 2 5 23 2" xfId="11493" xr:uid="{00000000-0005-0000-0000-000075320000}"/>
    <cellStyle name="Normal 5 2 5 24" xfId="11494" xr:uid="{00000000-0005-0000-0000-000076320000}"/>
    <cellStyle name="Normal 5 2 5 24 2" xfId="11495" xr:uid="{00000000-0005-0000-0000-000077320000}"/>
    <cellStyle name="Normal 5 2 5 25" xfId="11496" xr:uid="{00000000-0005-0000-0000-000078320000}"/>
    <cellStyle name="Normal 5 2 5 25 2" xfId="11497" xr:uid="{00000000-0005-0000-0000-000079320000}"/>
    <cellStyle name="Normal 5 2 5 26" xfId="11498" xr:uid="{00000000-0005-0000-0000-00007A320000}"/>
    <cellStyle name="Normal 5 2 5 26 2" xfId="11499" xr:uid="{00000000-0005-0000-0000-00007B320000}"/>
    <cellStyle name="Normal 5 2 5 27" xfId="11500" xr:uid="{00000000-0005-0000-0000-00007C320000}"/>
    <cellStyle name="Normal 5 2 5 27 2" xfId="11501" xr:uid="{00000000-0005-0000-0000-00007D320000}"/>
    <cellStyle name="Normal 5 2 5 28" xfId="11502" xr:uid="{00000000-0005-0000-0000-00007E320000}"/>
    <cellStyle name="Normal 5 2 5 28 2" xfId="11503" xr:uid="{00000000-0005-0000-0000-00007F320000}"/>
    <cellStyle name="Normal 5 2 5 29" xfId="11504" xr:uid="{00000000-0005-0000-0000-000080320000}"/>
    <cellStyle name="Normal 5 2 5 29 2" xfId="11505" xr:uid="{00000000-0005-0000-0000-000081320000}"/>
    <cellStyle name="Normal 5 2 5 3" xfId="11506" xr:uid="{00000000-0005-0000-0000-000082320000}"/>
    <cellStyle name="Normal 5 2 5 30" xfId="11507" xr:uid="{00000000-0005-0000-0000-000083320000}"/>
    <cellStyle name="Normal 5 2 5 30 2" xfId="11508" xr:uid="{00000000-0005-0000-0000-000084320000}"/>
    <cellStyle name="Normal 5 2 5 31" xfId="11509" xr:uid="{00000000-0005-0000-0000-000085320000}"/>
    <cellStyle name="Normal 5 2 5 31 2" xfId="11510" xr:uid="{00000000-0005-0000-0000-000086320000}"/>
    <cellStyle name="Normal 5 2 5 32" xfId="11511" xr:uid="{00000000-0005-0000-0000-000087320000}"/>
    <cellStyle name="Normal 5 2 5 32 2" xfId="11512" xr:uid="{00000000-0005-0000-0000-000088320000}"/>
    <cellStyle name="Normal 5 2 5 33" xfId="11513" xr:uid="{00000000-0005-0000-0000-000089320000}"/>
    <cellStyle name="Normal 5 2 5 33 2" xfId="11514" xr:uid="{00000000-0005-0000-0000-00008A320000}"/>
    <cellStyle name="Normal 5 2 5 34" xfId="11515" xr:uid="{00000000-0005-0000-0000-00008B320000}"/>
    <cellStyle name="Normal 5 2 5 34 2" xfId="11516" xr:uid="{00000000-0005-0000-0000-00008C320000}"/>
    <cellStyle name="Normal 5 2 5 35" xfId="11517" xr:uid="{00000000-0005-0000-0000-00008D320000}"/>
    <cellStyle name="Normal 5 2 5 35 2" xfId="11518" xr:uid="{00000000-0005-0000-0000-00008E320000}"/>
    <cellStyle name="Normal 5 2 5 36" xfId="11519" xr:uid="{00000000-0005-0000-0000-00008F320000}"/>
    <cellStyle name="Normal 5 2 5 36 2" xfId="11520" xr:uid="{00000000-0005-0000-0000-000090320000}"/>
    <cellStyle name="Normal 5 2 5 37" xfId="11521" xr:uid="{00000000-0005-0000-0000-000091320000}"/>
    <cellStyle name="Normal 5 2 5 4" xfId="11522" xr:uid="{00000000-0005-0000-0000-000092320000}"/>
    <cellStyle name="Normal 5 2 5 5" xfId="11523" xr:uid="{00000000-0005-0000-0000-000093320000}"/>
    <cellStyle name="Normal 5 2 5 5 2" xfId="11524" xr:uid="{00000000-0005-0000-0000-000094320000}"/>
    <cellStyle name="Normal 5 2 5 6" xfId="11525" xr:uid="{00000000-0005-0000-0000-000095320000}"/>
    <cellStyle name="Normal 5 2 5 6 2" xfId="11526" xr:uid="{00000000-0005-0000-0000-000096320000}"/>
    <cellStyle name="Normal 5 2 5 7" xfId="11527" xr:uid="{00000000-0005-0000-0000-000097320000}"/>
    <cellStyle name="Normal 5 2 5 7 2" xfId="11528" xr:uid="{00000000-0005-0000-0000-000098320000}"/>
    <cellStyle name="Normal 5 2 5 8" xfId="11529" xr:uid="{00000000-0005-0000-0000-000099320000}"/>
    <cellStyle name="Normal 5 2 5 8 2" xfId="11530" xr:uid="{00000000-0005-0000-0000-00009A320000}"/>
    <cellStyle name="Normal 5 2 5 9" xfId="11531" xr:uid="{00000000-0005-0000-0000-00009B320000}"/>
    <cellStyle name="Normal 5 2 5 9 2" xfId="11532" xr:uid="{00000000-0005-0000-0000-00009C320000}"/>
    <cellStyle name="Normal 5 2 50" xfId="11533" xr:uid="{00000000-0005-0000-0000-00009D320000}"/>
    <cellStyle name="Normal 5 2 50 2" xfId="11534" xr:uid="{00000000-0005-0000-0000-00009E320000}"/>
    <cellStyle name="Normal 5 2 51" xfId="11535" xr:uid="{00000000-0005-0000-0000-00009F320000}"/>
    <cellStyle name="Normal 5 2 51 2" xfId="11536" xr:uid="{00000000-0005-0000-0000-0000A0320000}"/>
    <cellStyle name="Normal 5 2 52" xfId="11537" xr:uid="{00000000-0005-0000-0000-0000A1320000}"/>
    <cellStyle name="Normal 5 2 53" xfId="25874" xr:uid="{00000000-0005-0000-0000-0000A2320000}"/>
    <cellStyle name="Normal 5 2 6" xfId="11538" xr:uid="{00000000-0005-0000-0000-0000A3320000}"/>
    <cellStyle name="Normal 5 2 6 2" xfId="11539" xr:uid="{00000000-0005-0000-0000-0000A4320000}"/>
    <cellStyle name="Normal 5 2 6 3" xfId="11540" xr:uid="{00000000-0005-0000-0000-0000A5320000}"/>
    <cellStyle name="Normal 5 2 7" xfId="11541" xr:uid="{00000000-0005-0000-0000-0000A6320000}"/>
    <cellStyle name="Normal 5 2 7 2" xfId="11542" xr:uid="{00000000-0005-0000-0000-0000A7320000}"/>
    <cellStyle name="Normal 5 2 7 2 2" xfId="11543" xr:uid="{00000000-0005-0000-0000-0000A8320000}"/>
    <cellStyle name="Normal 5 2 7 3" xfId="11544" xr:uid="{00000000-0005-0000-0000-0000A9320000}"/>
    <cellStyle name="Normal 5 2 7 3 2" xfId="11545" xr:uid="{00000000-0005-0000-0000-0000AA320000}"/>
    <cellStyle name="Normal 5 2 7 4" xfId="11546" xr:uid="{00000000-0005-0000-0000-0000AB320000}"/>
    <cellStyle name="Normal 5 2 7 4 2" xfId="11547" xr:uid="{00000000-0005-0000-0000-0000AC320000}"/>
    <cellStyle name="Normal 5 2 7 5" xfId="11548" xr:uid="{00000000-0005-0000-0000-0000AD320000}"/>
    <cellStyle name="Normal 5 2 7 5 2" xfId="11549" xr:uid="{00000000-0005-0000-0000-0000AE320000}"/>
    <cellStyle name="Normal 5 2 7 6" xfId="11550" xr:uid="{00000000-0005-0000-0000-0000AF320000}"/>
    <cellStyle name="Normal 5 2 8" xfId="11551" xr:uid="{00000000-0005-0000-0000-0000B0320000}"/>
    <cellStyle name="Normal 5 2 8 2" xfId="11552" xr:uid="{00000000-0005-0000-0000-0000B1320000}"/>
    <cellStyle name="Normal 5 2 8 2 2" xfId="11553" xr:uid="{00000000-0005-0000-0000-0000B2320000}"/>
    <cellStyle name="Normal 5 2 8 3" xfId="11554" xr:uid="{00000000-0005-0000-0000-0000B3320000}"/>
    <cellStyle name="Normal 5 2 8 3 2" xfId="11555" xr:uid="{00000000-0005-0000-0000-0000B4320000}"/>
    <cellStyle name="Normal 5 2 8 4" xfId="11556" xr:uid="{00000000-0005-0000-0000-0000B5320000}"/>
    <cellStyle name="Normal 5 2 8 4 2" xfId="11557" xr:uid="{00000000-0005-0000-0000-0000B6320000}"/>
    <cellStyle name="Normal 5 2 8 5" xfId="11558" xr:uid="{00000000-0005-0000-0000-0000B7320000}"/>
    <cellStyle name="Normal 5 2 8 5 2" xfId="11559" xr:uid="{00000000-0005-0000-0000-0000B8320000}"/>
    <cellStyle name="Normal 5 2 8 6" xfId="11560" xr:uid="{00000000-0005-0000-0000-0000B9320000}"/>
    <cellStyle name="Normal 5 2 9" xfId="11561" xr:uid="{00000000-0005-0000-0000-0000BA320000}"/>
    <cellStyle name="Normal 5 2 9 2" xfId="11562" xr:uid="{00000000-0005-0000-0000-0000BB320000}"/>
    <cellStyle name="Normal 5 2 9 3" xfId="11563" xr:uid="{00000000-0005-0000-0000-0000BC320000}"/>
    <cellStyle name="Normal 5 20" xfId="11564" xr:uid="{00000000-0005-0000-0000-0000BD320000}"/>
    <cellStyle name="Normal 5 20 2" xfId="11565" xr:uid="{00000000-0005-0000-0000-0000BE320000}"/>
    <cellStyle name="Normal 5 20 3" xfId="11566" xr:uid="{00000000-0005-0000-0000-0000BF320000}"/>
    <cellStyle name="Normal 5 21" xfId="11567" xr:uid="{00000000-0005-0000-0000-0000C0320000}"/>
    <cellStyle name="Normal 5 21 2" xfId="11568" xr:uid="{00000000-0005-0000-0000-0000C1320000}"/>
    <cellStyle name="Normal 5 21 3" xfId="11569" xr:uid="{00000000-0005-0000-0000-0000C2320000}"/>
    <cellStyle name="Normal 5 22" xfId="11570" xr:uid="{00000000-0005-0000-0000-0000C3320000}"/>
    <cellStyle name="Normal 5 22 2" xfId="11571" xr:uid="{00000000-0005-0000-0000-0000C4320000}"/>
    <cellStyle name="Normal 5 22 3" xfId="11572" xr:uid="{00000000-0005-0000-0000-0000C5320000}"/>
    <cellStyle name="Normal 5 23" xfId="11573" xr:uid="{00000000-0005-0000-0000-0000C6320000}"/>
    <cellStyle name="Normal 5 23 2" xfId="11574" xr:uid="{00000000-0005-0000-0000-0000C7320000}"/>
    <cellStyle name="Normal 5 23 3" xfId="11575" xr:uid="{00000000-0005-0000-0000-0000C8320000}"/>
    <cellStyle name="Normal 5 24" xfId="11576" xr:uid="{00000000-0005-0000-0000-0000C9320000}"/>
    <cellStyle name="Normal 5 24 2" xfId="11577" xr:uid="{00000000-0005-0000-0000-0000CA320000}"/>
    <cellStyle name="Normal 5 24 3" xfId="11578" xr:uid="{00000000-0005-0000-0000-0000CB320000}"/>
    <cellStyle name="Normal 5 25" xfId="11579" xr:uid="{00000000-0005-0000-0000-0000CC320000}"/>
    <cellStyle name="Normal 5 26" xfId="11580" xr:uid="{00000000-0005-0000-0000-0000CD320000}"/>
    <cellStyle name="Normal 5 27" xfId="11581" xr:uid="{00000000-0005-0000-0000-0000CE320000}"/>
    <cellStyle name="Normal 5 28" xfId="11582" xr:uid="{00000000-0005-0000-0000-0000CF320000}"/>
    <cellStyle name="Normal 5 29" xfId="11583" xr:uid="{00000000-0005-0000-0000-0000D0320000}"/>
    <cellStyle name="Normal 5 3" xfId="351" xr:uid="{00000000-0005-0000-0000-0000D1320000}"/>
    <cellStyle name="Normal 5 3 10" xfId="11585" xr:uid="{00000000-0005-0000-0000-0000D2320000}"/>
    <cellStyle name="Normal 5 3 10 2" xfId="11586" xr:uid="{00000000-0005-0000-0000-0000D3320000}"/>
    <cellStyle name="Normal 5 3 11" xfId="11587" xr:uid="{00000000-0005-0000-0000-0000D4320000}"/>
    <cellStyle name="Normal 5 3 11 2" xfId="11588" xr:uid="{00000000-0005-0000-0000-0000D5320000}"/>
    <cellStyle name="Normal 5 3 12" xfId="11589" xr:uid="{00000000-0005-0000-0000-0000D6320000}"/>
    <cellStyle name="Normal 5 3 12 2" xfId="11590" xr:uid="{00000000-0005-0000-0000-0000D7320000}"/>
    <cellStyle name="Normal 5 3 13" xfId="11591" xr:uid="{00000000-0005-0000-0000-0000D8320000}"/>
    <cellStyle name="Normal 5 3 13 2" xfId="11592" xr:uid="{00000000-0005-0000-0000-0000D9320000}"/>
    <cellStyle name="Normal 5 3 14" xfId="11593" xr:uid="{00000000-0005-0000-0000-0000DA320000}"/>
    <cellStyle name="Normal 5 3 14 2" xfId="11594" xr:uid="{00000000-0005-0000-0000-0000DB320000}"/>
    <cellStyle name="Normal 5 3 15" xfId="11595" xr:uid="{00000000-0005-0000-0000-0000DC320000}"/>
    <cellStyle name="Normal 5 3 15 2" xfId="11596" xr:uid="{00000000-0005-0000-0000-0000DD320000}"/>
    <cellStyle name="Normal 5 3 16" xfId="11597" xr:uid="{00000000-0005-0000-0000-0000DE320000}"/>
    <cellStyle name="Normal 5 3 16 2" xfId="11598" xr:uid="{00000000-0005-0000-0000-0000DF320000}"/>
    <cellStyle name="Normal 5 3 17" xfId="11599" xr:uid="{00000000-0005-0000-0000-0000E0320000}"/>
    <cellStyle name="Normal 5 3 17 2" xfId="11600" xr:uid="{00000000-0005-0000-0000-0000E1320000}"/>
    <cellStyle name="Normal 5 3 18" xfId="11601" xr:uid="{00000000-0005-0000-0000-0000E2320000}"/>
    <cellStyle name="Normal 5 3 18 2" xfId="11602" xr:uid="{00000000-0005-0000-0000-0000E3320000}"/>
    <cellStyle name="Normal 5 3 19" xfId="11603" xr:uid="{00000000-0005-0000-0000-0000E4320000}"/>
    <cellStyle name="Normal 5 3 19 2" xfId="11604" xr:uid="{00000000-0005-0000-0000-0000E5320000}"/>
    <cellStyle name="Normal 5 3 2" xfId="352" xr:uid="{00000000-0005-0000-0000-0000E6320000}"/>
    <cellStyle name="Normal 5 3 2 10" xfId="11606" xr:uid="{00000000-0005-0000-0000-0000E7320000}"/>
    <cellStyle name="Normal 5 3 2 10 2" xfId="11607" xr:uid="{00000000-0005-0000-0000-0000E8320000}"/>
    <cellStyle name="Normal 5 3 2 11" xfId="11608" xr:uid="{00000000-0005-0000-0000-0000E9320000}"/>
    <cellStyle name="Normal 5 3 2 11 2" xfId="11609" xr:uid="{00000000-0005-0000-0000-0000EA320000}"/>
    <cellStyle name="Normal 5 3 2 12" xfId="11610" xr:uid="{00000000-0005-0000-0000-0000EB320000}"/>
    <cellStyle name="Normal 5 3 2 12 2" xfId="11611" xr:uid="{00000000-0005-0000-0000-0000EC320000}"/>
    <cellStyle name="Normal 5 3 2 13" xfId="11612" xr:uid="{00000000-0005-0000-0000-0000ED320000}"/>
    <cellStyle name="Normal 5 3 2 13 2" xfId="11613" xr:uid="{00000000-0005-0000-0000-0000EE320000}"/>
    <cellStyle name="Normal 5 3 2 14" xfId="11614" xr:uid="{00000000-0005-0000-0000-0000EF320000}"/>
    <cellStyle name="Normal 5 3 2 14 2" xfId="11615" xr:uid="{00000000-0005-0000-0000-0000F0320000}"/>
    <cellStyle name="Normal 5 3 2 15" xfId="11616" xr:uid="{00000000-0005-0000-0000-0000F1320000}"/>
    <cellStyle name="Normal 5 3 2 15 2" xfId="11617" xr:uid="{00000000-0005-0000-0000-0000F2320000}"/>
    <cellStyle name="Normal 5 3 2 16" xfId="11618" xr:uid="{00000000-0005-0000-0000-0000F3320000}"/>
    <cellStyle name="Normal 5 3 2 16 2" xfId="11619" xr:uid="{00000000-0005-0000-0000-0000F4320000}"/>
    <cellStyle name="Normal 5 3 2 17" xfId="11620" xr:uid="{00000000-0005-0000-0000-0000F5320000}"/>
    <cellStyle name="Normal 5 3 2 17 2" xfId="11621" xr:uid="{00000000-0005-0000-0000-0000F6320000}"/>
    <cellStyle name="Normal 5 3 2 18" xfId="11622" xr:uid="{00000000-0005-0000-0000-0000F7320000}"/>
    <cellStyle name="Normal 5 3 2 18 2" xfId="11623" xr:uid="{00000000-0005-0000-0000-0000F8320000}"/>
    <cellStyle name="Normal 5 3 2 19" xfId="11624" xr:uid="{00000000-0005-0000-0000-0000F9320000}"/>
    <cellStyle name="Normal 5 3 2 19 2" xfId="11625" xr:uid="{00000000-0005-0000-0000-0000FA320000}"/>
    <cellStyle name="Normal 5 3 2 2" xfId="353" xr:uid="{00000000-0005-0000-0000-0000FB320000}"/>
    <cellStyle name="Normal 5 3 2 2 10" xfId="11626" xr:uid="{00000000-0005-0000-0000-0000FC320000}"/>
    <cellStyle name="Normal 5 3 2 2 10 2" xfId="11627" xr:uid="{00000000-0005-0000-0000-0000FD320000}"/>
    <cellStyle name="Normal 5 3 2 2 11" xfId="11628" xr:uid="{00000000-0005-0000-0000-0000FE320000}"/>
    <cellStyle name="Normal 5 3 2 2 11 2" xfId="11629" xr:uid="{00000000-0005-0000-0000-0000FF320000}"/>
    <cellStyle name="Normal 5 3 2 2 12" xfId="11630" xr:uid="{00000000-0005-0000-0000-000000330000}"/>
    <cellStyle name="Normal 5 3 2 2 12 2" xfId="11631" xr:uid="{00000000-0005-0000-0000-000001330000}"/>
    <cellStyle name="Normal 5 3 2 2 13" xfId="11632" xr:uid="{00000000-0005-0000-0000-000002330000}"/>
    <cellStyle name="Normal 5 3 2 2 13 2" xfId="11633" xr:uid="{00000000-0005-0000-0000-000003330000}"/>
    <cellStyle name="Normal 5 3 2 2 14" xfId="11634" xr:uid="{00000000-0005-0000-0000-000004330000}"/>
    <cellStyle name="Normal 5 3 2 2 14 2" xfId="11635" xr:uid="{00000000-0005-0000-0000-000005330000}"/>
    <cellStyle name="Normal 5 3 2 2 15" xfId="11636" xr:uid="{00000000-0005-0000-0000-000006330000}"/>
    <cellStyle name="Normal 5 3 2 2 15 2" xfId="11637" xr:uid="{00000000-0005-0000-0000-000007330000}"/>
    <cellStyle name="Normal 5 3 2 2 16" xfId="11638" xr:uid="{00000000-0005-0000-0000-000008330000}"/>
    <cellStyle name="Normal 5 3 2 2 16 2" xfId="11639" xr:uid="{00000000-0005-0000-0000-000009330000}"/>
    <cellStyle name="Normal 5 3 2 2 17" xfId="11640" xr:uid="{00000000-0005-0000-0000-00000A330000}"/>
    <cellStyle name="Normal 5 3 2 2 17 2" xfId="11641" xr:uid="{00000000-0005-0000-0000-00000B330000}"/>
    <cellStyle name="Normal 5 3 2 2 18" xfId="11642" xr:uid="{00000000-0005-0000-0000-00000C330000}"/>
    <cellStyle name="Normal 5 3 2 2 18 2" xfId="11643" xr:uid="{00000000-0005-0000-0000-00000D330000}"/>
    <cellStyle name="Normal 5 3 2 2 19" xfId="11644" xr:uid="{00000000-0005-0000-0000-00000E330000}"/>
    <cellStyle name="Normal 5 3 2 2 19 2" xfId="11645" xr:uid="{00000000-0005-0000-0000-00000F330000}"/>
    <cellStyle name="Normal 5 3 2 2 2" xfId="11646" xr:uid="{00000000-0005-0000-0000-000010330000}"/>
    <cellStyle name="Normal 5 3 2 2 2 2" xfId="11647" xr:uid="{00000000-0005-0000-0000-000011330000}"/>
    <cellStyle name="Normal 5 3 2 2 2 3" xfId="11648" xr:uid="{00000000-0005-0000-0000-000012330000}"/>
    <cellStyle name="Normal 5 3 2 2 20" xfId="11649" xr:uid="{00000000-0005-0000-0000-000013330000}"/>
    <cellStyle name="Normal 5 3 2 2 20 2" xfId="11650" xr:uid="{00000000-0005-0000-0000-000014330000}"/>
    <cellStyle name="Normal 5 3 2 2 21" xfId="11651" xr:uid="{00000000-0005-0000-0000-000015330000}"/>
    <cellStyle name="Normal 5 3 2 2 21 2" xfId="11652" xr:uid="{00000000-0005-0000-0000-000016330000}"/>
    <cellStyle name="Normal 5 3 2 2 22" xfId="11653" xr:uid="{00000000-0005-0000-0000-000017330000}"/>
    <cellStyle name="Normal 5 3 2 2 22 2" xfId="11654" xr:uid="{00000000-0005-0000-0000-000018330000}"/>
    <cellStyle name="Normal 5 3 2 2 23" xfId="11655" xr:uid="{00000000-0005-0000-0000-000019330000}"/>
    <cellStyle name="Normal 5 3 2 2 23 2" xfId="11656" xr:uid="{00000000-0005-0000-0000-00001A330000}"/>
    <cellStyle name="Normal 5 3 2 2 24" xfId="11657" xr:uid="{00000000-0005-0000-0000-00001B330000}"/>
    <cellStyle name="Normal 5 3 2 2 24 2" xfId="11658" xr:uid="{00000000-0005-0000-0000-00001C330000}"/>
    <cellStyle name="Normal 5 3 2 2 25" xfId="11659" xr:uid="{00000000-0005-0000-0000-00001D330000}"/>
    <cellStyle name="Normal 5 3 2 2 25 2" xfId="11660" xr:uid="{00000000-0005-0000-0000-00001E330000}"/>
    <cellStyle name="Normal 5 3 2 2 26" xfId="11661" xr:uid="{00000000-0005-0000-0000-00001F330000}"/>
    <cellStyle name="Normal 5 3 2 2 26 2" xfId="11662" xr:uid="{00000000-0005-0000-0000-000020330000}"/>
    <cellStyle name="Normal 5 3 2 2 27" xfId="11663" xr:uid="{00000000-0005-0000-0000-000021330000}"/>
    <cellStyle name="Normal 5 3 2 2 27 2" xfId="11664" xr:uid="{00000000-0005-0000-0000-000022330000}"/>
    <cellStyle name="Normal 5 3 2 2 28" xfId="11665" xr:uid="{00000000-0005-0000-0000-000023330000}"/>
    <cellStyle name="Normal 5 3 2 2 28 2" xfId="11666" xr:uid="{00000000-0005-0000-0000-000024330000}"/>
    <cellStyle name="Normal 5 3 2 2 29" xfId="11667" xr:uid="{00000000-0005-0000-0000-000025330000}"/>
    <cellStyle name="Normal 5 3 2 2 29 2" xfId="11668" xr:uid="{00000000-0005-0000-0000-000026330000}"/>
    <cellStyle name="Normal 5 3 2 2 3" xfId="11669" xr:uid="{00000000-0005-0000-0000-000027330000}"/>
    <cellStyle name="Normal 5 3 2 2 3 2" xfId="11670" xr:uid="{00000000-0005-0000-0000-000028330000}"/>
    <cellStyle name="Normal 5 3 2 2 30" xfId="11671" xr:uid="{00000000-0005-0000-0000-000029330000}"/>
    <cellStyle name="Normal 5 3 2 2 30 2" xfId="11672" xr:uid="{00000000-0005-0000-0000-00002A330000}"/>
    <cellStyle name="Normal 5 3 2 2 31" xfId="11673" xr:uid="{00000000-0005-0000-0000-00002B330000}"/>
    <cellStyle name="Normal 5 3 2 2 31 2" xfId="11674" xr:uid="{00000000-0005-0000-0000-00002C330000}"/>
    <cellStyle name="Normal 5 3 2 2 32" xfId="11675" xr:uid="{00000000-0005-0000-0000-00002D330000}"/>
    <cellStyle name="Normal 5 3 2 2 32 2" xfId="11676" xr:uid="{00000000-0005-0000-0000-00002E330000}"/>
    <cellStyle name="Normal 5 3 2 2 33" xfId="11677" xr:uid="{00000000-0005-0000-0000-00002F330000}"/>
    <cellStyle name="Normal 5 3 2 2 33 2" xfId="11678" xr:uid="{00000000-0005-0000-0000-000030330000}"/>
    <cellStyle name="Normal 5 3 2 2 34" xfId="11679" xr:uid="{00000000-0005-0000-0000-000031330000}"/>
    <cellStyle name="Normal 5 3 2 2 34 2" xfId="11680" xr:uid="{00000000-0005-0000-0000-000032330000}"/>
    <cellStyle name="Normal 5 3 2 2 35" xfId="11681" xr:uid="{00000000-0005-0000-0000-000033330000}"/>
    <cellStyle name="Normal 5 3 2 2 4" xfId="11682" xr:uid="{00000000-0005-0000-0000-000034330000}"/>
    <cellStyle name="Normal 5 3 2 2 4 2" xfId="11683" xr:uid="{00000000-0005-0000-0000-000035330000}"/>
    <cellStyle name="Normal 5 3 2 2 5" xfId="11684" xr:uid="{00000000-0005-0000-0000-000036330000}"/>
    <cellStyle name="Normal 5 3 2 2 5 2" xfId="11685" xr:uid="{00000000-0005-0000-0000-000037330000}"/>
    <cellStyle name="Normal 5 3 2 2 6" xfId="11686" xr:uid="{00000000-0005-0000-0000-000038330000}"/>
    <cellStyle name="Normal 5 3 2 2 6 2" xfId="11687" xr:uid="{00000000-0005-0000-0000-000039330000}"/>
    <cellStyle name="Normal 5 3 2 2 7" xfId="11688" xr:uid="{00000000-0005-0000-0000-00003A330000}"/>
    <cellStyle name="Normal 5 3 2 2 7 2" xfId="11689" xr:uid="{00000000-0005-0000-0000-00003B330000}"/>
    <cellStyle name="Normal 5 3 2 2 8" xfId="11690" xr:uid="{00000000-0005-0000-0000-00003C330000}"/>
    <cellStyle name="Normal 5 3 2 2 8 2" xfId="11691" xr:uid="{00000000-0005-0000-0000-00003D330000}"/>
    <cellStyle name="Normal 5 3 2 2 9" xfId="11692" xr:uid="{00000000-0005-0000-0000-00003E330000}"/>
    <cellStyle name="Normal 5 3 2 2 9 2" xfId="11693" xr:uid="{00000000-0005-0000-0000-00003F330000}"/>
    <cellStyle name="Normal 5 3 2 20" xfId="11694" xr:uid="{00000000-0005-0000-0000-000040330000}"/>
    <cellStyle name="Normal 5 3 2 20 2" xfId="11695" xr:uid="{00000000-0005-0000-0000-000041330000}"/>
    <cellStyle name="Normal 5 3 2 21" xfId="11696" xr:uid="{00000000-0005-0000-0000-000042330000}"/>
    <cellStyle name="Normal 5 3 2 21 2" xfId="11697" xr:uid="{00000000-0005-0000-0000-000043330000}"/>
    <cellStyle name="Normal 5 3 2 22" xfId="11698" xr:uid="{00000000-0005-0000-0000-000044330000}"/>
    <cellStyle name="Normal 5 3 2 22 2" xfId="11699" xr:uid="{00000000-0005-0000-0000-000045330000}"/>
    <cellStyle name="Normal 5 3 2 23" xfId="11700" xr:uid="{00000000-0005-0000-0000-000046330000}"/>
    <cellStyle name="Normal 5 3 2 23 2" xfId="11701" xr:uid="{00000000-0005-0000-0000-000047330000}"/>
    <cellStyle name="Normal 5 3 2 24" xfId="11702" xr:uid="{00000000-0005-0000-0000-000048330000}"/>
    <cellStyle name="Normal 5 3 2 24 2" xfId="11703" xr:uid="{00000000-0005-0000-0000-000049330000}"/>
    <cellStyle name="Normal 5 3 2 25" xfId="11704" xr:uid="{00000000-0005-0000-0000-00004A330000}"/>
    <cellStyle name="Normal 5 3 2 25 2" xfId="11705" xr:uid="{00000000-0005-0000-0000-00004B330000}"/>
    <cellStyle name="Normal 5 3 2 26" xfId="11706" xr:uid="{00000000-0005-0000-0000-00004C330000}"/>
    <cellStyle name="Normal 5 3 2 26 2" xfId="11707" xr:uid="{00000000-0005-0000-0000-00004D330000}"/>
    <cellStyle name="Normal 5 3 2 27" xfId="11708" xr:uid="{00000000-0005-0000-0000-00004E330000}"/>
    <cellStyle name="Normal 5 3 2 27 2" xfId="11709" xr:uid="{00000000-0005-0000-0000-00004F330000}"/>
    <cellStyle name="Normal 5 3 2 28" xfId="11710" xr:uid="{00000000-0005-0000-0000-000050330000}"/>
    <cellStyle name="Normal 5 3 2 28 2" xfId="11711" xr:uid="{00000000-0005-0000-0000-000051330000}"/>
    <cellStyle name="Normal 5 3 2 29" xfId="11712" xr:uid="{00000000-0005-0000-0000-000052330000}"/>
    <cellStyle name="Normal 5 3 2 29 2" xfId="11713" xr:uid="{00000000-0005-0000-0000-000053330000}"/>
    <cellStyle name="Normal 5 3 2 3" xfId="11714" xr:uid="{00000000-0005-0000-0000-000054330000}"/>
    <cellStyle name="Normal 5 3 2 3 10" xfId="11715" xr:uid="{00000000-0005-0000-0000-000055330000}"/>
    <cellStyle name="Normal 5 3 2 3 10 2" xfId="11716" xr:uid="{00000000-0005-0000-0000-000056330000}"/>
    <cellStyle name="Normal 5 3 2 3 11" xfId="11717" xr:uid="{00000000-0005-0000-0000-000057330000}"/>
    <cellStyle name="Normal 5 3 2 3 11 2" xfId="11718" xr:uid="{00000000-0005-0000-0000-000058330000}"/>
    <cellStyle name="Normal 5 3 2 3 12" xfId="11719" xr:uid="{00000000-0005-0000-0000-000059330000}"/>
    <cellStyle name="Normal 5 3 2 3 12 2" xfId="11720" xr:uid="{00000000-0005-0000-0000-00005A330000}"/>
    <cellStyle name="Normal 5 3 2 3 13" xfId="11721" xr:uid="{00000000-0005-0000-0000-00005B330000}"/>
    <cellStyle name="Normal 5 3 2 3 13 2" xfId="11722" xr:uid="{00000000-0005-0000-0000-00005C330000}"/>
    <cellStyle name="Normal 5 3 2 3 14" xfId="11723" xr:uid="{00000000-0005-0000-0000-00005D330000}"/>
    <cellStyle name="Normal 5 3 2 3 14 2" xfId="11724" xr:uid="{00000000-0005-0000-0000-00005E330000}"/>
    <cellStyle name="Normal 5 3 2 3 15" xfId="11725" xr:uid="{00000000-0005-0000-0000-00005F330000}"/>
    <cellStyle name="Normal 5 3 2 3 15 2" xfId="11726" xr:uid="{00000000-0005-0000-0000-000060330000}"/>
    <cellStyle name="Normal 5 3 2 3 16" xfId="11727" xr:uid="{00000000-0005-0000-0000-000061330000}"/>
    <cellStyle name="Normal 5 3 2 3 16 2" xfId="11728" xr:uid="{00000000-0005-0000-0000-000062330000}"/>
    <cellStyle name="Normal 5 3 2 3 17" xfId="11729" xr:uid="{00000000-0005-0000-0000-000063330000}"/>
    <cellStyle name="Normal 5 3 2 3 17 2" xfId="11730" xr:uid="{00000000-0005-0000-0000-000064330000}"/>
    <cellStyle name="Normal 5 3 2 3 18" xfId="11731" xr:uid="{00000000-0005-0000-0000-000065330000}"/>
    <cellStyle name="Normal 5 3 2 3 18 2" xfId="11732" xr:uid="{00000000-0005-0000-0000-000066330000}"/>
    <cellStyle name="Normal 5 3 2 3 19" xfId="11733" xr:uid="{00000000-0005-0000-0000-000067330000}"/>
    <cellStyle name="Normal 5 3 2 3 19 2" xfId="11734" xr:uid="{00000000-0005-0000-0000-000068330000}"/>
    <cellStyle name="Normal 5 3 2 3 2" xfId="11735" xr:uid="{00000000-0005-0000-0000-000069330000}"/>
    <cellStyle name="Normal 5 3 2 3 2 2" xfId="11736" xr:uid="{00000000-0005-0000-0000-00006A330000}"/>
    <cellStyle name="Normal 5 3 2 3 20" xfId="11737" xr:uid="{00000000-0005-0000-0000-00006B330000}"/>
    <cellStyle name="Normal 5 3 2 3 20 2" xfId="11738" xr:uid="{00000000-0005-0000-0000-00006C330000}"/>
    <cellStyle name="Normal 5 3 2 3 21" xfId="11739" xr:uid="{00000000-0005-0000-0000-00006D330000}"/>
    <cellStyle name="Normal 5 3 2 3 21 2" xfId="11740" xr:uid="{00000000-0005-0000-0000-00006E330000}"/>
    <cellStyle name="Normal 5 3 2 3 22" xfId="11741" xr:uid="{00000000-0005-0000-0000-00006F330000}"/>
    <cellStyle name="Normal 5 3 2 3 22 2" xfId="11742" xr:uid="{00000000-0005-0000-0000-000070330000}"/>
    <cellStyle name="Normal 5 3 2 3 23" xfId="11743" xr:uid="{00000000-0005-0000-0000-000071330000}"/>
    <cellStyle name="Normal 5 3 2 3 23 2" xfId="11744" xr:uid="{00000000-0005-0000-0000-000072330000}"/>
    <cellStyle name="Normal 5 3 2 3 24" xfId="11745" xr:uid="{00000000-0005-0000-0000-000073330000}"/>
    <cellStyle name="Normal 5 3 2 3 24 2" xfId="11746" xr:uid="{00000000-0005-0000-0000-000074330000}"/>
    <cellStyle name="Normal 5 3 2 3 25" xfId="11747" xr:uid="{00000000-0005-0000-0000-000075330000}"/>
    <cellStyle name="Normal 5 3 2 3 25 2" xfId="11748" xr:uid="{00000000-0005-0000-0000-000076330000}"/>
    <cellStyle name="Normal 5 3 2 3 26" xfId="11749" xr:uid="{00000000-0005-0000-0000-000077330000}"/>
    <cellStyle name="Normal 5 3 2 3 26 2" xfId="11750" xr:uid="{00000000-0005-0000-0000-000078330000}"/>
    <cellStyle name="Normal 5 3 2 3 27" xfId="11751" xr:uid="{00000000-0005-0000-0000-000079330000}"/>
    <cellStyle name="Normal 5 3 2 3 27 2" xfId="11752" xr:uid="{00000000-0005-0000-0000-00007A330000}"/>
    <cellStyle name="Normal 5 3 2 3 28" xfId="11753" xr:uid="{00000000-0005-0000-0000-00007B330000}"/>
    <cellStyle name="Normal 5 3 2 3 28 2" xfId="11754" xr:uid="{00000000-0005-0000-0000-00007C330000}"/>
    <cellStyle name="Normal 5 3 2 3 29" xfId="11755" xr:uid="{00000000-0005-0000-0000-00007D330000}"/>
    <cellStyle name="Normal 5 3 2 3 29 2" xfId="11756" xr:uid="{00000000-0005-0000-0000-00007E330000}"/>
    <cellStyle name="Normal 5 3 2 3 3" xfId="11757" xr:uid="{00000000-0005-0000-0000-00007F330000}"/>
    <cellStyle name="Normal 5 3 2 3 3 2" xfId="11758" xr:uid="{00000000-0005-0000-0000-000080330000}"/>
    <cellStyle name="Normal 5 3 2 3 30" xfId="11759" xr:uid="{00000000-0005-0000-0000-000081330000}"/>
    <cellStyle name="Normal 5 3 2 3 30 2" xfId="11760" xr:uid="{00000000-0005-0000-0000-000082330000}"/>
    <cellStyle name="Normal 5 3 2 3 31" xfId="11761" xr:uid="{00000000-0005-0000-0000-000083330000}"/>
    <cellStyle name="Normal 5 3 2 3 31 2" xfId="11762" xr:uid="{00000000-0005-0000-0000-000084330000}"/>
    <cellStyle name="Normal 5 3 2 3 32" xfId="11763" xr:uid="{00000000-0005-0000-0000-000085330000}"/>
    <cellStyle name="Normal 5 3 2 3 32 2" xfId="11764" xr:uid="{00000000-0005-0000-0000-000086330000}"/>
    <cellStyle name="Normal 5 3 2 3 33" xfId="11765" xr:uid="{00000000-0005-0000-0000-000087330000}"/>
    <cellStyle name="Normal 5 3 2 3 33 2" xfId="11766" xr:uid="{00000000-0005-0000-0000-000088330000}"/>
    <cellStyle name="Normal 5 3 2 3 34" xfId="11767" xr:uid="{00000000-0005-0000-0000-000089330000}"/>
    <cellStyle name="Normal 5 3 2 3 34 2" xfId="11768" xr:uid="{00000000-0005-0000-0000-00008A330000}"/>
    <cellStyle name="Normal 5 3 2 3 35" xfId="11769" xr:uid="{00000000-0005-0000-0000-00008B330000}"/>
    <cellStyle name="Normal 5 3 2 3 4" xfId="11770" xr:uid="{00000000-0005-0000-0000-00008C330000}"/>
    <cellStyle name="Normal 5 3 2 3 4 2" xfId="11771" xr:uid="{00000000-0005-0000-0000-00008D330000}"/>
    <cellStyle name="Normal 5 3 2 3 5" xfId="11772" xr:uid="{00000000-0005-0000-0000-00008E330000}"/>
    <cellStyle name="Normal 5 3 2 3 5 2" xfId="11773" xr:uid="{00000000-0005-0000-0000-00008F330000}"/>
    <cellStyle name="Normal 5 3 2 3 6" xfId="11774" xr:uid="{00000000-0005-0000-0000-000090330000}"/>
    <cellStyle name="Normal 5 3 2 3 6 2" xfId="11775" xr:uid="{00000000-0005-0000-0000-000091330000}"/>
    <cellStyle name="Normal 5 3 2 3 7" xfId="11776" xr:uid="{00000000-0005-0000-0000-000092330000}"/>
    <cellStyle name="Normal 5 3 2 3 7 2" xfId="11777" xr:uid="{00000000-0005-0000-0000-000093330000}"/>
    <cellStyle name="Normal 5 3 2 3 8" xfId="11778" xr:uid="{00000000-0005-0000-0000-000094330000}"/>
    <cellStyle name="Normal 5 3 2 3 8 2" xfId="11779" xr:uid="{00000000-0005-0000-0000-000095330000}"/>
    <cellStyle name="Normal 5 3 2 3 9" xfId="11780" xr:uid="{00000000-0005-0000-0000-000096330000}"/>
    <cellStyle name="Normal 5 3 2 3 9 2" xfId="11781" xr:uid="{00000000-0005-0000-0000-000097330000}"/>
    <cellStyle name="Normal 5 3 2 30" xfId="11782" xr:uid="{00000000-0005-0000-0000-000098330000}"/>
    <cellStyle name="Normal 5 3 2 30 2" xfId="11783" xr:uid="{00000000-0005-0000-0000-000099330000}"/>
    <cellStyle name="Normal 5 3 2 31" xfId="11784" xr:uid="{00000000-0005-0000-0000-00009A330000}"/>
    <cellStyle name="Normal 5 3 2 31 2" xfId="11785" xr:uid="{00000000-0005-0000-0000-00009B330000}"/>
    <cellStyle name="Normal 5 3 2 32" xfId="11786" xr:uid="{00000000-0005-0000-0000-00009C330000}"/>
    <cellStyle name="Normal 5 3 2 32 2" xfId="11787" xr:uid="{00000000-0005-0000-0000-00009D330000}"/>
    <cellStyle name="Normal 5 3 2 33" xfId="11788" xr:uid="{00000000-0005-0000-0000-00009E330000}"/>
    <cellStyle name="Normal 5 3 2 33 2" xfId="11789" xr:uid="{00000000-0005-0000-0000-00009F330000}"/>
    <cellStyle name="Normal 5 3 2 34" xfId="11790" xr:uid="{00000000-0005-0000-0000-0000A0330000}"/>
    <cellStyle name="Normal 5 3 2 34 2" xfId="11791" xr:uid="{00000000-0005-0000-0000-0000A1330000}"/>
    <cellStyle name="Normal 5 3 2 35" xfId="11792" xr:uid="{00000000-0005-0000-0000-0000A2330000}"/>
    <cellStyle name="Normal 5 3 2 35 2" xfId="11793" xr:uid="{00000000-0005-0000-0000-0000A3330000}"/>
    <cellStyle name="Normal 5 3 2 36" xfId="11794" xr:uid="{00000000-0005-0000-0000-0000A4330000}"/>
    <cellStyle name="Normal 5 3 2 36 2" xfId="11795" xr:uid="{00000000-0005-0000-0000-0000A5330000}"/>
    <cellStyle name="Normal 5 3 2 37" xfId="11796" xr:uid="{00000000-0005-0000-0000-0000A6330000}"/>
    <cellStyle name="Normal 5 3 2 37 2" xfId="11797" xr:uid="{00000000-0005-0000-0000-0000A7330000}"/>
    <cellStyle name="Normal 5 3 2 38" xfId="11798" xr:uid="{00000000-0005-0000-0000-0000A8330000}"/>
    <cellStyle name="Normal 5 3 2 38 2" xfId="11799" xr:uid="{00000000-0005-0000-0000-0000A9330000}"/>
    <cellStyle name="Normal 5 3 2 39" xfId="11800" xr:uid="{00000000-0005-0000-0000-0000AA330000}"/>
    <cellStyle name="Normal 5 3 2 39 2" xfId="11801" xr:uid="{00000000-0005-0000-0000-0000AB330000}"/>
    <cellStyle name="Normal 5 3 2 4" xfId="11802" xr:uid="{00000000-0005-0000-0000-0000AC330000}"/>
    <cellStyle name="Normal 5 3 2 4 2" xfId="11803" xr:uid="{00000000-0005-0000-0000-0000AD330000}"/>
    <cellStyle name="Normal 5 3 2 4 2 2" xfId="11804" xr:uid="{00000000-0005-0000-0000-0000AE330000}"/>
    <cellStyle name="Normal 5 3 2 4 3" xfId="11805" xr:uid="{00000000-0005-0000-0000-0000AF330000}"/>
    <cellStyle name="Normal 5 3 2 4 3 2" xfId="11806" xr:uid="{00000000-0005-0000-0000-0000B0330000}"/>
    <cellStyle name="Normal 5 3 2 4 4" xfId="11807" xr:uid="{00000000-0005-0000-0000-0000B1330000}"/>
    <cellStyle name="Normal 5 3 2 4 4 2" xfId="11808" xr:uid="{00000000-0005-0000-0000-0000B2330000}"/>
    <cellStyle name="Normal 5 3 2 4 5" xfId="11809" xr:uid="{00000000-0005-0000-0000-0000B3330000}"/>
    <cellStyle name="Normal 5 3 2 4 5 2" xfId="11810" xr:uid="{00000000-0005-0000-0000-0000B4330000}"/>
    <cellStyle name="Normal 5 3 2 4 6" xfId="11811" xr:uid="{00000000-0005-0000-0000-0000B5330000}"/>
    <cellStyle name="Normal 5 3 2 40" xfId="11812" xr:uid="{00000000-0005-0000-0000-0000B6330000}"/>
    <cellStyle name="Normal 5 3 2 40 2" xfId="11813" xr:uid="{00000000-0005-0000-0000-0000B7330000}"/>
    <cellStyle name="Normal 5 3 2 41" xfId="11814" xr:uid="{00000000-0005-0000-0000-0000B8330000}"/>
    <cellStyle name="Normal 5 3 2 41 2" xfId="11815" xr:uid="{00000000-0005-0000-0000-0000B9330000}"/>
    <cellStyle name="Normal 5 3 2 42" xfId="11816" xr:uid="{00000000-0005-0000-0000-0000BA330000}"/>
    <cellStyle name="Normal 5 3 2 42 2" xfId="11817" xr:uid="{00000000-0005-0000-0000-0000BB330000}"/>
    <cellStyle name="Normal 5 3 2 43" xfId="11818" xr:uid="{00000000-0005-0000-0000-0000BC330000}"/>
    <cellStyle name="Normal 5 3 2 43 2" xfId="11819" xr:uid="{00000000-0005-0000-0000-0000BD330000}"/>
    <cellStyle name="Normal 5 3 2 44" xfId="11820" xr:uid="{00000000-0005-0000-0000-0000BE330000}"/>
    <cellStyle name="Normal 5 3 2 44 2" xfId="11821" xr:uid="{00000000-0005-0000-0000-0000BF330000}"/>
    <cellStyle name="Normal 5 3 2 45" xfId="11822" xr:uid="{00000000-0005-0000-0000-0000C0330000}"/>
    <cellStyle name="Normal 5 3 2 45 2" xfId="11823" xr:uid="{00000000-0005-0000-0000-0000C1330000}"/>
    <cellStyle name="Normal 5 3 2 46" xfId="11824" xr:uid="{00000000-0005-0000-0000-0000C2330000}"/>
    <cellStyle name="Normal 5 3 2 46 2" xfId="11825" xr:uid="{00000000-0005-0000-0000-0000C3330000}"/>
    <cellStyle name="Normal 5 3 2 47" xfId="11826" xr:uid="{00000000-0005-0000-0000-0000C4330000}"/>
    <cellStyle name="Normal 5 3 2 48" xfId="11605" xr:uid="{00000000-0005-0000-0000-0000C5330000}"/>
    <cellStyle name="Normal 5 3 2 5" xfId="11827" xr:uid="{00000000-0005-0000-0000-0000C6330000}"/>
    <cellStyle name="Normal 5 3 2 5 2" xfId="11828" xr:uid="{00000000-0005-0000-0000-0000C7330000}"/>
    <cellStyle name="Normal 5 3 2 6" xfId="11829" xr:uid="{00000000-0005-0000-0000-0000C8330000}"/>
    <cellStyle name="Normal 5 3 2 6 2" xfId="11830" xr:uid="{00000000-0005-0000-0000-0000C9330000}"/>
    <cellStyle name="Normal 5 3 2 7" xfId="11831" xr:uid="{00000000-0005-0000-0000-0000CA330000}"/>
    <cellStyle name="Normal 5 3 2 7 2" xfId="11832" xr:uid="{00000000-0005-0000-0000-0000CB330000}"/>
    <cellStyle name="Normal 5 3 2 8" xfId="11833" xr:uid="{00000000-0005-0000-0000-0000CC330000}"/>
    <cellStyle name="Normal 5 3 2 8 2" xfId="11834" xr:uid="{00000000-0005-0000-0000-0000CD330000}"/>
    <cellStyle name="Normal 5 3 2 9" xfId="11835" xr:uid="{00000000-0005-0000-0000-0000CE330000}"/>
    <cellStyle name="Normal 5 3 2 9 2" xfId="11836" xr:uid="{00000000-0005-0000-0000-0000CF330000}"/>
    <cellStyle name="Normal 5 3 20" xfId="11837" xr:uid="{00000000-0005-0000-0000-0000D0330000}"/>
    <cellStyle name="Normal 5 3 20 2" xfId="11838" xr:uid="{00000000-0005-0000-0000-0000D1330000}"/>
    <cellStyle name="Normal 5 3 21" xfId="11839" xr:uid="{00000000-0005-0000-0000-0000D2330000}"/>
    <cellStyle name="Normal 5 3 21 2" xfId="11840" xr:uid="{00000000-0005-0000-0000-0000D3330000}"/>
    <cellStyle name="Normal 5 3 22" xfId="11841" xr:uid="{00000000-0005-0000-0000-0000D4330000}"/>
    <cellStyle name="Normal 5 3 22 2" xfId="11842" xr:uid="{00000000-0005-0000-0000-0000D5330000}"/>
    <cellStyle name="Normal 5 3 23" xfId="11843" xr:uid="{00000000-0005-0000-0000-0000D6330000}"/>
    <cellStyle name="Normal 5 3 23 2" xfId="11844" xr:uid="{00000000-0005-0000-0000-0000D7330000}"/>
    <cellStyle name="Normal 5 3 24" xfId="11845" xr:uid="{00000000-0005-0000-0000-0000D8330000}"/>
    <cellStyle name="Normal 5 3 24 2" xfId="11846" xr:uid="{00000000-0005-0000-0000-0000D9330000}"/>
    <cellStyle name="Normal 5 3 25" xfId="11847" xr:uid="{00000000-0005-0000-0000-0000DA330000}"/>
    <cellStyle name="Normal 5 3 25 2" xfId="11848" xr:uid="{00000000-0005-0000-0000-0000DB330000}"/>
    <cellStyle name="Normal 5 3 26" xfId="11849" xr:uid="{00000000-0005-0000-0000-0000DC330000}"/>
    <cellStyle name="Normal 5 3 26 2" xfId="11850" xr:uid="{00000000-0005-0000-0000-0000DD330000}"/>
    <cellStyle name="Normal 5 3 27" xfId="11851" xr:uid="{00000000-0005-0000-0000-0000DE330000}"/>
    <cellStyle name="Normal 5 3 27 2" xfId="11852" xr:uid="{00000000-0005-0000-0000-0000DF330000}"/>
    <cellStyle name="Normal 5 3 28" xfId="11853" xr:uid="{00000000-0005-0000-0000-0000E0330000}"/>
    <cellStyle name="Normal 5 3 28 2" xfId="11854" xr:uid="{00000000-0005-0000-0000-0000E1330000}"/>
    <cellStyle name="Normal 5 3 29" xfId="11855" xr:uid="{00000000-0005-0000-0000-0000E2330000}"/>
    <cellStyle name="Normal 5 3 29 2" xfId="11856" xr:uid="{00000000-0005-0000-0000-0000E3330000}"/>
    <cellStyle name="Normal 5 3 3" xfId="354" xr:uid="{00000000-0005-0000-0000-0000E4330000}"/>
    <cellStyle name="Normal 5 3 3 10" xfId="11857" xr:uid="{00000000-0005-0000-0000-0000E5330000}"/>
    <cellStyle name="Normal 5 3 3 10 2" xfId="11858" xr:uid="{00000000-0005-0000-0000-0000E6330000}"/>
    <cellStyle name="Normal 5 3 3 11" xfId="11859" xr:uid="{00000000-0005-0000-0000-0000E7330000}"/>
    <cellStyle name="Normal 5 3 3 11 2" xfId="11860" xr:uid="{00000000-0005-0000-0000-0000E8330000}"/>
    <cellStyle name="Normal 5 3 3 12" xfId="11861" xr:uid="{00000000-0005-0000-0000-0000E9330000}"/>
    <cellStyle name="Normal 5 3 3 12 2" xfId="11862" xr:uid="{00000000-0005-0000-0000-0000EA330000}"/>
    <cellStyle name="Normal 5 3 3 13" xfId="11863" xr:uid="{00000000-0005-0000-0000-0000EB330000}"/>
    <cellStyle name="Normal 5 3 3 13 2" xfId="11864" xr:uid="{00000000-0005-0000-0000-0000EC330000}"/>
    <cellStyle name="Normal 5 3 3 14" xfId="11865" xr:uid="{00000000-0005-0000-0000-0000ED330000}"/>
    <cellStyle name="Normal 5 3 3 14 2" xfId="11866" xr:uid="{00000000-0005-0000-0000-0000EE330000}"/>
    <cellStyle name="Normal 5 3 3 15" xfId="11867" xr:uid="{00000000-0005-0000-0000-0000EF330000}"/>
    <cellStyle name="Normal 5 3 3 15 2" xfId="11868" xr:uid="{00000000-0005-0000-0000-0000F0330000}"/>
    <cellStyle name="Normal 5 3 3 16" xfId="11869" xr:uid="{00000000-0005-0000-0000-0000F1330000}"/>
    <cellStyle name="Normal 5 3 3 16 2" xfId="11870" xr:uid="{00000000-0005-0000-0000-0000F2330000}"/>
    <cellStyle name="Normal 5 3 3 17" xfId="11871" xr:uid="{00000000-0005-0000-0000-0000F3330000}"/>
    <cellStyle name="Normal 5 3 3 17 2" xfId="11872" xr:uid="{00000000-0005-0000-0000-0000F4330000}"/>
    <cellStyle name="Normal 5 3 3 18" xfId="11873" xr:uid="{00000000-0005-0000-0000-0000F5330000}"/>
    <cellStyle name="Normal 5 3 3 18 2" xfId="11874" xr:uid="{00000000-0005-0000-0000-0000F6330000}"/>
    <cellStyle name="Normal 5 3 3 19" xfId="11875" xr:uid="{00000000-0005-0000-0000-0000F7330000}"/>
    <cellStyle name="Normal 5 3 3 19 2" xfId="11876" xr:uid="{00000000-0005-0000-0000-0000F8330000}"/>
    <cellStyle name="Normal 5 3 3 2" xfId="11877" xr:uid="{00000000-0005-0000-0000-0000F9330000}"/>
    <cellStyle name="Normal 5 3 3 2 10" xfId="11878" xr:uid="{00000000-0005-0000-0000-0000FA330000}"/>
    <cellStyle name="Normal 5 3 3 2 10 2" xfId="11879" xr:uid="{00000000-0005-0000-0000-0000FB330000}"/>
    <cellStyle name="Normal 5 3 3 2 11" xfId="11880" xr:uid="{00000000-0005-0000-0000-0000FC330000}"/>
    <cellStyle name="Normal 5 3 3 2 11 2" xfId="11881" xr:uid="{00000000-0005-0000-0000-0000FD330000}"/>
    <cellStyle name="Normal 5 3 3 2 12" xfId="11882" xr:uid="{00000000-0005-0000-0000-0000FE330000}"/>
    <cellStyle name="Normal 5 3 3 2 12 2" xfId="11883" xr:uid="{00000000-0005-0000-0000-0000FF330000}"/>
    <cellStyle name="Normal 5 3 3 2 13" xfId="11884" xr:uid="{00000000-0005-0000-0000-000000340000}"/>
    <cellStyle name="Normal 5 3 3 2 13 2" xfId="11885" xr:uid="{00000000-0005-0000-0000-000001340000}"/>
    <cellStyle name="Normal 5 3 3 2 14" xfId="11886" xr:uid="{00000000-0005-0000-0000-000002340000}"/>
    <cellStyle name="Normal 5 3 3 2 14 2" xfId="11887" xr:uid="{00000000-0005-0000-0000-000003340000}"/>
    <cellStyle name="Normal 5 3 3 2 15" xfId="11888" xr:uid="{00000000-0005-0000-0000-000004340000}"/>
    <cellStyle name="Normal 5 3 3 2 15 2" xfId="11889" xr:uid="{00000000-0005-0000-0000-000005340000}"/>
    <cellStyle name="Normal 5 3 3 2 16" xfId="11890" xr:uid="{00000000-0005-0000-0000-000006340000}"/>
    <cellStyle name="Normal 5 3 3 2 16 2" xfId="11891" xr:uid="{00000000-0005-0000-0000-000007340000}"/>
    <cellStyle name="Normal 5 3 3 2 17" xfId="11892" xr:uid="{00000000-0005-0000-0000-000008340000}"/>
    <cellStyle name="Normal 5 3 3 2 17 2" xfId="11893" xr:uid="{00000000-0005-0000-0000-000009340000}"/>
    <cellStyle name="Normal 5 3 3 2 18" xfId="11894" xr:uid="{00000000-0005-0000-0000-00000A340000}"/>
    <cellStyle name="Normal 5 3 3 2 18 2" xfId="11895" xr:uid="{00000000-0005-0000-0000-00000B340000}"/>
    <cellStyle name="Normal 5 3 3 2 19" xfId="11896" xr:uid="{00000000-0005-0000-0000-00000C340000}"/>
    <cellStyle name="Normal 5 3 3 2 19 2" xfId="11897" xr:uid="{00000000-0005-0000-0000-00000D340000}"/>
    <cellStyle name="Normal 5 3 3 2 2" xfId="11898" xr:uid="{00000000-0005-0000-0000-00000E340000}"/>
    <cellStyle name="Normal 5 3 3 2 2 2" xfId="11899" xr:uid="{00000000-0005-0000-0000-00000F340000}"/>
    <cellStyle name="Normal 5 3 3 2 20" xfId="11900" xr:uid="{00000000-0005-0000-0000-000010340000}"/>
    <cellStyle name="Normal 5 3 3 2 20 2" xfId="11901" xr:uid="{00000000-0005-0000-0000-000011340000}"/>
    <cellStyle name="Normal 5 3 3 2 21" xfId="11902" xr:uid="{00000000-0005-0000-0000-000012340000}"/>
    <cellStyle name="Normal 5 3 3 2 21 2" xfId="11903" xr:uid="{00000000-0005-0000-0000-000013340000}"/>
    <cellStyle name="Normal 5 3 3 2 22" xfId="11904" xr:uid="{00000000-0005-0000-0000-000014340000}"/>
    <cellStyle name="Normal 5 3 3 2 22 2" xfId="11905" xr:uid="{00000000-0005-0000-0000-000015340000}"/>
    <cellStyle name="Normal 5 3 3 2 23" xfId="11906" xr:uid="{00000000-0005-0000-0000-000016340000}"/>
    <cellStyle name="Normal 5 3 3 2 23 2" xfId="11907" xr:uid="{00000000-0005-0000-0000-000017340000}"/>
    <cellStyle name="Normal 5 3 3 2 24" xfId="11908" xr:uid="{00000000-0005-0000-0000-000018340000}"/>
    <cellStyle name="Normal 5 3 3 2 24 2" xfId="11909" xr:uid="{00000000-0005-0000-0000-000019340000}"/>
    <cellStyle name="Normal 5 3 3 2 25" xfId="11910" xr:uid="{00000000-0005-0000-0000-00001A340000}"/>
    <cellStyle name="Normal 5 3 3 2 25 2" xfId="11911" xr:uid="{00000000-0005-0000-0000-00001B340000}"/>
    <cellStyle name="Normal 5 3 3 2 26" xfId="11912" xr:uid="{00000000-0005-0000-0000-00001C340000}"/>
    <cellStyle name="Normal 5 3 3 2 26 2" xfId="11913" xr:uid="{00000000-0005-0000-0000-00001D340000}"/>
    <cellStyle name="Normal 5 3 3 2 27" xfId="11914" xr:uid="{00000000-0005-0000-0000-00001E340000}"/>
    <cellStyle name="Normal 5 3 3 2 27 2" xfId="11915" xr:uid="{00000000-0005-0000-0000-00001F340000}"/>
    <cellStyle name="Normal 5 3 3 2 28" xfId="11916" xr:uid="{00000000-0005-0000-0000-000020340000}"/>
    <cellStyle name="Normal 5 3 3 2 28 2" xfId="11917" xr:uid="{00000000-0005-0000-0000-000021340000}"/>
    <cellStyle name="Normal 5 3 3 2 29" xfId="11918" xr:uid="{00000000-0005-0000-0000-000022340000}"/>
    <cellStyle name="Normal 5 3 3 2 29 2" xfId="11919" xr:uid="{00000000-0005-0000-0000-000023340000}"/>
    <cellStyle name="Normal 5 3 3 2 3" xfId="11920" xr:uid="{00000000-0005-0000-0000-000024340000}"/>
    <cellStyle name="Normal 5 3 3 2 3 2" xfId="11921" xr:uid="{00000000-0005-0000-0000-000025340000}"/>
    <cellStyle name="Normal 5 3 3 2 30" xfId="11922" xr:uid="{00000000-0005-0000-0000-000026340000}"/>
    <cellStyle name="Normal 5 3 3 2 30 2" xfId="11923" xr:uid="{00000000-0005-0000-0000-000027340000}"/>
    <cellStyle name="Normal 5 3 3 2 31" xfId="11924" xr:uid="{00000000-0005-0000-0000-000028340000}"/>
    <cellStyle name="Normal 5 3 3 2 31 2" xfId="11925" xr:uid="{00000000-0005-0000-0000-000029340000}"/>
    <cellStyle name="Normal 5 3 3 2 32" xfId="11926" xr:uid="{00000000-0005-0000-0000-00002A340000}"/>
    <cellStyle name="Normal 5 3 3 2 32 2" xfId="11927" xr:uid="{00000000-0005-0000-0000-00002B340000}"/>
    <cellStyle name="Normal 5 3 3 2 33" xfId="11928" xr:uid="{00000000-0005-0000-0000-00002C340000}"/>
    <cellStyle name="Normal 5 3 3 2 33 2" xfId="11929" xr:uid="{00000000-0005-0000-0000-00002D340000}"/>
    <cellStyle name="Normal 5 3 3 2 34" xfId="11930" xr:uid="{00000000-0005-0000-0000-00002E340000}"/>
    <cellStyle name="Normal 5 3 3 2 34 2" xfId="11931" xr:uid="{00000000-0005-0000-0000-00002F340000}"/>
    <cellStyle name="Normal 5 3 3 2 35" xfId="11932" xr:uid="{00000000-0005-0000-0000-000030340000}"/>
    <cellStyle name="Normal 5 3 3 2 4" xfId="11933" xr:uid="{00000000-0005-0000-0000-000031340000}"/>
    <cellStyle name="Normal 5 3 3 2 4 2" xfId="11934" xr:uid="{00000000-0005-0000-0000-000032340000}"/>
    <cellStyle name="Normal 5 3 3 2 5" xfId="11935" xr:uid="{00000000-0005-0000-0000-000033340000}"/>
    <cellStyle name="Normal 5 3 3 2 5 2" xfId="11936" xr:uid="{00000000-0005-0000-0000-000034340000}"/>
    <cellStyle name="Normal 5 3 3 2 6" xfId="11937" xr:uid="{00000000-0005-0000-0000-000035340000}"/>
    <cellStyle name="Normal 5 3 3 2 6 2" xfId="11938" xr:uid="{00000000-0005-0000-0000-000036340000}"/>
    <cellStyle name="Normal 5 3 3 2 7" xfId="11939" xr:uid="{00000000-0005-0000-0000-000037340000}"/>
    <cellStyle name="Normal 5 3 3 2 7 2" xfId="11940" xr:uid="{00000000-0005-0000-0000-000038340000}"/>
    <cellStyle name="Normal 5 3 3 2 8" xfId="11941" xr:uid="{00000000-0005-0000-0000-000039340000}"/>
    <cellStyle name="Normal 5 3 3 2 8 2" xfId="11942" xr:uid="{00000000-0005-0000-0000-00003A340000}"/>
    <cellStyle name="Normal 5 3 3 2 9" xfId="11943" xr:uid="{00000000-0005-0000-0000-00003B340000}"/>
    <cellStyle name="Normal 5 3 3 2 9 2" xfId="11944" xr:uid="{00000000-0005-0000-0000-00003C340000}"/>
    <cellStyle name="Normal 5 3 3 20" xfId="11945" xr:uid="{00000000-0005-0000-0000-00003D340000}"/>
    <cellStyle name="Normal 5 3 3 20 2" xfId="11946" xr:uid="{00000000-0005-0000-0000-00003E340000}"/>
    <cellStyle name="Normal 5 3 3 21" xfId="11947" xr:uid="{00000000-0005-0000-0000-00003F340000}"/>
    <cellStyle name="Normal 5 3 3 21 2" xfId="11948" xr:uid="{00000000-0005-0000-0000-000040340000}"/>
    <cellStyle name="Normal 5 3 3 22" xfId="11949" xr:uid="{00000000-0005-0000-0000-000041340000}"/>
    <cellStyle name="Normal 5 3 3 22 2" xfId="11950" xr:uid="{00000000-0005-0000-0000-000042340000}"/>
    <cellStyle name="Normal 5 3 3 23" xfId="11951" xr:uid="{00000000-0005-0000-0000-000043340000}"/>
    <cellStyle name="Normal 5 3 3 23 2" xfId="11952" xr:uid="{00000000-0005-0000-0000-000044340000}"/>
    <cellStyle name="Normal 5 3 3 24" xfId="11953" xr:uid="{00000000-0005-0000-0000-000045340000}"/>
    <cellStyle name="Normal 5 3 3 24 2" xfId="11954" xr:uid="{00000000-0005-0000-0000-000046340000}"/>
    <cellStyle name="Normal 5 3 3 25" xfId="11955" xr:uid="{00000000-0005-0000-0000-000047340000}"/>
    <cellStyle name="Normal 5 3 3 25 2" xfId="11956" xr:uid="{00000000-0005-0000-0000-000048340000}"/>
    <cellStyle name="Normal 5 3 3 26" xfId="11957" xr:uid="{00000000-0005-0000-0000-000049340000}"/>
    <cellStyle name="Normal 5 3 3 26 2" xfId="11958" xr:uid="{00000000-0005-0000-0000-00004A340000}"/>
    <cellStyle name="Normal 5 3 3 27" xfId="11959" xr:uid="{00000000-0005-0000-0000-00004B340000}"/>
    <cellStyle name="Normal 5 3 3 27 2" xfId="11960" xr:uid="{00000000-0005-0000-0000-00004C340000}"/>
    <cellStyle name="Normal 5 3 3 28" xfId="11961" xr:uid="{00000000-0005-0000-0000-00004D340000}"/>
    <cellStyle name="Normal 5 3 3 28 2" xfId="11962" xr:uid="{00000000-0005-0000-0000-00004E340000}"/>
    <cellStyle name="Normal 5 3 3 29" xfId="11963" xr:uid="{00000000-0005-0000-0000-00004F340000}"/>
    <cellStyle name="Normal 5 3 3 29 2" xfId="11964" xr:uid="{00000000-0005-0000-0000-000050340000}"/>
    <cellStyle name="Normal 5 3 3 3" xfId="11965" xr:uid="{00000000-0005-0000-0000-000051340000}"/>
    <cellStyle name="Normal 5 3 3 3 10" xfId="11966" xr:uid="{00000000-0005-0000-0000-000052340000}"/>
    <cellStyle name="Normal 5 3 3 3 10 2" xfId="11967" xr:uid="{00000000-0005-0000-0000-000053340000}"/>
    <cellStyle name="Normal 5 3 3 3 11" xfId="11968" xr:uid="{00000000-0005-0000-0000-000054340000}"/>
    <cellStyle name="Normal 5 3 3 3 11 2" xfId="11969" xr:uid="{00000000-0005-0000-0000-000055340000}"/>
    <cellStyle name="Normal 5 3 3 3 12" xfId="11970" xr:uid="{00000000-0005-0000-0000-000056340000}"/>
    <cellStyle name="Normal 5 3 3 3 12 2" xfId="11971" xr:uid="{00000000-0005-0000-0000-000057340000}"/>
    <cellStyle name="Normal 5 3 3 3 13" xfId="11972" xr:uid="{00000000-0005-0000-0000-000058340000}"/>
    <cellStyle name="Normal 5 3 3 3 13 2" xfId="11973" xr:uid="{00000000-0005-0000-0000-000059340000}"/>
    <cellStyle name="Normal 5 3 3 3 14" xfId="11974" xr:uid="{00000000-0005-0000-0000-00005A340000}"/>
    <cellStyle name="Normal 5 3 3 3 14 2" xfId="11975" xr:uid="{00000000-0005-0000-0000-00005B340000}"/>
    <cellStyle name="Normal 5 3 3 3 15" xfId="11976" xr:uid="{00000000-0005-0000-0000-00005C340000}"/>
    <cellStyle name="Normal 5 3 3 3 15 2" xfId="11977" xr:uid="{00000000-0005-0000-0000-00005D340000}"/>
    <cellStyle name="Normal 5 3 3 3 16" xfId="11978" xr:uid="{00000000-0005-0000-0000-00005E340000}"/>
    <cellStyle name="Normal 5 3 3 3 16 2" xfId="11979" xr:uid="{00000000-0005-0000-0000-00005F340000}"/>
    <cellStyle name="Normal 5 3 3 3 17" xfId="11980" xr:uid="{00000000-0005-0000-0000-000060340000}"/>
    <cellStyle name="Normal 5 3 3 3 17 2" xfId="11981" xr:uid="{00000000-0005-0000-0000-000061340000}"/>
    <cellStyle name="Normal 5 3 3 3 18" xfId="11982" xr:uid="{00000000-0005-0000-0000-000062340000}"/>
    <cellStyle name="Normal 5 3 3 3 18 2" xfId="11983" xr:uid="{00000000-0005-0000-0000-000063340000}"/>
    <cellStyle name="Normal 5 3 3 3 19" xfId="11984" xr:uid="{00000000-0005-0000-0000-000064340000}"/>
    <cellStyle name="Normal 5 3 3 3 19 2" xfId="11985" xr:uid="{00000000-0005-0000-0000-000065340000}"/>
    <cellStyle name="Normal 5 3 3 3 2" xfId="11986" xr:uid="{00000000-0005-0000-0000-000066340000}"/>
    <cellStyle name="Normal 5 3 3 3 2 2" xfId="11987" xr:uid="{00000000-0005-0000-0000-000067340000}"/>
    <cellStyle name="Normal 5 3 3 3 20" xfId="11988" xr:uid="{00000000-0005-0000-0000-000068340000}"/>
    <cellStyle name="Normal 5 3 3 3 20 2" xfId="11989" xr:uid="{00000000-0005-0000-0000-000069340000}"/>
    <cellStyle name="Normal 5 3 3 3 21" xfId="11990" xr:uid="{00000000-0005-0000-0000-00006A340000}"/>
    <cellStyle name="Normal 5 3 3 3 21 2" xfId="11991" xr:uid="{00000000-0005-0000-0000-00006B340000}"/>
    <cellStyle name="Normal 5 3 3 3 22" xfId="11992" xr:uid="{00000000-0005-0000-0000-00006C340000}"/>
    <cellStyle name="Normal 5 3 3 3 22 2" xfId="11993" xr:uid="{00000000-0005-0000-0000-00006D340000}"/>
    <cellStyle name="Normal 5 3 3 3 23" xfId="11994" xr:uid="{00000000-0005-0000-0000-00006E340000}"/>
    <cellStyle name="Normal 5 3 3 3 23 2" xfId="11995" xr:uid="{00000000-0005-0000-0000-00006F340000}"/>
    <cellStyle name="Normal 5 3 3 3 24" xfId="11996" xr:uid="{00000000-0005-0000-0000-000070340000}"/>
    <cellStyle name="Normal 5 3 3 3 24 2" xfId="11997" xr:uid="{00000000-0005-0000-0000-000071340000}"/>
    <cellStyle name="Normal 5 3 3 3 25" xfId="11998" xr:uid="{00000000-0005-0000-0000-000072340000}"/>
    <cellStyle name="Normal 5 3 3 3 25 2" xfId="11999" xr:uid="{00000000-0005-0000-0000-000073340000}"/>
    <cellStyle name="Normal 5 3 3 3 26" xfId="12000" xr:uid="{00000000-0005-0000-0000-000074340000}"/>
    <cellStyle name="Normal 5 3 3 3 26 2" xfId="12001" xr:uid="{00000000-0005-0000-0000-000075340000}"/>
    <cellStyle name="Normal 5 3 3 3 27" xfId="12002" xr:uid="{00000000-0005-0000-0000-000076340000}"/>
    <cellStyle name="Normal 5 3 3 3 27 2" xfId="12003" xr:uid="{00000000-0005-0000-0000-000077340000}"/>
    <cellStyle name="Normal 5 3 3 3 28" xfId="12004" xr:uid="{00000000-0005-0000-0000-000078340000}"/>
    <cellStyle name="Normal 5 3 3 3 28 2" xfId="12005" xr:uid="{00000000-0005-0000-0000-000079340000}"/>
    <cellStyle name="Normal 5 3 3 3 29" xfId="12006" xr:uid="{00000000-0005-0000-0000-00007A340000}"/>
    <cellStyle name="Normal 5 3 3 3 29 2" xfId="12007" xr:uid="{00000000-0005-0000-0000-00007B340000}"/>
    <cellStyle name="Normal 5 3 3 3 3" xfId="12008" xr:uid="{00000000-0005-0000-0000-00007C340000}"/>
    <cellStyle name="Normal 5 3 3 3 3 2" xfId="12009" xr:uid="{00000000-0005-0000-0000-00007D340000}"/>
    <cellStyle name="Normal 5 3 3 3 30" xfId="12010" xr:uid="{00000000-0005-0000-0000-00007E340000}"/>
    <cellStyle name="Normal 5 3 3 3 30 2" xfId="12011" xr:uid="{00000000-0005-0000-0000-00007F340000}"/>
    <cellStyle name="Normal 5 3 3 3 31" xfId="12012" xr:uid="{00000000-0005-0000-0000-000080340000}"/>
    <cellStyle name="Normal 5 3 3 3 31 2" xfId="12013" xr:uid="{00000000-0005-0000-0000-000081340000}"/>
    <cellStyle name="Normal 5 3 3 3 32" xfId="12014" xr:uid="{00000000-0005-0000-0000-000082340000}"/>
    <cellStyle name="Normal 5 3 3 3 32 2" xfId="12015" xr:uid="{00000000-0005-0000-0000-000083340000}"/>
    <cellStyle name="Normal 5 3 3 3 33" xfId="12016" xr:uid="{00000000-0005-0000-0000-000084340000}"/>
    <cellStyle name="Normal 5 3 3 3 33 2" xfId="12017" xr:uid="{00000000-0005-0000-0000-000085340000}"/>
    <cellStyle name="Normal 5 3 3 3 34" xfId="12018" xr:uid="{00000000-0005-0000-0000-000086340000}"/>
    <cellStyle name="Normal 5 3 3 3 34 2" xfId="12019" xr:uid="{00000000-0005-0000-0000-000087340000}"/>
    <cellStyle name="Normal 5 3 3 3 35" xfId="12020" xr:uid="{00000000-0005-0000-0000-000088340000}"/>
    <cellStyle name="Normal 5 3 3 3 4" xfId="12021" xr:uid="{00000000-0005-0000-0000-000089340000}"/>
    <cellStyle name="Normal 5 3 3 3 4 2" xfId="12022" xr:uid="{00000000-0005-0000-0000-00008A340000}"/>
    <cellStyle name="Normal 5 3 3 3 5" xfId="12023" xr:uid="{00000000-0005-0000-0000-00008B340000}"/>
    <cellStyle name="Normal 5 3 3 3 5 2" xfId="12024" xr:uid="{00000000-0005-0000-0000-00008C340000}"/>
    <cellStyle name="Normal 5 3 3 3 6" xfId="12025" xr:uid="{00000000-0005-0000-0000-00008D340000}"/>
    <cellStyle name="Normal 5 3 3 3 6 2" xfId="12026" xr:uid="{00000000-0005-0000-0000-00008E340000}"/>
    <cellStyle name="Normal 5 3 3 3 7" xfId="12027" xr:uid="{00000000-0005-0000-0000-00008F340000}"/>
    <cellStyle name="Normal 5 3 3 3 7 2" xfId="12028" xr:uid="{00000000-0005-0000-0000-000090340000}"/>
    <cellStyle name="Normal 5 3 3 3 8" xfId="12029" xr:uid="{00000000-0005-0000-0000-000091340000}"/>
    <cellStyle name="Normal 5 3 3 3 8 2" xfId="12030" xr:uid="{00000000-0005-0000-0000-000092340000}"/>
    <cellStyle name="Normal 5 3 3 3 9" xfId="12031" xr:uid="{00000000-0005-0000-0000-000093340000}"/>
    <cellStyle name="Normal 5 3 3 3 9 2" xfId="12032" xr:uid="{00000000-0005-0000-0000-000094340000}"/>
    <cellStyle name="Normal 5 3 3 30" xfId="12033" xr:uid="{00000000-0005-0000-0000-000095340000}"/>
    <cellStyle name="Normal 5 3 3 30 2" xfId="12034" xr:uid="{00000000-0005-0000-0000-000096340000}"/>
    <cellStyle name="Normal 5 3 3 31" xfId="12035" xr:uid="{00000000-0005-0000-0000-000097340000}"/>
    <cellStyle name="Normal 5 3 3 31 2" xfId="12036" xr:uid="{00000000-0005-0000-0000-000098340000}"/>
    <cellStyle name="Normal 5 3 3 32" xfId="12037" xr:uid="{00000000-0005-0000-0000-000099340000}"/>
    <cellStyle name="Normal 5 3 3 32 2" xfId="12038" xr:uid="{00000000-0005-0000-0000-00009A340000}"/>
    <cellStyle name="Normal 5 3 3 33" xfId="12039" xr:uid="{00000000-0005-0000-0000-00009B340000}"/>
    <cellStyle name="Normal 5 3 3 33 2" xfId="12040" xr:uid="{00000000-0005-0000-0000-00009C340000}"/>
    <cellStyle name="Normal 5 3 3 34" xfId="12041" xr:uid="{00000000-0005-0000-0000-00009D340000}"/>
    <cellStyle name="Normal 5 3 3 34 2" xfId="12042" xr:uid="{00000000-0005-0000-0000-00009E340000}"/>
    <cellStyle name="Normal 5 3 3 35" xfId="12043" xr:uid="{00000000-0005-0000-0000-00009F340000}"/>
    <cellStyle name="Normal 5 3 3 35 2" xfId="12044" xr:uid="{00000000-0005-0000-0000-0000A0340000}"/>
    <cellStyle name="Normal 5 3 3 36" xfId="12045" xr:uid="{00000000-0005-0000-0000-0000A1340000}"/>
    <cellStyle name="Normal 5 3 3 36 2" xfId="12046" xr:uid="{00000000-0005-0000-0000-0000A2340000}"/>
    <cellStyle name="Normal 5 3 3 37" xfId="12047" xr:uid="{00000000-0005-0000-0000-0000A3340000}"/>
    <cellStyle name="Normal 5 3 3 37 2" xfId="12048" xr:uid="{00000000-0005-0000-0000-0000A4340000}"/>
    <cellStyle name="Normal 5 3 3 38" xfId="12049" xr:uid="{00000000-0005-0000-0000-0000A5340000}"/>
    <cellStyle name="Normal 5 3 3 38 2" xfId="12050" xr:uid="{00000000-0005-0000-0000-0000A6340000}"/>
    <cellStyle name="Normal 5 3 3 39" xfId="12051" xr:uid="{00000000-0005-0000-0000-0000A7340000}"/>
    <cellStyle name="Normal 5 3 3 39 2" xfId="12052" xr:uid="{00000000-0005-0000-0000-0000A8340000}"/>
    <cellStyle name="Normal 5 3 3 4" xfId="12053" xr:uid="{00000000-0005-0000-0000-0000A9340000}"/>
    <cellStyle name="Normal 5 3 3 4 2" xfId="12054" xr:uid="{00000000-0005-0000-0000-0000AA340000}"/>
    <cellStyle name="Normal 5 3 3 4 2 2" xfId="12055" xr:uid="{00000000-0005-0000-0000-0000AB340000}"/>
    <cellStyle name="Normal 5 3 3 4 3" xfId="12056" xr:uid="{00000000-0005-0000-0000-0000AC340000}"/>
    <cellStyle name="Normal 5 3 3 4 3 2" xfId="12057" xr:uid="{00000000-0005-0000-0000-0000AD340000}"/>
    <cellStyle name="Normal 5 3 3 4 4" xfId="12058" xr:uid="{00000000-0005-0000-0000-0000AE340000}"/>
    <cellStyle name="Normal 5 3 3 4 4 2" xfId="12059" xr:uid="{00000000-0005-0000-0000-0000AF340000}"/>
    <cellStyle name="Normal 5 3 3 4 5" xfId="12060" xr:uid="{00000000-0005-0000-0000-0000B0340000}"/>
    <cellStyle name="Normal 5 3 3 4 5 2" xfId="12061" xr:uid="{00000000-0005-0000-0000-0000B1340000}"/>
    <cellStyle name="Normal 5 3 3 4 6" xfId="12062" xr:uid="{00000000-0005-0000-0000-0000B2340000}"/>
    <cellStyle name="Normal 5 3 3 40" xfId="12063" xr:uid="{00000000-0005-0000-0000-0000B3340000}"/>
    <cellStyle name="Normal 5 3 3 40 2" xfId="12064" xr:uid="{00000000-0005-0000-0000-0000B4340000}"/>
    <cellStyle name="Normal 5 3 3 41" xfId="12065" xr:uid="{00000000-0005-0000-0000-0000B5340000}"/>
    <cellStyle name="Normal 5 3 3 41 2" xfId="12066" xr:uid="{00000000-0005-0000-0000-0000B6340000}"/>
    <cellStyle name="Normal 5 3 3 42" xfId="12067" xr:uid="{00000000-0005-0000-0000-0000B7340000}"/>
    <cellStyle name="Normal 5 3 3 42 2" xfId="12068" xr:uid="{00000000-0005-0000-0000-0000B8340000}"/>
    <cellStyle name="Normal 5 3 3 43" xfId="12069" xr:uid="{00000000-0005-0000-0000-0000B9340000}"/>
    <cellStyle name="Normal 5 3 3 43 2" xfId="12070" xr:uid="{00000000-0005-0000-0000-0000BA340000}"/>
    <cellStyle name="Normal 5 3 3 44" xfId="12071" xr:uid="{00000000-0005-0000-0000-0000BB340000}"/>
    <cellStyle name="Normal 5 3 3 44 2" xfId="12072" xr:uid="{00000000-0005-0000-0000-0000BC340000}"/>
    <cellStyle name="Normal 5 3 3 45" xfId="12073" xr:uid="{00000000-0005-0000-0000-0000BD340000}"/>
    <cellStyle name="Normal 5 3 3 45 2" xfId="12074" xr:uid="{00000000-0005-0000-0000-0000BE340000}"/>
    <cellStyle name="Normal 5 3 3 46" xfId="12075" xr:uid="{00000000-0005-0000-0000-0000BF340000}"/>
    <cellStyle name="Normal 5 3 3 46 2" xfId="12076" xr:uid="{00000000-0005-0000-0000-0000C0340000}"/>
    <cellStyle name="Normal 5 3 3 47" xfId="12077" xr:uid="{00000000-0005-0000-0000-0000C1340000}"/>
    <cellStyle name="Normal 5 3 3 5" xfId="12078" xr:uid="{00000000-0005-0000-0000-0000C2340000}"/>
    <cellStyle name="Normal 5 3 3 5 2" xfId="12079" xr:uid="{00000000-0005-0000-0000-0000C3340000}"/>
    <cellStyle name="Normal 5 3 3 6" xfId="12080" xr:uid="{00000000-0005-0000-0000-0000C4340000}"/>
    <cellStyle name="Normal 5 3 3 6 2" xfId="12081" xr:uid="{00000000-0005-0000-0000-0000C5340000}"/>
    <cellStyle name="Normal 5 3 3 7" xfId="12082" xr:uid="{00000000-0005-0000-0000-0000C6340000}"/>
    <cellStyle name="Normal 5 3 3 7 2" xfId="12083" xr:uid="{00000000-0005-0000-0000-0000C7340000}"/>
    <cellStyle name="Normal 5 3 3 8" xfId="12084" xr:uid="{00000000-0005-0000-0000-0000C8340000}"/>
    <cellStyle name="Normal 5 3 3 8 2" xfId="12085" xr:uid="{00000000-0005-0000-0000-0000C9340000}"/>
    <cellStyle name="Normal 5 3 3 9" xfId="12086" xr:uid="{00000000-0005-0000-0000-0000CA340000}"/>
    <cellStyle name="Normal 5 3 3 9 2" xfId="12087" xr:uid="{00000000-0005-0000-0000-0000CB340000}"/>
    <cellStyle name="Normal 5 3 30" xfId="12088" xr:uid="{00000000-0005-0000-0000-0000CC340000}"/>
    <cellStyle name="Normal 5 3 30 2" xfId="12089" xr:uid="{00000000-0005-0000-0000-0000CD340000}"/>
    <cellStyle name="Normal 5 3 31" xfId="12090" xr:uid="{00000000-0005-0000-0000-0000CE340000}"/>
    <cellStyle name="Normal 5 3 31 2" xfId="12091" xr:uid="{00000000-0005-0000-0000-0000CF340000}"/>
    <cellStyle name="Normal 5 3 32" xfId="12092" xr:uid="{00000000-0005-0000-0000-0000D0340000}"/>
    <cellStyle name="Normal 5 3 32 2" xfId="12093" xr:uid="{00000000-0005-0000-0000-0000D1340000}"/>
    <cellStyle name="Normal 5 3 33" xfId="12094" xr:uid="{00000000-0005-0000-0000-0000D2340000}"/>
    <cellStyle name="Normal 5 3 33 2" xfId="12095" xr:uid="{00000000-0005-0000-0000-0000D3340000}"/>
    <cellStyle name="Normal 5 3 34" xfId="12096" xr:uid="{00000000-0005-0000-0000-0000D4340000}"/>
    <cellStyle name="Normal 5 3 34 2" xfId="12097" xr:uid="{00000000-0005-0000-0000-0000D5340000}"/>
    <cellStyle name="Normal 5 3 35" xfId="12098" xr:uid="{00000000-0005-0000-0000-0000D6340000}"/>
    <cellStyle name="Normal 5 3 35 2" xfId="12099" xr:uid="{00000000-0005-0000-0000-0000D7340000}"/>
    <cellStyle name="Normal 5 3 36" xfId="12100" xr:uid="{00000000-0005-0000-0000-0000D8340000}"/>
    <cellStyle name="Normal 5 3 36 2" xfId="12101" xr:uid="{00000000-0005-0000-0000-0000D9340000}"/>
    <cellStyle name="Normal 5 3 37" xfId="12102" xr:uid="{00000000-0005-0000-0000-0000DA340000}"/>
    <cellStyle name="Normal 5 3 37 2" xfId="12103" xr:uid="{00000000-0005-0000-0000-0000DB340000}"/>
    <cellStyle name="Normal 5 3 38" xfId="12104" xr:uid="{00000000-0005-0000-0000-0000DC340000}"/>
    <cellStyle name="Normal 5 3 38 2" xfId="12105" xr:uid="{00000000-0005-0000-0000-0000DD340000}"/>
    <cellStyle name="Normal 5 3 39" xfId="12106" xr:uid="{00000000-0005-0000-0000-0000DE340000}"/>
    <cellStyle name="Normal 5 3 39 2" xfId="12107" xr:uid="{00000000-0005-0000-0000-0000DF340000}"/>
    <cellStyle name="Normal 5 3 4" xfId="12108" xr:uid="{00000000-0005-0000-0000-0000E0340000}"/>
    <cellStyle name="Normal 5 3 4 10" xfId="12109" xr:uid="{00000000-0005-0000-0000-0000E1340000}"/>
    <cellStyle name="Normal 5 3 4 10 2" xfId="12110" xr:uid="{00000000-0005-0000-0000-0000E2340000}"/>
    <cellStyle name="Normal 5 3 4 11" xfId="12111" xr:uid="{00000000-0005-0000-0000-0000E3340000}"/>
    <cellStyle name="Normal 5 3 4 11 2" xfId="12112" xr:uid="{00000000-0005-0000-0000-0000E4340000}"/>
    <cellStyle name="Normal 5 3 4 12" xfId="12113" xr:uid="{00000000-0005-0000-0000-0000E5340000}"/>
    <cellStyle name="Normal 5 3 4 12 2" xfId="12114" xr:uid="{00000000-0005-0000-0000-0000E6340000}"/>
    <cellStyle name="Normal 5 3 4 13" xfId="12115" xr:uid="{00000000-0005-0000-0000-0000E7340000}"/>
    <cellStyle name="Normal 5 3 4 13 2" xfId="12116" xr:uid="{00000000-0005-0000-0000-0000E8340000}"/>
    <cellStyle name="Normal 5 3 4 14" xfId="12117" xr:uid="{00000000-0005-0000-0000-0000E9340000}"/>
    <cellStyle name="Normal 5 3 4 14 2" xfId="12118" xr:uid="{00000000-0005-0000-0000-0000EA340000}"/>
    <cellStyle name="Normal 5 3 4 15" xfId="12119" xr:uid="{00000000-0005-0000-0000-0000EB340000}"/>
    <cellStyle name="Normal 5 3 4 15 2" xfId="12120" xr:uid="{00000000-0005-0000-0000-0000EC340000}"/>
    <cellStyle name="Normal 5 3 4 16" xfId="12121" xr:uid="{00000000-0005-0000-0000-0000ED340000}"/>
    <cellStyle name="Normal 5 3 4 16 2" xfId="12122" xr:uid="{00000000-0005-0000-0000-0000EE340000}"/>
    <cellStyle name="Normal 5 3 4 17" xfId="12123" xr:uid="{00000000-0005-0000-0000-0000EF340000}"/>
    <cellStyle name="Normal 5 3 4 17 2" xfId="12124" xr:uid="{00000000-0005-0000-0000-0000F0340000}"/>
    <cellStyle name="Normal 5 3 4 18" xfId="12125" xr:uid="{00000000-0005-0000-0000-0000F1340000}"/>
    <cellStyle name="Normal 5 3 4 18 2" xfId="12126" xr:uid="{00000000-0005-0000-0000-0000F2340000}"/>
    <cellStyle name="Normal 5 3 4 19" xfId="12127" xr:uid="{00000000-0005-0000-0000-0000F3340000}"/>
    <cellStyle name="Normal 5 3 4 19 2" xfId="12128" xr:uid="{00000000-0005-0000-0000-0000F4340000}"/>
    <cellStyle name="Normal 5 3 4 2" xfId="12129" xr:uid="{00000000-0005-0000-0000-0000F5340000}"/>
    <cellStyle name="Normal 5 3 4 2 2" xfId="12130" xr:uid="{00000000-0005-0000-0000-0000F6340000}"/>
    <cellStyle name="Normal 5 3 4 2 2 2" xfId="12131" xr:uid="{00000000-0005-0000-0000-0000F7340000}"/>
    <cellStyle name="Normal 5 3 4 2 3" xfId="12132" xr:uid="{00000000-0005-0000-0000-0000F8340000}"/>
    <cellStyle name="Normal 5 3 4 2 3 2" xfId="12133" xr:uid="{00000000-0005-0000-0000-0000F9340000}"/>
    <cellStyle name="Normal 5 3 4 2 4" xfId="12134" xr:uid="{00000000-0005-0000-0000-0000FA340000}"/>
    <cellStyle name="Normal 5 3 4 2 4 2" xfId="12135" xr:uid="{00000000-0005-0000-0000-0000FB340000}"/>
    <cellStyle name="Normal 5 3 4 2 5" xfId="12136" xr:uid="{00000000-0005-0000-0000-0000FC340000}"/>
    <cellStyle name="Normal 5 3 4 2 5 2" xfId="12137" xr:uid="{00000000-0005-0000-0000-0000FD340000}"/>
    <cellStyle name="Normal 5 3 4 2 6" xfId="12138" xr:uid="{00000000-0005-0000-0000-0000FE340000}"/>
    <cellStyle name="Normal 5 3 4 20" xfId="12139" xr:uid="{00000000-0005-0000-0000-0000FF340000}"/>
    <cellStyle name="Normal 5 3 4 20 2" xfId="12140" xr:uid="{00000000-0005-0000-0000-000000350000}"/>
    <cellStyle name="Normal 5 3 4 21" xfId="12141" xr:uid="{00000000-0005-0000-0000-000001350000}"/>
    <cellStyle name="Normal 5 3 4 21 2" xfId="12142" xr:uid="{00000000-0005-0000-0000-000002350000}"/>
    <cellStyle name="Normal 5 3 4 22" xfId="12143" xr:uid="{00000000-0005-0000-0000-000003350000}"/>
    <cellStyle name="Normal 5 3 4 22 2" xfId="12144" xr:uid="{00000000-0005-0000-0000-000004350000}"/>
    <cellStyle name="Normal 5 3 4 23" xfId="12145" xr:uid="{00000000-0005-0000-0000-000005350000}"/>
    <cellStyle name="Normal 5 3 4 23 2" xfId="12146" xr:uid="{00000000-0005-0000-0000-000006350000}"/>
    <cellStyle name="Normal 5 3 4 24" xfId="12147" xr:uid="{00000000-0005-0000-0000-000007350000}"/>
    <cellStyle name="Normal 5 3 4 24 2" xfId="12148" xr:uid="{00000000-0005-0000-0000-000008350000}"/>
    <cellStyle name="Normal 5 3 4 25" xfId="12149" xr:uid="{00000000-0005-0000-0000-000009350000}"/>
    <cellStyle name="Normal 5 3 4 25 2" xfId="12150" xr:uid="{00000000-0005-0000-0000-00000A350000}"/>
    <cellStyle name="Normal 5 3 4 26" xfId="12151" xr:uid="{00000000-0005-0000-0000-00000B350000}"/>
    <cellStyle name="Normal 5 3 4 26 2" xfId="12152" xr:uid="{00000000-0005-0000-0000-00000C350000}"/>
    <cellStyle name="Normal 5 3 4 27" xfId="12153" xr:uid="{00000000-0005-0000-0000-00000D350000}"/>
    <cellStyle name="Normal 5 3 4 27 2" xfId="12154" xr:uid="{00000000-0005-0000-0000-00000E350000}"/>
    <cellStyle name="Normal 5 3 4 28" xfId="12155" xr:uid="{00000000-0005-0000-0000-00000F350000}"/>
    <cellStyle name="Normal 5 3 4 28 2" xfId="12156" xr:uid="{00000000-0005-0000-0000-000010350000}"/>
    <cellStyle name="Normal 5 3 4 29" xfId="12157" xr:uid="{00000000-0005-0000-0000-000011350000}"/>
    <cellStyle name="Normal 5 3 4 29 2" xfId="12158" xr:uid="{00000000-0005-0000-0000-000012350000}"/>
    <cellStyle name="Normal 5 3 4 3" xfId="12159" xr:uid="{00000000-0005-0000-0000-000013350000}"/>
    <cellStyle name="Normal 5 3 4 3 2" xfId="12160" xr:uid="{00000000-0005-0000-0000-000014350000}"/>
    <cellStyle name="Normal 5 3 4 3 2 2" xfId="12161" xr:uid="{00000000-0005-0000-0000-000015350000}"/>
    <cellStyle name="Normal 5 3 4 3 3" xfId="12162" xr:uid="{00000000-0005-0000-0000-000016350000}"/>
    <cellStyle name="Normal 5 3 4 3 3 2" xfId="12163" xr:uid="{00000000-0005-0000-0000-000017350000}"/>
    <cellStyle name="Normal 5 3 4 3 4" xfId="12164" xr:uid="{00000000-0005-0000-0000-000018350000}"/>
    <cellStyle name="Normal 5 3 4 3 4 2" xfId="12165" xr:uid="{00000000-0005-0000-0000-000019350000}"/>
    <cellStyle name="Normal 5 3 4 3 5" xfId="12166" xr:uid="{00000000-0005-0000-0000-00001A350000}"/>
    <cellStyle name="Normal 5 3 4 3 5 2" xfId="12167" xr:uid="{00000000-0005-0000-0000-00001B350000}"/>
    <cellStyle name="Normal 5 3 4 3 6" xfId="12168" xr:uid="{00000000-0005-0000-0000-00001C350000}"/>
    <cellStyle name="Normal 5 3 4 30" xfId="12169" xr:uid="{00000000-0005-0000-0000-00001D350000}"/>
    <cellStyle name="Normal 5 3 4 30 2" xfId="12170" xr:uid="{00000000-0005-0000-0000-00001E350000}"/>
    <cellStyle name="Normal 5 3 4 31" xfId="12171" xr:uid="{00000000-0005-0000-0000-00001F350000}"/>
    <cellStyle name="Normal 5 3 4 31 2" xfId="12172" xr:uid="{00000000-0005-0000-0000-000020350000}"/>
    <cellStyle name="Normal 5 3 4 32" xfId="12173" xr:uid="{00000000-0005-0000-0000-000021350000}"/>
    <cellStyle name="Normal 5 3 4 32 2" xfId="12174" xr:uid="{00000000-0005-0000-0000-000022350000}"/>
    <cellStyle name="Normal 5 3 4 33" xfId="12175" xr:uid="{00000000-0005-0000-0000-000023350000}"/>
    <cellStyle name="Normal 5 3 4 33 2" xfId="12176" xr:uid="{00000000-0005-0000-0000-000024350000}"/>
    <cellStyle name="Normal 5 3 4 34" xfId="12177" xr:uid="{00000000-0005-0000-0000-000025350000}"/>
    <cellStyle name="Normal 5 3 4 34 2" xfId="12178" xr:uid="{00000000-0005-0000-0000-000026350000}"/>
    <cellStyle name="Normal 5 3 4 35" xfId="12179" xr:uid="{00000000-0005-0000-0000-000027350000}"/>
    <cellStyle name="Normal 5 3 4 35 2" xfId="12180" xr:uid="{00000000-0005-0000-0000-000028350000}"/>
    <cellStyle name="Normal 5 3 4 36" xfId="12181" xr:uid="{00000000-0005-0000-0000-000029350000}"/>
    <cellStyle name="Normal 5 3 4 36 2" xfId="12182" xr:uid="{00000000-0005-0000-0000-00002A350000}"/>
    <cellStyle name="Normal 5 3 4 37" xfId="12183" xr:uid="{00000000-0005-0000-0000-00002B350000}"/>
    <cellStyle name="Normal 5 3 4 37 2" xfId="12184" xr:uid="{00000000-0005-0000-0000-00002C350000}"/>
    <cellStyle name="Normal 5 3 4 38" xfId="12185" xr:uid="{00000000-0005-0000-0000-00002D350000}"/>
    <cellStyle name="Normal 5 3 4 38 2" xfId="12186" xr:uid="{00000000-0005-0000-0000-00002E350000}"/>
    <cellStyle name="Normal 5 3 4 39" xfId="12187" xr:uid="{00000000-0005-0000-0000-00002F350000}"/>
    <cellStyle name="Normal 5 3 4 39 2" xfId="12188" xr:uid="{00000000-0005-0000-0000-000030350000}"/>
    <cellStyle name="Normal 5 3 4 4" xfId="12189" xr:uid="{00000000-0005-0000-0000-000031350000}"/>
    <cellStyle name="Normal 5 3 4 4 2" xfId="12190" xr:uid="{00000000-0005-0000-0000-000032350000}"/>
    <cellStyle name="Normal 5 3 4 4 2 2" xfId="12191" xr:uid="{00000000-0005-0000-0000-000033350000}"/>
    <cellStyle name="Normal 5 3 4 4 3" xfId="12192" xr:uid="{00000000-0005-0000-0000-000034350000}"/>
    <cellStyle name="Normal 5 3 4 4 3 2" xfId="12193" xr:uid="{00000000-0005-0000-0000-000035350000}"/>
    <cellStyle name="Normal 5 3 4 4 4" xfId="12194" xr:uid="{00000000-0005-0000-0000-000036350000}"/>
    <cellStyle name="Normal 5 3 4 4 4 2" xfId="12195" xr:uid="{00000000-0005-0000-0000-000037350000}"/>
    <cellStyle name="Normal 5 3 4 4 5" xfId="12196" xr:uid="{00000000-0005-0000-0000-000038350000}"/>
    <cellStyle name="Normal 5 3 4 4 5 2" xfId="12197" xr:uid="{00000000-0005-0000-0000-000039350000}"/>
    <cellStyle name="Normal 5 3 4 4 6" xfId="12198" xr:uid="{00000000-0005-0000-0000-00003A350000}"/>
    <cellStyle name="Normal 5 3 4 40" xfId="12199" xr:uid="{00000000-0005-0000-0000-00003B350000}"/>
    <cellStyle name="Normal 5 3 4 40 2" xfId="12200" xr:uid="{00000000-0005-0000-0000-00003C350000}"/>
    <cellStyle name="Normal 5 3 4 41" xfId="12201" xr:uid="{00000000-0005-0000-0000-00003D350000}"/>
    <cellStyle name="Normal 5 3 4 41 2" xfId="12202" xr:uid="{00000000-0005-0000-0000-00003E350000}"/>
    <cellStyle name="Normal 5 3 4 42" xfId="12203" xr:uid="{00000000-0005-0000-0000-00003F350000}"/>
    <cellStyle name="Normal 5 3 4 42 2" xfId="12204" xr:uid="{00000000-0005-0000-0000-000040350000}"/>
    <cellStyle name="Normal 5 3 4 43" xfId="12205" xr:uid="{00000000-0005-0000-0000-000041350000}"/>
    <cellStyle name="Normal 5 3 4 43 2" xfId="12206" xr:uid="{00000000-0005-0000-0000-000042350000}"/>
    <cellStyle name="Normal 5 3 4 44" xfId="12207" xr:uid="{00000000-0005-0000-0000-000043350000}"/>
    <cellStyle name="Normal 5 3 4 44 2" xfId="12208" xr:uid="{00000000-0005-0000-0000-000044350000}"/>
    <cellStyle name="Normal 5 3 4 45" xfId="12209" xr:uid="{00000000-0005-0000-0000-000045350000}"/>
    <cellStyle name="Normal 5 3 4 45 2" xfId="12210" xr:uid="{00000000-0005-0000-0000-000046350000}"/>
    <cellStyle name="Normal 5 3 4 46" xfId="12211" xr:uid="{00000000-0005-0000-0000-000047350000}"/>
    <cellStyle name="Normal 5 3 4 5" xfId="12212" xr:uid="{00000000-0005-0000-0000-000048350000}"/>
    <cellStyle name="Normal 5 3 4 5 2" xfId="12213" xr:uid="{00000000-0005-0000-0000-000049350000}"/>
    <cellStyle name="Normal 5 3 4 6" xfId="12214" xr:uid="{00000000-0005-0000-0000-00004A350000}"/>
    <cellStyle name="Normal 5 3 4 6 2" xfId="12215" xr:uid="{00000000-0005-0000-0000-00004B350000}"/>
    <cellStyle name="Normal 5 3 4 7" xfId="12216" xr:uid="{00000000-0005-0000-0000-00004C350000}"/>
    <cellStyle name="Normal 5 3 4 7 2" xfId="12217" xr:uid="{00000000-0005-0000-0000-00004D350000}"/>
    <cellStyle name="Normal 5 3 4 8" xfId="12218" xr:uid="{00000000-0005-0000-0000-00004E350000}"/>
    <cellStyle name="Normal 5 3 4 8 2" xfId="12219" xr:uid="{00000000-0005-0000-0000-00004F350000}"/>
    <cellStyle name="Normal 5 3 4 9" xfId="12220" xr:uid="{00000000-0005-0000-0000-000050350000}"/>
    <cellStyle name="Normal 5 3 4 9 2" xfId="12221" xr:uid="{00000000-0005-0000-0000-000051350000}"/>
    <cellStyle name="Normal 5 3 40" xfId="12222" xr:uid="{00000000-0005-0000-0000-000052350000}"/>
    <cellStyle name="Normal 5 3 40 2" xfId="12223" xr:uid="{00000000-0005-0000-0000-000053350000}"/>
    <cellStyle name="Normal 5 3 41" xfId="12224" xr:uid="{00000000-0005-0000-0000-000054350000}"/>
    <cellStyle name="Normal 5 3 41 2" xfId="12225" xr:uid="{00000000-0005-0000-0000-000055350000}"/>
    <cellStyle name="Normal 5 3 42" xfId="12226" xr:uid="{00000000-0005-0000-0000-000056350000}"/>
    <cellStyle name="Normal 5 3 42 2" xfId="12227" xr:uid="{00000000-0005-0000-0000-000057350000}"/>
    <cellStyle name="Normal 5 3 43" xfId="12228" xr:uid="{00000000-0005-0000-0000-000058350000}"/>
    <cellStyle name="Normal 5 3 43 2" xfId="12229" xr:uid="{00000000-0005-0000-0000-000059350000}"/>
    <cellStyle name="Normal 5 3 44" xfId="12230" xr:uid="{00000000-0005-0000-0000-00005A350000}"/>
    <cellStyle name="Normal 5 3 44 2" xfId="12231" xr:uid="{00000000-0005-0000-0000-00005B350000}"/>
    <cellStyle name="Normal 5 3 45" xfId="12232" xr:uid="{00000000-0005-0000-0000-00005C350000}"/>
    <cellStyle name="Normal 5 3 45 2" xfId="12233" xr:uid="{00000000-0005-0000-0000-00005D350000}"/>
    <cellStyle name="Normal 5 3 46" xfId="12234" xr:uid="{00000000-0005-0000-0000-00005E350000}"/>
    <cellStyle name="Normal 5 3 46 2" xfId="12235" xr:uid="{00000000-0005-0000-0000-00005F350000}"/>
    <cellStyle name="Normal 5 3 47" xfId="12236" xr:uid="{00000000-0005-0000-0000-000060350000}"/>
    <cellStyle name="Normal 5 3 47 2" xfId="12237" xr:uid="{00000000-0005-0000-0000-000061350000}"/>
    <cellStyle name="Normal 5 3 48" xfId="12238" xr:uid="{00000000-0005-0000-0000-000062350000}"/>
    <cellStyle name="Normal 5 3 48 2" xfId="12239" xr:uid="{00000000-0005-0000-0000-000063350000}"/>
    <cellStyle name="Normal 5 3 49" xfId="12240" xr:uid="{00000000-0005-0000-0000-000064350000}"/>
    <cellStyle name="Normal 5 3 49 2" xfId="12241" xr:uid="{00000000-0005-0000-0000-000065350000}"/>
    <cellStyle name="Normal 5 3 5" xfId="12242" xr:uid="{00000000-0005-0000-0000-000066350000}"/>
    <cellStyle name="Normal 5 3 5 10" xfId="12243" xr:uid="{00000000-0005-0000-0000-000067350000}"/>
    <cellStyle name="Normal 5 3 5 10 2" xfId="12244" xr:uid="{00000000-0005-0000-0000-000068350000}"/>
    <cellStyle name="Normal 5 3 5 11" xfId="12245" xr:uid="{00000000-0005-0000-0000-000069350000}"/>
    <cellStyle name="Normal 5 3 5 11 2" xfId="12246" xr:uid="{00000000-0005-0000-0000-00006A350000}"/>
    <cellStyle name="Normal 5 3 5 12" xfId="12247" xr:uid="{00000000-0005-0000-0000-00006B350000}"/>
    <cellStyle name="Normal 5 3 5 12 2" xfId="12248" xr:uid="{00000000-0005-0000-0000-00006C350000}"/>
    <cellStyle name="Normal 5 3 5 13" xfId="12249" xr:uid="{00000000-0005-0000-0000-00006D350000}"/>
    <cellStyle name="Normal 5 3 5 13 2" xfId="12250" xr:uid="{00000000-0005-0000-0000-00006E350000}"/>
    <cellStyle name="Normal 5 3 5 14" xfId="12251" xr:uid="{00000000-0005-0000-0000-00006F350000}"/>
    <cellStyle name="Normal 5 3 5 14 2" xfId="12252" xr:uid="{00000000-0005-0000-0000-000070350000}"/>
    <cellStyle name="Normal 5 3 5 15" xfId="12253" xr:uid="{00000000-0005-0000-0000-000071350000}"/>
    <cellStyle name="Normal 5 3 5 15 2" xfId="12254" xr:uid="{00000000-0005-0000-0000-000072350000}"/>
    <cellStyle name="Normal 5 3 5 16" xfId="12255" xr:uid="{00000000-0005-0000-0000-000073350000}"/>
    <cellStyle name="Normal 5 3 5 16 2" xfId="12256" xr:uid="{00000000-0005-0000-0000-000074350000}"/>
    <cellStyle name="Normal 5 3 5 17" xfId="12257" xr:uid="{00000000-0005-0000-0000-000075350000}"/>
    <cellStyle name="Normal 5 3 5 17 2" xfId="12258" xr:uid="{00000000-0005-0000-0000-000076350000}"/>
    <cellStyle name="Normal 5 3 5 18" xfId="12259" xr:uid="{00000000-0005-0000-0000-000077350000}"/>
    <cellStyle name="Normal 5 3 5 18 2" xfId="12260" xr:uid="{00000000-0005-0000-0000-000078350000}"/>
    <cellStyle name="Normal 5 3 5 19" xfId="12261" xr:uid="{00000000-0005-0000-0000-000079350000}"/>
    <cellStyle name="Normal 5 3 5 19 2" xfId="12262" xr:uid="{00000000-0005-0000-0000-00007A350000}"/>
    <cellStyle name="Normal 5 3 5 2" xfId="12263" xr:uid="{00000000-0005-0000-0000-00007B350000}"/>
    <cellStyle name="Normal 5 3 5 2 2" xfId="12264" xr:uid="{00000000-0005-0000-0000-00007C350000}"/>
    <cellStyle name="Normal 5 3 5 20" xfId="12265" xr:uid="{00000000-0005-0000-0000-00007D350000}"/>
    <cellStyle name="Normal 5 3 5 20 2" xfId="12266" xr:uid="{00000000-0005-0000-0000-00007E350000}"/>
    <cellStyle name="Normal 5 3 5 21" xfId="12267" xr:uid="{00000000-0005-0000-0000-00007F350000}"/>
    <cellStyle name="Normal 5 3 5 21 2" xfId="12268" xr:uid="{00000000-0005-0000-0000-000080350000}"/>
    <cellStyle name="Normal 5 3 5 22" xfId="12269" xr:uid="{00000000-0005-0000-0000-000081350000}"/>
    <cellStyle name="Normal 5 3 5 22 2" xfId="12270" xr:uid="{00000000-0005-0000-0000-000082350000}"/>
    <cellStyle name="Normal 5 3 5 23" xfId="12271" xr:uid="{00000000-0005-0000-0000-000083350000}"/>
    <cellStyle name="Normal 5 3 5 23 2" xfId="12272" xr:uid="{00000000-0005-0000-0000-000084350000}"/>
    <cellStyle name="Normal 5 3 5 24" xfId="12273" xr:uid="{00000000-0005-0000-0000-000085350000}"/>
    <cellStyle name="Normal 5 3 5 24 2" xfId="12274" xr:uid="{00000000-0005-0000-0000-000086350000}"/>
    <cellStyle name="Normal 5 3 5 25" xfId="12275" xr:uid="{00000000-0005-0000-0000-000087350000}"/>
    <cellStyle name="Normal 5 3 5 25 2" xfId="12276" xr:uid="{00000000-0005-0000-0000-000088350000}"/>
    <cellStyle name="Normal 5 3 5 26" xfId="12277" xr:uid="{00000000-0005-0000-0000-000089350000}"/>
    <cellStyle name="Normal 5 3 5 26 2" xfId="12278" xr:uid="{00000000-0005-0000-0000-00008A350000}"/>
    <cellStyle name="Normal 5 3 5 27" xfId="12279" xr:uid="{00000000-0005-0000-0000-00008B350000}"/>
    <cellStyle name="Normal 5 3 5 27 2" xfId="12280" xr:uid="{00000000-0005-0000-0000-00008C350000}"/>
    <cellStyle name="Normal 5 3 5 28" xfId="12281" xr:uid="{00000000-0005-0000-0000-00008D350000}"/>
    <cellStyle name="Normal 5 3 5 28 2" xfId="12282" xr:uid="{00000000-0005-0000-0000-00008E350000}"/>
    <cellStyle name="Normal 5 3 5 29" xfId="12283" xr:uid="{00000000-0005-0000-0000-00008F350000}"/>
    <cellStyle name="Normal 5 3 5 29 2" xfId="12284" xr:uid="{00000000-0005-0000-0000-000090350000}"/>
    <cellStyle name="Normal 5 3 5 3" xfId="12285" xr:uid="{00000000-0005-0000-0000-000091350000}"/>
    <cellStyle name="Normal 5 3 5 3 2" xfId="12286" xr:uid="{00000000-0005-0000-0000-000092350000}"/>
    <cellStyle name="Normal 5 3 5 30" xfId="12287" xr:uid="{00000000-0005-0000-0000-000093350000}"/>
    <cellStyle name="Normal 5 3 5 30 2" xfId="12288" xr:uid="{00000000-0005-0000-0000-000094350000}"/>
    <cellStyle name="Normal 5 3 5 31" xfId="12289" xr:uid="{00000000-0005-0000-0000-000095350000}"/>
    <cellStyle name="Normal 5 3 5 31 2" xfId="12290" xr:uid="{00000000-0005-0000-0000-000096350000}"/>
    <cellStyle name="Normal 5 3 5 32" xfId="12291" xr:uid="{00000000-0005-0000-0000-000097350000}"/>
    <cellStyle name="Normal 5 3 5 32 2" xfId="12292" xr:uid="{00000000-0005-0000-0000-000098350000}"/>
    <cellStyle name="Normal 5 3 5 33" xfId="12293" xr:uid="{00000000-0005-0000-0000-000099350000}"/>
    <cellStyle name="Normal 5 3 5 33 2" xfId="12294" xr:uid="{00000000-0005-0000-0000-00009A350000}"/>
    <cellStyle name="Normal 5 3 5 34" xfId="12295" xr:uid="{00000000-0005-0000-0000-00009B350000}"/>
    <cellStyle name="Normal 5 3 5 34 2" xfId="12296" xr:uid="{00000000-0005-0000-0000-00009C350000}"/>
    <cellStyle name="Normal 5 3 5 35" xfId="12297" xr:uid="{00000000-0005-0000-0000-00009D350000}"/>
    <cellStyle name="Normal 5 3 5 4" xfId="12298" xr:uid="{00000000-0005-0000-0000-00009E350000}"/>
    <cellStyle name="Normal 5 3 5 4 2" xfId="12299" xr:uid="{00000000-0005-0000-0000-00009F350000}"/>
    <cellStyle name="Normal 5 3 5 5" xfId="12300" xr:uid="{00000000-0005-0000-0000-0000A0350000}"/>
    <cellStyle name="Normal 5 3 5 5 2" xfId="12301" xr:uid="{00000000-0005-0000-0000-0000A1350000}"/>
    <cellStyle name="Normal 5 3 5 6" xfId="12302" xr:uid="{00000000-0005-0000-0000-0000A2350000}"/>
    <cellStyle name="Normal 5 3 5 6 2" xfId="12303" xr:uid="{00000000-0005-0000-0000-0000A3350000}"/>
    <cellStyle name="Normal 5 3 5 7" xfId="12304" xr:uid="{00000000-0005-0000-0000-0000A4350000}"/>
    <cellStyle name="Normal 5 3 5 7 2" xfId="12305" xr:uid="{00000000-0005-0000-0000-0000A5350000}"/>
    <cellStyle name="Normal 5 3 5 8" xfId="12306" xr:uid="{00000000-0005-0000-0000-0000A6350000}"/>
    <cellStyle name="Normal 5 3 5 8 2" xfId="12307" xr:uid="{00000000-0005-0000-0000-0000A7350000}"/>
    <cellStyle name="Normal 5 3 5 9" xfId="12308" xr:uid="{00000000-0005-0000-0000-0000A8350000}"/>
    <cellStyle name="Normal 5 3 5 9 2" xfId="12309" xr:uid="{00000000-0005-0000-0000-0000A9350000}"/>
    <cellStyle name="Normal 5 3 50" xfId="12310" xr:uid="{00000000-0005-0000-0000-0000AA350000}"/>
    <cellStyle name="Normal 5 3 50 2" xfId="12311" xr:uid="{00000000-0005-0000-0000-0000AB350000}"/>
    <cellStyle name="Normal 5 3 51" xfId="12312" xr:uid="{00000000-0005-0000-0000-0000AC350000}"/>
    <cellStyle name="Normal 5 3 52" xfId="11584" xr:uid="{00000000-0005-0000-0000-0000AD350000}"/>
    <cellStyle name="Normal 5 3 6" xfId="12313" xr:uid="{00000000-0005-0000-0000-0000AE350000}"/>
    <cellStyle name="Normal 5 3 6 2" xfId="12314" xr:uid="{00000000-0005-0000-0000-0000AF350000}"/>
    <cellStyle name="Normal 5 3 6 2 2" xfId="12315" xr:uid="{00000000-0005-0000-0000-0000B0350000}"/>
    <cellStyle name="Normal 5 3 6 3" xfId="12316" xr:uid="{00000000-0005-0000-0000-0000B1350000}"/>
    <cellStyle name="Normal 5 3 6 3 2" xfId="12317" xr:uid="{00000000-0005-0000-0000-0000B2350000}"/>
    <cellStyle name="Normal 5 3 6 4" xfId="12318" xr:uid="{00000000-0005-0000-0000-0000B3350000}"/>
    <cellStyle name="Normal 5 3 6 4 2" xfId="12319" xr:uid="{00000000-0005-0000-0000-0000B4350000}"/>
    <cellStyle name="Normal 5 3 6 5" xfId="12320" xr:uid="{00000000-0005-0000-0000-0000B5350000}"/>
    <cellStyle name="Normal 5 3 6 5 2" xfId="12321" xr:uid="{00000000-0005-0000-0000-0000B6350000}"/>
    <cellStyle name="Normal 5 3 6 6" xfId="12322" xr:uid="{00000000-0005-0000-0000-0000B7350000}"/>
    <cellStyle name="Normal 5 3 7" xfId="12323" xr:uid="{00000000-0005-0000-0000-0000B8350000}"/>
    <cellStyle name="Normal 5 3 7 2" xfId="12324" xr:uid="{00000000-0005-0000-0000-0000B9350000}"/>
    <cellStyle name="Normal 5 3 7 2 2" xfId="12325" xr:uid="{00000000-0005-0000-0000-0000BA350000}"/>
    <cellStyle name="Normal 5 3 7 3" xfId="12326" xr:uid="{00000000-0005-0000-0000-0000BB350000}"/>
    <cellStyle name="Normal 5 3 7 3 2" xfId="12327" xr:uid="{00000000-0005-0000-0000-0000BC350000}"/>
    <cellStyle name="Normal 5 3 7 4" xfId="12328" xr:uid="{00000000-0005-0000-0000-0000BD350000}"/>
    <cellStyle name="Normal 5 3 7 4 2" xfId="12329" xr:uid="{00000000-0005-0000-0000-0000BE350000}"/>
    <cellStyle name="Normal 5 3 7 5" xfId="12330" xr:uid="{00000000-0005-0000-0000-0000BF350000}"/>
    <cellStyle name="Normal 5 3 7 5 2" xfId="12331" xr:uid="{00000000-0005-0000-0000-0000C0350000}"/>
    <cellStyle name="Normal 5 3 7 6" xfId="12332" xr:uid="{00000000-0005-0000-0000-0000C1350000}"/>
    <cellStyle name="Normal 5 3 8" xfId="12333" xr:uid="{00000000-0005-0000-0000-0000C2350000}"/>
    <cellStyle name="Normal 5 3 8 2" xfId="12334" xr:uid="{00000000-0005-0000-0000-0000C3350000}"/>
    <cellStyle name="Normal 5 3 9" xfId="12335" xr:uid="{00000000-0005-0000-0000-0000C4350000}"/>
    <cellStyle name="Normal 5 3 9 2" xfId="12336" xr:uid="{00000000-0005-0000-0000-0000C5350000}"/>
    <cellStyle name="Normal 5 30" xfId="12337" xr:uid="{00000000-0005-0000-0000-0000C6350000}"/>
    <cellStyle name="Normal 5 31" xfId="12338" xr:uid="{00000000-0005-0000-0000-0000C7350000}"/>
    <cellStyle name="Normal 5 32" xfId="12339" xr:uid="{00000000-0005-0000-0000-0000C8350000}"/>
    <cellStyle name="Normal 5 33" xfId="12340" xr:uid="{00000000-0005-0000-0000-0000C9350000}"/>
    <cellStyle name="Normal 5 34" xfId="12341" xr:uid="{00000000-0005-0000-0000-0000CA350000}"/>
    <cellStyle name="Normal 5 35" xfId="12342" xr:uid="{00000000-0005-0000-0000-0000CB350000}"/>
    <cellStyle name="Normal 5 36" xfId="12343" xr:uid="{00000000-0005-0000-0000-0000CC350000}"/>
    <cellStyle name="Normal 5 37" xfId="12344" xr:uid="{00000000-0005-0000-0000-0000CD350000}"/>
    <cellStyle name="Normal 5 4" xfId="355" xr:uid="{00000000-0005-0000-0000-0000CE350000}"/>
    <cellStyle name="Normal 5 4 10" xfId="12346" xr:uid="{00000000-0005-0000-0000-0000CF350000}"/>
    <cellStyle name="Normal 5 4 10 2" xfId="12347" xr:uid="{00000000-0005-0000-0000-0000D0350000}"/>
    <cellStyle name="Normal 5 4 11" xfId="12348" xr:uid="{00000000-0005-0000-0000-0000D1350000}"/>
    <cellStyle name="Normal 5 4 11 2" xfId="12349" xr:uid="{00000000-0005-0000-0000-0000D2350000}"/>
    <cellStyle name="Normal 5 4 12" xfId="12350" xr:uid="{00000000-0005-0000-0000-0000D3350000}"/>
    <cellStyle name="Normal 5 4 12 2" xfId="12351" xr:uid="{00000000-0005-0000-0000-0000D4350000}"/>
    <cellStyle name="Normal 5 4 13" xfId="12352" xr:uid="{00000000-0005-0000-0000-0000D5350000}"/>
    <cellStyle name="Normal 5 4 13 2" xfId="12353" xr:uid="{00000000-0005-0000-0000-0000D6350000}"/>
    <cellStyle name="Normal 5 4 14" xfId="12354" xr:uid="{00000000-0005-0000-0000-0000D7350000}"/>
    <cellStyle name="Normal 5 4 14 2" xfId="12355" xr:uid="{00000000-0005-0000-0000-0000D8350000}"/>
    <cellStyle name="Normal 5 4 15" xfId="12356" xr:uid="{00000000-0005-0000-0000-0000D9350000}"/>
    <cellStyle name="Normal 5 4 15 2" xfId="12357" xr:uid="{00000000-0005-0000-0000-0000DA350000}"/>
    <cellStyle name="Normal 5 4 16" xfId="12358" xr:uid="{00000000-0005-0000-0000-0000DB350000}"/>
    <cellStyle name="Normal 5 4 16 2" xfId="12359" xr:uid="{00000000-0005-0000-0000-0000DC350000}"/>
    <cellStyle name="Normal 5 4 17" xfId="12360" xr:uid="{00000000-0005-0000-0000-0000DD350000}"/>
    <cellStyle name="Normal 5 4 17 2" xfId="12361" xr:uid="{00000000-0005-0000-0000-0000DE350000}"/>
    <cellStyle name="Normal 5 4 18" xfId="12362" xr:uid="{00000000-0005-0000-0000-0000DF350000}"/>
    <cellStyle name="Normal 5 4 18 2" xfId="12363" xr:uid="{00000000-0005-0000-0000-0000E0350000}"/>
    <cellStyle name="Normal 5 4 19" xfId="12364" xr:uid="{00000000-0005-0000-0000-0000E1350000}"/>
    <cellStyle name="Normal 5 4 19 2" xfId="12365" xr:uid="{00000000-0005-0000-0000-0000E2350000}"/>
    <cellStyle name="Normal 5 4 2" xfId="356" xr:uid="{00000000-0005-0000-0000-0000E3350000}"/>
    <cellStyle name="Normal 5 4 2 10" xfId="12366" xr:uid="{00000000-0005-0000-0000-0000E4350000}"/>
    <cellStyle name="Normal 5 4 2 10 2" xfId="12367" xr:uid="{00000000-0005-0000-0000-0000E5350000}"/>
    <cellStyle name="Normal 5 4 2 11" xfId="12368" xr:uid="{00000000-0005-0000-0000-0000E6350000}"/>
    <cellStyle name="Normal 5 4 2 11 2" xfId="12369" xr:uid="{00000000-0005-0000-0000-0000E7350000}"/>
    <cellStyle name="Normal 5 4 2 12" xfId="12370" xr:uid="{00000000-0005-0000-0000-0000E8350000}"/>
    <cellStyle name="Normal 5 4 2 12 2" xfId="12371" xr:uid="{00000000-0005-0000-0000-0000E9350000}"/>
    <cellStyle name="Normal 5 4 2 13" xfId="12372" xr:uid="{00000000-0005-0000-0000-0000EA350000}"/>
    <cellStyle name="Normal 5 4 2 13 2" xfId="12373" xr:uid="{00000000-0005-0000-0000-0000EB350000}"/>
    <cellStyle name="Normal 5 4 2 14" xfId="12374" xr:uid="{00000000-0005-0000-0000-0000EC350000}"/>
    <cellStyle name="Normal 5 4 2 14 2" xfId="12375" xr:uid="{00000000-0005-0000-0000-0000ED350000}"/>
    <cellStyle name="Normal 5 4 2 15" xfId="12376" xr:uid="{00000000-0005-0000-0000-0000EE350000}"/>
    <cellStyle name="Normal 5 4 2 15 2" xfId="12377" xr:uid="{00000000-0005-0000-0000-0000EF350000}"/>
    <cellStyle name="Normal 5 4 2 16" xfId="12378" xr:uid="{00000000-0005-0000-0000-0000F0350000}"/>
    <cellStyle name="Normal 5 4 2 16 2" xfId="12379" xr:uid="{00000000-0005-0000-0000-0000F1350000}"/>
    <cellStyle name="Normal 5 4 2 17" xfId="12380" xr:uid="{00000000-0005-0000-0000-0000F2350000}"/>
    <cellStyle name="Normal 5 4 2 17 2" xfId="12381" xr:uid="{00000000-0005-0000-0000-0000F3350000}"/>
    <cellStyle name="Normal 5 4 2 18" xfId="12382" xr:uid="{00000000-0005-0000-0000-0000F4350000}"/>
    <cellStyle name="Normal 5 4 2 18 2" xfId="12383" xr:uid="{00000000-0005-0000-0000-0000F5350000}"/>
    <cellStyle name="Normal 5 4 2 19" xfId="12384" xr:uid="{00000000-0005-0000-0000-0000F6350000}"/>
    <cellStyle name="Normal 5 4 2 19 2" xfId="12385" xr:uid="{00000000-0005-0000-0000-0000F7350000}"/>
    <cellStyle name="Normal 5 4 2 2" xfId="357" xr:uid="{00000000-0005-0000-0000-0000F8350000}"/>
    <cellStyle name="Normal 5 4 2 2 10" xfId="12386" xr:uid="{00000000-0005-0000-0000-0000F9350000}"/>
    <cellStyle name="Normal 5 4 2 2 10 2" xfId="12387" xr:uid="{00000000-0005-0000-0000-0000FA350000}"/>
    <cellStyle name="Normal 5 4 2 2 11" xfId="12388" xr:uid="{00000000-0005-0000-0000-0000FB350000}"/>
    <cellStyle name="Normal 5 4 2 2 11 2" xfId="12389" xr:uid="{00000000-0005-0000-0000-0000FC350000}"/>
    <cellStyle name="Normal 5 4 2 2 12" xfId="12390" xr:uid="{00000000-0005-0000-0000-0000FD350000}"/>
    <cellStyle name="Normal 5 4 2 2 12 2" xfId="12391" xr:uid="{00000000-0005-0000-0000-0000FE350000}"/>
    <cellStyle name="Normal 5 4 2 2 13" xfId="12392" xr:uid="{00000000-0005-0000-0000-0000FF350000}"/>
    <cellStyle name="Normal 5 4 2 2 13 2" xfId="12393" xr:uid="{00000000-0005-0000-0000-000000360000}"/>
    <cellStyle name="Normal 5 4 2 2 14" xfId="12394" xr:uid="{00000000-0005-0000-0000-000001360000}"/>
    <cellStyle name="Normal 5 4 2 2 14 2" xfId="12395" xr:uid="{00000000-0005-0000-0000-000002360000}"/>
    <cellStyle name="Normal 5 4 2 2 15" xfId="12396" xr:uid="{00000000-0005-0000-0000-000003360000}"/>
    <cellStyle name="Normal 5 4 2 2 15 2" xfId="12397" xr:uid="{00000000-0005-0000-0000-000004360000}"/>
    <cellStyle name="Normal 5 4 2 2 16" xfId="12398" xr:uid="{00000000-0005-0000-0000-000005360000}"/>
    <cellStyle name="Normal 5 4 2 2 16 2" xfId="12399" xr:uid="{00000000-0005-0000-0000-000006360000}"/>
    <cellStyle name="Normal 5 4 2 2 17" xfId="12400" xr:uid="{00000000-0005-0000-0000-000007360000}"/>
    <cellStyle name="Normal 5 4 2 2 17 2" xfId="12401" xr:uid="{00000000-0005-0000-0000-000008360000}"/>
    <cellStyle name="Normal 5 4 2 2 18" xfId="12402" xr:uid="{00000000-0005-0000-0000-000009360000}"/>
    <cellStyle name="Normal 5 4 2 2 18 2" xfId="12403" xr:uid="{00000000-0005-0000-0000-00000A360000}"/>
    <cellStyle name="Normal 5 4 2 2 19" xfId="12404" xr:uid="{00000000-0005-0000-0000-00000B360000}"/>
    <cellStyle name="Normal 5 4 2 2 19 2" xfId="12405" xr:uid="{00000000-0005-0000-0000-00000C360000}"/>
    <cellStyle name="Normal 5 4 2 2 2" xfId="12406" xr:uid="{00000000-0005-0000-0000-00000D360000}"/>
    <cellStyle name="Normal 5 4 2 2 2 2" xfId="12407" xr:uid="{00000000-0005-0000-0000-00000E360000}"/>
    <cellStyle name="Normal 5 4 2 2 20" xfId="12408" xr:uid="{00000000-0005-0000-0000-00000F360000}"/>
    <cellStyle name="Normal 5 4 2 2 20 2" xfId="12409" xr:uid="{00000000-0005-0000-0000-000010360000}"/>
    <cellStyle name="Normal 5 4 2 2 21" xfId="12410" xr:uid="{00000000-0005-0000-0000-000011360000}"/>
    <cellStyle name="Normal 5 4 2 2 21 2" xfId="12411" xr:uid="{00000000-0005-0000-0000-000012360000}"/>
    <cellStyle name="Normal 5 4 2 2 22" xfId="12412" xr:uid="{00000000-0005-0000-0000-000013360000}"/>
    <cellStyle name="Normal 5 4 2 2 22 2" xfId="12413" xr:uid="{00000000-0005-0000-0000-000014360000}"/>
    <cellStyle name="Normal 5 4 2 2 23" xfId="12414" xr:uid="{00000000-0005-0000-0000-000015360000}"/>
    <cellStyle name="Normal 5 4 2 2 23 2" xfId="12415" xr:uid="{00000000-0005-0000-0000-000016360000}"/>
    <cellStyle name="Normal 5 4 2 2 24" xfId="12416" xr:uid="{00000000-0005-0000-0000-000017360000}"/>
    <cellStyle name="Normal 5 4 2 2 24 2" xfId="12417" xr:uid="{00000000-0005-0000-0000-000018360000}"/>
    <cellStyle name="Normal 5 4 2 2 25" xfId="12418" xr:uid="{00000000-0005-0000-0000-000019360000}"/>
    <cellStyle name="Normal 5 4 2 2 25 2" xfId="12419" xr:uid="{00000000-0005-0000-0000-00001A360000}"/>
    <cellStyle name="Normal 5 4 2 2 26" xfId="12420" xr:uid="{00000000-0005-0000-0000-00001B360000}"/>
    <cellStyle name="Normal 5 4 2 2 26 2" xfId="12421" xr:uid="{00000000-0005-0000-0000-00001C360000}"/>
    <cellStyle name="Normal 5 4 2 2 27" xfId="12422" xr:uid="{00000000-0005-0000-0000-00001D360000}"/>
    <cellStyle name="Normal 5 4 2 2 27 2" xfId="12423" xr:uid="{00000000-0005-0000-0000-00001E360000}"/>
    <cellStyle name="Normal 5 4 2 2 28" xfId="12424" xr:uid="{00000000-0005-0000-0000-00001F360000}"/>
    <cellStyle name="Normal 5 4 2 2 28 2" xfId="12425" xr:uid="{00000000-0005-0000-0000-000020360000}"/>
    <cellStyle name="Normal 5 4 2 2 29" xfId="12426" xr:uid="{00000000-0005-0000-0000-000021360000}"/>
    <cellStyle name="Normal 5 4 2 2 29 2" xfId="12427" xr:uid="{00000000-0005-0000-0000-000022360000}"/>
    <cellStyle name="Normal 5 4 2 2 3" xfId="12428" xr:uid="{00000000-0005-0000-0000-000023360000}"/>
    <cellStyle name="Normal 5 4 2 2 3 2" xfId="12429" xr:uid="{00000000-0005-0000-0000-000024360000}"/>
    <cellStyle name="Normal 5 4 2 2 30" xfId="12430" xr:uid="{00000000-0005-0000-0000-000025360000}"/>
    <cellStyle name="Normal 5 4 2 2 30 2" xfId="12431" xr:uid="{00000000-0005-0000-0000-000026360000}"/>
    <cellStyle name="Normal 5 4 2 2 31" xfId="12432" xr:uid="{00000000-0005-0000-0000-000027360000}"/>
    <cellStyle name="Normal 5 4 2 2 31 2" xfId="12433" xr:uid="{00000000-0005-0000-0000-000028360000}"/>
    <cellStyle name="Normal 5 4 2 2 32" xfId="12434" xr:uid="{00000000-0005-0000-0000-000029360000}"/>
    <cellStyle name="Normal 5 4 2 2 32 2" xfId="12435" xr:uid="{00000000-0005-0000-0000-00002A360000}"/>
    <cellStyle name="Normal 5 4 2 2 33" xfId="12436" xr:uid="{00000000-0005-0000-0000-00002B360000}"/>
    <cellStyle name="Normal 5 4 2 2 33 2" xfId="12437" xr:uid="{00000000-0005-0000-0000-00002C360000}"/>
    <cellStyle name="Normal 5 4 2 2 34" xfId="12438" xr:uid="{00000000-0005-0000-0000-00002D360000}"/>
    <cellStyle name="Normal 5 4 2 2 34 2" xfId="12439" xr:uid="{00000000-0005-0000-0000-00002E360000}"/>
    <cellStyle name="Normal 5 4 2 2 35" xfId="12440" xr:uid="{00000000-0005-0000-0000-00002F360000}"/>
    <cellStyle name="Normal 5 4 2 2 4" xfId="12441" xr:uid="{00000000-0005-0000-0000-000030360000}"/>
    <cellStyle name="Normal 5 4 2 2 4 2" xfId="12442" xr:uid="{00000000-0005-0000-0000-000031360000}"/>
    <cellStyle name="Normal 5 4 2 2 5" xfId="12443" xr:uid="{00000000-0005-0000-0000-000032360000}"/>
    <cellStyle name="Normal 5 4 2 2 5 2" xfId="12444" xr:uid="{00000000-0005-0000-0000-000033360000}"/>
    <cellStyle name="Normal 5 4 2 2 6" xfId="12445" xr:uid="{00000000-0005-0000-0000-000034360000}"/>
    <cellStyle name="Normal 5 4 2 2 6 2" xfId="12446" xr:uid="{00000000-0005-0000-0000-000035360000}"/>
    <cellStyle name="Normal 5 4 2 2 7" xfId="12447" xr:uid="{00000000-0005-0000-0000-000036360000}"/>
    <cellStyle name="Normal 5 4 2 2 7 2" xfId="12448" xr:uid="{00000000-0005-0000-0000-000037360000}"/>
    <cellStyle name="Normal 5 4 2 2 8" xfId="12449" xr:uid="{00000000-0005-0000-0000-000038360000}"/>
    <cellStyle name="Normal 5 4 2 2 8 2" xfId="12450" xr:uid="{00000000-0005-0000-0000-000039360000}"/>
    <cellStyle name="Normal 5 4 2 2 9" xfId="12451" xr:uid="{00000000-0005-0000-0000-00003A360000}"/>
    <cellStyle name="Normal 5 4 2 2 9 2" xfId="12452" xr:uid="{00000000-0005-0000-0000-00003B360000}"/>
    <cellStyle name="Normal 5 4 2 20" xfId="12453" xr:uid="{00000000-0005-0000-0000-00003C360000}"/>
    <cellStyle name="Normal 5 4 2 20 2" xfId="12454" xr:uid="{00000000-0005-0000-0000-00003D360000}"/>
    <cellStyle name="Normal 5 4 2 21" xfId="12455" xr:uid="{00000000-0005-0000-0000-00003E360000}"/>
    <cellStyle name="Normal 5 4 2 21 2" xfId="12456" xr:uid="{00000000-0005-0000-0000-00003F360000}"/>
    <cellStyle name="Normal 5 4 2 22" xfId="12457" xr:uid="{00000000-0005-0000-0000-000040360000}"/>
    <cellStyle name="Normal 5 4 2 22 2" xfId="12458" xr:uid="{00000000-0005-0000-0000-000041360000}"/>
    <cellStyle name="Normal 5 4 2 23" xfId="12459" xr:uid="{00000000-0005-0000-0000-000042360000}"/>
    <cellStyle name="Normal 5 4 2 23 2" xfId="12460" xr:uid="{00000000-0005-0000-0000-000043360000}"/>
    <cellStyle name="Normal 5 4 2 24" xfId="12461" xr:uid="{00000000-0005-0000-0000-000044360000}"/>
    <cellStyle name="Normal 5 4 2 24 2" xfId="12462" xr:uid="{00000000-0005-0000-0000-000045360000}"/>
    <cellStyle name="Normal 5 4 2 25" xfId="12463" xr:uid="{00000000-0005-0000-0000-000046360000}"/>
    <cellStyle name="Normal 5 4 2 25 2" xfId="12464" xr:uid="{00000000-0005-0000-0000-000047360000}"/>
    <cellStyle name="Normal 5 4 2 26" xfId="12465" xr:uid="{00000000-0005-0000-0000-000048360000}"/>
    <cellStyle name="Normal 5 4 2 26 2" xfId="12466" xr:uid="{00000000-0005-0000-0000-000049360000}"/>
    <cellStyle name="Normal 5 4 2 27" xfId="12467" xr:uid="{00000000-0005-0000-0000-00004A360000}"/>
    <cellStyle name="Normal 5 4 2 27 2" xfId="12468" xr:uid="{00000000-0005-0000-0000-00004B360000}"/>
    <cellStyle name="Normal 5 4 2 28" xfId="12469" xr:uid="{00000000-0005-0000-0000-00004C360000}"/>
    <cellStyle name="Normal 5 4 2 28 2" xfId="12470" xr:uid="{00000000-0005-0000-0000-00004D360000}"/>
    <cellStyle name="Normal 5 4 2 29" xfId="12471" xr:uid="{00000000-0005-0000-0000-00004E360000}"/>
    <cellStyle name="Normal 5 4 2 29 2" xfId="12472" xr:uid="{00000000-0005-0000-0000-00004F360000}"/>
    <cellStyle name="Normal 5 4 2 3" xfId="12473" xr:uid="{00000000-0005-0000-0000-000050360000}"/>
    <cellStyle name="Normal 5 4 2 3 10" xfId="12474" xr:uid="{00000000-0005-0000-0000-000051360000}"/>
    <cellStyle name="Normal 5 4 2 3 10 2" xfId="12475" xr:uid="{00000000-0005-0000-0000-000052360000}"/>
    <cellStyle name="Normal 5 4 2 3 11" xfId="12476" xr:uid="{00000000-0005-0000-0000-000053360000}"/>
    <cellStyle name="Normal 5 4 2 3 11 2" xfId="12477" xr:uid="{00000000-0005-0000-0000-000054360000}"/>
    <cellStyle name="Normal 5 4 2 3 12" xfId="12478" xr:uid="{00000000-0005-0000-0000-000055360000}"/>
    <cellStyle name="Normal 5 4 2 3 12 2" xfId="12479" xr:uid="{00000000-0005-0000-0000-000056360000}"/>
    <cellStyle name="Normal 5 4 2 3 13" xfId="12480" xr:uid="{00000000-0005-0000-0000-000057360000}"/>
    <cellStyle name="Normal 5 4 2 3 13 2" xfId="12481" xr:uid="{00000000-0005-0000-0000-000058360000}"/>
    <cellStyle name="Normal 5 4 2 3 14" xfId="12482" xr:uid="{00000000-0005-0000-0000-000059360000}"/>
    <cellStyle name="Normal 5 4 2 3 14 2" xfId="12483" xr:uid="{00000000-0005-0000-0000-00005A360000}"/>
    <cellStyle name="Normal 5 4 2 3 15" xfId="12484" xr:uid="{00000000-0005-0000-0000-00005B360000}"/>
    <cellStyle name="Normal 5 4 2 3 15 2" xfId="12485" xr:uid="{00000000-0005-0000-0000-00005C360000}"/>
    <cellStyle name="Normal 5 4 2 3 16" xfId="12486" xr:uid="{00000000-0005-0000-0000-00005D360000}"/>
    <cellStyle name="Normal 5 4 2 3 16 2" xfId="12487" xr:uid="{00000000-0005-0000-0000-00005E360000}"/>
    <cellStyle name="Normal 5 4 2 3 17" xfId="12488" xr:uid="{00000000-0005-0000-0000-00005F360000}"/>
    <cellStyle name="Normal 5 4 2 3 17 2" xfId="12489" xr:uid="{00000000-0005-0000-0000-000060360000}"/>
    <cellStyle name="Normal 5 4 2 3 18" xfId="12490" xr:uid="{00000000-0005-0000-0000-000061360000}"/>
    <cellStyle name="Normal 5 4 2 3 18 2" xfId="12491" xr:uid="{00000000-0005-0000-0000-000062360000}"/>
    <cellStyle name="Normal 5 4 2 3 19" xfId="12492" xr:uid="{00000000-0005-0000-0000-000063360000}"/>
    <cellStyle name="Normal 5 4 2 3 19 2" xfId="12493" xr:uid="{00000000-0005-0000-0000-000064360000}"/>
    <cellStyle name="Normal 5 4 2 3 2" xfId="12494" xr:uid="{00000000-0005-0000-0000-000065360000}"/>
    <cellStyle name="Normal 5 4 2 3 2 2" xfId="12495" xr:uid="{00000000-0005-0000-0000-000066360000}"/>
    <cellStyle name="Normal 5 4 2 3 20" xfId="12496" xr:uid="{00000000-0005-0000-0000-000067360000}"/>
    <cellStyle name="Normal 5 4 2 3 20 2" xfId="12497" xr:uid="{00000000-0005-0000-0000-000068360000}"/>
    <cellStyle name="Normal 5 4 2 3 21" xfId="12498" xr:uid="{00000000-0005-0000-0000-000069360000}"/>
    <cellStyle name="Normal 5 4 2 3 21 2" xfId="12499" xr:uid="{00000000-0005-0000-0000-00006A360000}"/>
    <cellStyle name="Normal 5 4 2 3 22" xfId="12500" xr:uid="{00000000-0005-0000-0000-00006B360000}"/>
    <cellStyle name="Normal 5 4 2 3 22 2" xfId="12501" xr:uid="{00000000-0005-0000-0000-00006C360000}"/>
    <cellStyle name="Normal 5 4 2 3 23" xfId="12502" xr:uid="{00000000-0005-0000-0000-00006D360000}"/>
    <cellStyle name="Normal 5 4 2 3 23 2" xfId="12503" xr:uid="{00000000-0005-0000-0000-00006E360000}"/>
    <cellStyle name="Normal 5 4 2 3 24" xfId="12504" xr:uid="{00000000-0005-0000-0000-00006F360000}"/>
    <cellStyle name="Normal 5 4 2 3 24 2" xfId="12505" xr:uid="{00000000-0005-0000-0000-000070360000}"/>
    <cellStyle name="Normal 5 4 2 3 25" xfId="12506" xr:uid="{00000000-0005-0000-0000-000071360000}"/>
    <cellStyle name="Normal 5 4 2 3 25 2" xfId="12507" xr:uid="{00000000-0005-0000-0000-000072360000}"/>
    <cellStyle name="Normal 5 4 2 3 26" xfId="12508" xr:uid="{00000000-0005-0000-0000-000073360000}"/>
    <cellStyle name="Normal 5 4 2 3 26 2" xfId="12509" xr:uid="{00000000-0005-0000-0000-000074360000}"/>
    <cellStyle name="Normal 5 4 2 3 27" xfId="12510" xr:uid="{00000000-0005-0000-0000-000075360000}"/>
    <cellStyle name="Normal 5 4 2 3 27 2" xfId="12511" xr:uid="{00000000-0005-0000-0000-000076360000}"/>
    <cellStyle name="Normal 5 4 2 3 28" xfId="12512" xr:uid="{00000000-0005-0000-0000-000077360000}"/>
    <cellStyle name="Normal 5 4 2 3 28 2" xfId="12513" xr:uid="{00000000-0005-0000-0000-000078360000}"/>
    <cellStyle name="Normal 5 4 2 3 29" xfId="12514" xr:uid="{00000000-0005-0000-0000-000079360000}"/>
    <cellStyle name="Normal 5 4 2 3 29 2" xfId="12515" xr:uid="{00000000-0005-0000-0000-00007A360000}"/>
    <cellStyle name="Normal 5 4 2 3 3" xfId="12516" xr:uid="{00000000-0005-0000-0000-00007B360000}"/>
    <cellStyle name="Normal 5 4 2 3 3 2" xfId="12517" xr:uid="{00000000-0005-0000-0000-00007C360000}"/>
    <cellStyle name="Normal 5 4 2 3 30" xfId="12518" xr:uid="{00000000-0005-0000-0000-00007D360000}"/>
    <cellStyle name="Normal 5 4 2 3 30 2" xfId="12519" xr:uid="{00000000-0005-0000-0000-00007E360000}"/>
    <cellStyle name="Normal 5 4 2 3 31" xfId="12520" xr:uid="{00000000-0005-0000-0000-00007F360000}"/>
    <cellStyle name="Normal 5 4 2 3 31 2" xfId="12521" xr:uid="{00000000-0005-0000-0000-000080360000}"/>
    <cellStyle name="Normal 5 4 2 3 32" xfId="12522" xr:uid="{00000000-0005-0000-0000-000081360000}"/>
    <cellStyle name="Normal 5 4 2 3 32 2" xfId="12523" xr:uid="{00000000-0005-0000-0000-000082360000}"/>
    <cellStyle name="Normal 5 4 2 3 33" xfId="12524" xr:uid="{00000000-0005-0000-0000-000083360000}"/>
    <cellStyle name="Normal 5 4 2 3 33 2" xfId="12525" xr:uid="{00000000-0005-0000-0000-000084360000}"/>
    <cellStyle name="Normal 5 4 2 3 34" xfId="12526" xr:uid="{00000000-0005-0000-0000-000085360000}"/>
    <cellStyle name="Normal 5 4 2 3 34 2" xfId="12527" xr:uid="{00000000-0005-0000-0000-000086360000}"/>
    <cellStyle name="Normal 5 4 2 3 35" xfId="12528" xr:uid="{00000000-0005-0000-0000-000087360000}"/>
    <cellStyle name="Normal 5 4 2 3 4" xfId="12529" xr:uid="{00000000-0005-0000-0000-000088360000}"/>
    <cellStyle name="Normal 5 4 2 3 4 2" xfId="12530" xr:uid="{00000000-0005-0000-0000-000089360000}"/>
    <cellStyle name="Normal 5 4 2 3 5" xfId="12531" xr:uid="{00000000-0005-0000-0000-00008A360000}"/>
    <cellStyle name="Normal 5 4 2 3 5 2" xfId="12532" xr:uid="{00000000-0005-0000-0000-00008B360000}"/>
    <cellStyle name="Normal 5 4 2 3 6" xfId="12533" xr:uid="{00000000-0005-0000-0000-00008C360000}"/>
    <cellStyle name="Normal 5 4 2 3 6 2" xfId="12534" xr:uid="{00000000-0005-0000-0000-00008D360000}"/>
    <cellStyle name="Normal 5 4 2 3 7" xfId="12535" xr:uid="{00000000-0005-0000-0000-00008E360000}"/>
    <cellStyle name="Normal 5 4 2 3 7 2" xfId="12536" xr:uid="{00000000-0005-0000-0000-00008F360000}"/>
    <cellStyle name="Normal 5 4 2 3 8" xfId="12537" xr:uid="{00000000-0005-0000-0000-000090360000}"/>
    <cellStyle name="Normal 5 4 2 3 8 2" xfId="12538" xr:uid="{00000000-0005-0000-0000-000091360000}"/>
    <cellStyle name="Normal 5 4 2 3 9" xfId="12539" xr:uid="{00000000-0005-0000-0000-000092360000}"/>
    <cellStyle name="Normal 5 4 2 3 9 2" xfId="12540" xr:uid="{00000000-0005-0000-0000-000093360000}"/>
    <cellStyle name="Normal 5 4 2 30" xfId="12541" xr:uid="{00000000-0005-0000-0000-000094360000}"/>
    <cellStyle name="Normal 5 4 2 30 2" xfId="12542" xr:uid="{00000000-0005-0000-0000-000095360000}"/>
    <cellStyle name="Normal 5 4 2 31" xfId="12543" xr:uid="{00000000-0005-0000-0000-000096360000}"/>
    <cellStyle name="Normal 5 4 2 31 2" xfId="12544" xr:uid="{00000000-0005-0000-0000-000097360000}"/>
    <cellStyle name="Normal 5 4 2 32" xfId="12545" xr:uid="{00000000-0005-0000-0000-000098360000}"/>
    <cellStyle name="Normal 5 4 2 32 2" xfId="12546" xr:uid="{00000000-0005-0000-0000-000099360000}"/>
    <cellStyle name="Normal 5 4 2 33" xfId="12547" xr:uid="{00000000-0005-0000-0000-00009A360000}"/>
    <cellStyle name="Normal 5 4 2 33 2" xfId="12548" xr:uid="{00000000-0005-0000-0000-00009B360000}"/>
    <cellStyle name="Normal 5 4 2 34" xfId="12549" xr:uid="{00000000-0005-0000-0000-00009C360000}"/>
    <cellStyle name="Normal 5 4 2 34 2" xfId="12550" xr:uid="{00000000-0005-0000-0000-00009D360000}"/>
    <cellStyle name="Normal 5 4 2 35" xfId="12551" xr:uid="{00000000-0005-0000-0000-00009E360000}"/>
    <cellStyle name="Normal 5 4 2 35 2" xfId="12552" xr:uid="{00000000-0005-0000-0000-00009F360000}"/>
    <cellStyle name="Normal 5 4 2 36" xfId="12553" xr:uid="{00000000-0005-0000-0000-0000A0360000}"/>
    <cellStyle name="Normal 5 4 2 36 2" xfId="12554" xr:uid="{00000000-0005-0000-0000-0000A1360000}"/>
    <cellStyle name="Normal 5 4 2 37" xfId="12555" xr:uid="{00000000-0005-0000-0000-0000A2360000}"/>
    <cellStyle name="Normal 5 4 2 37 2" xfId="12556" xr:uid="{00000000-0005-0000-0000-0000A3360000}"/>
    <cellStyle name="Normal 5 4 2 38" xfId="12557" xr:uid="{00000000-0005-0000-0000-0000A4360000}"/>
    <cellStyle name="Normal 5 4 2 38 2" xfId="12558" xr:uid="{00000000-0005-0000-0000-0000A5360000}"/>
    <cellStyle name="Normal 5 4 2 39" xfId="12559" xr:uid="{00000000-0005-0000-0000-0000A6360000}"/>
    <cellStyle name="Normal 5 4 2 39 2" xfId="12560" xr:uid="{00000000-0005-0000-0000-0000A7360000}"/>
    <cellStyle name="Normal 5 4 2 4" xfId="12561" xr:uid="{00000000-0005-0000-0000-0000A8360000}"/>
    <cellStyle name="Normal 5 4 2 4 2" xfId="12562" xr:uid="{00000000-0005-0000-0000-0000A9360000}"/>
    <cellStyle name="Normal 5 4 2 4 2 2" xfId="12563" xr:uid="{00000000-0005-0000-0000-0000AA360000}"/>
    <cellStyle name="Normal 5 4 2 4 3" xfId="12564" xr:uid="{00000000-0005-0000-0000-0000AB360000}"/>
    <cellStyle name="Normal 5 4 2 4 3 2" xfId="12565" xr:uid="{00000000-0005-0000-0000-0000AC360000}"/>
    <cellStyle name="Normal 5 4 2 4 4" xfId="12566" xr:uid="{00000000-0005-0000-0000-0000AD360000}"/>
    <cellStyle name="Normal 5 4 2 4 4 2" xfId="12567" xr:uid="{00000000-0005-0000-0000-0000AE360000}"/>
    <cellStyle name="Normal 5 4 2 4 5" xfId="12568" xr:uid="{00000000-0005-0000-0000-0000AF360000}"/>
    <cellStyle name="Normal 5 4 2 4 5 2" xfId="12569" xr:uid="{00000000-0005-0000-0000-0000B0360000}"/>
    <cellStyle name="Normal 5 4 2 4 6" xfId="12570" xr:uid="{00000000-0005-0000-0000-0000B1360000}"/>
    <cellStyle name="Normal 5 4 2 40" xfId="12571" xr:uid="{00000000-0005-0000-0000-0000B2360000}"/>
    <cellStyle name="Normal 5 4 2 40 2" xfId="12572" xr:uid="{00000000-0005-0000-0000-0000B3360000}"/>
    <cellStyle name="Normal 5 4 2 41" xfId="12573" xr:uid="{00000000-0005-0000-0000-0000B4360000}"/>
    <cellStyle name="Normal 5 4 2 41 2" xfId="12574" xr:uid="{00000000-0005-0000-0000-0000B5360000}"/>
    <cellStyle name="Normal 5 4 2 42" xfId="12575" xr:uid="{00000000-0005-0000-0000-0000B6360000}"/>
    <cellStyle name="Normal 5 4 2 42 2" xfId="12576" xr:uid="{00000000-0005-0000-0000-0000B7360000}"/>
    <cellStyle name="Normal 5 4 2 43" xfId="12577" xr:uid="{00000000-0005-0000-0000-0000B8360000}"/>
    <cellStyle name="Normal 5 4 2 43 2" xfId="12578" xr:uid="{00000000-0005-0000-0000-0000B9360000}"/>
    <cellStyle name="Normal 5 4 2 44" xfId="12579" xr:uid="{00000000-0005-0000-0000-0000BA360000}"/>
    <cellStyle name="Normal 5 4 2 44 2" xfId="12580" xr:uid="{00000000-0005-0000-0000-0000BB360000}"/>
    <cellStyle name="Normal 5 4 2 45" xfId="12581" xr:uid="{00000000-0005-0000-0000-0000BC360000}"/>
    <cellStyle name="Normal 5 4 2 45 2" xfId="12582" xr:uid="{00000000-0005-0000-0000-0000BD360000}"/>
    <cellStyle name="Normal 5 4 2 46" xfId="12583" xr:uid="{00000000-0005-0000-0000-0000BE360000}"/>
    <cellStyle name="Normal 5 4 2 46 2" xfId="12584" xr:uid="{00000000-0005-0000-0000-0000BF360000}"/>
    <cellStyle name="Normal 5 4 2 47" xfId="12585" xr:uid="{00000000-0005-0000-0000-0000C0360000}"/>
    <cellStyle name="Normal 5 4 2 5" xfId="12586" xr:uid="{00000000-0005-0000-0000-0000C1360000}"/>
    <cellStyle name="Normal 5 4 2 5 2" xfId="12587" xr:uid="{00000000-0005-0000-0000-0000C2360000}"/>
    <cellStyle name="Normal 5 4 2 6" xfId="12588" xr:uid="{00000000-0005-0000-0000-0000C3360000}"/>
    <cellStyle name="Normal 5 4 2 6 2" xfId="12589" xr:uid="{00000000-0005-0000-0000-0000C4360000}"/>
    <cellStyle name="Normal 5 4 2 7" xfId="12590" xr:uid="{00000000-0005-0000-0000-0000C5360000}"/>
    <cellStyle name="Normal 5 4 2 7 2" xfId="12591" xr:uid="{00000000-0005-0000-0000-0000C6360000}"/>
    <cellStyle name="Normal 5 4 2 8" xfId="12592" xr:uid="{00000000-0005-0000-0000-0000C7360000}"/>
    <cellStyle name="Normal 5 4 2 8 2" xfId="12593" xr:uid="{00000000-0005-0000-0000-0000C8360000}"/>
    <cellStyle name="Normal 5 4 2 9" xfId="12594" xr:uid="{00000000-0005-0000-0000-0000C9360000}"/>
    <cellStyle name="Normal 5 4 2 9 2" xfId="12595" xr:uid="{00000000-0005-0000-0000-0000CA360000}"/>
    <cellStyle name="Normal 5 4 20" xfId="12596" xr:uid="{00000000-0005-0000-0000-0000CB360000}"/>
    <cellStyle name="Normal 5 4 20 2" xfId="12597" xr:uid="{00000000-0005-0000-0000-0000CC360000}"/>
    <cellStyle name="Normal 5 4 21" xfId="12598" xr:uid="{00000000-0005-0000-0000-0000CD360000}"/>
    <cellStyle name="Normal 5 4 21 2" xfId="12599" xr:uid="{00000000-0005-0000-0000-0000CE360000}"/>
    <cellStyle name="Normal 5 4 22" xfId="12600" xr:uid="{00000000-0005-0000-0000-0000CF360000}"/>
    <cellStyle name="Normal 5 4 22 2" xfId="12601" xr:uid="{00000000-0005-0000-0000-0000D0360000}"/>
    <cellStyle name="Normal 5 4 23" xfId="12602" xr:uid="{00000000-0005-0000-0000-0000D1360000}"/>
    <cellStyle name="Normal 5 4 23 2" xfId="12603" xr:uid="{00000000-0005-0000-0000-0000D2360000}"/>
    <cellStyle name="Normal 5 4 24" xfId="12604" xr:uid="{00000000-0005-0000-0000-0000D3360000}"/>
    <cellStyle name="Normal 5 4 24 2" xfId="12605" xr:uid="{00000000-0005-0000-0000-0000D4360000}"/>
    <cellStyle name="Normal 5 4 25" xfId="12606" xr:uid="{00000000-0005-0000-0000-0000D5360000}"/>
    <cellStyle name="Normal 5 4 25 2" xfId="12607" xr:uid="{00000000-0005-0000-0000-0000D6360000}"/>
    <cellStyle name="Normal 5 4 26" xfId="12608" xr:uid="{00000000-0005-0000-0000-0000D7360000}"/>
    <cellStyle name="Normal 5 4 26 2" xfId="12609" xr:uid="{00000000-0005-0000-0000-0000D8360000}"/>
    <cellStyle name="Normal 5 4 27" xfId="12610" xr:uid="{00000000-0005-0000-0000-0000D9360000}"/>
    <cellStyle name="Normal 5 4 27 2" xfId="12611" xr:uid="{00000000-0005-0000-0000-0000DA360000}"/>
    <cellStyle name="Normal 5 4 28" xfId="12612" xr:uid="{00000000-0005-0000-0000-0000DB360000}"/>
    <cellStyle name="Normal 5 4 28 2" xfId="12613" xr:uid="{00000000-0005-0000-0000-0000DC360000}"/>
    <cellStyle name="Normal 5 4 29" xfId="12614" xr:uid="{00000000-0005-0000-0000-0000DD360000}"/>
    <cellStyle name="Normal 5 4 29 2" xfId="12615" xr:uid="{00000000-0005-0000-0000-0000DE360000}"/>
    <cellStyle name="Normal 5 4 3" xfId="358" xr:uid="{00000000-0005-0000-0000-0000DF360000}"/>
    <cellStyle name="Normal 5 4 3 10" xfId="12616" xr:uid="{00000000-0005-0000-0000-0000E0360000}"/>
    <cellStyle name="Normal 5 4 3 10 2" xfId="12617" xr:uid="{00000000-0005-0000-0000-0000E1360000}"/>
    <cellStyle name="Normal 5 4 3 11" xfId="12618" xr:uid="{00000000-0005-0000-0000-0000E2360000}"/>
    <cellStyle name="Normal 5 4 3 11 2" xfId="12619" xr:uid="{00000000-0005-0000-0000-0000E3360000}"/>
    <cellStyle name="Normal 5 4 3 12" xfId="12620" xr:uid="{00000000-0005-0000-0000-0000E4360000}"/>
    <cellStyle name="Normal 5 4 3 12 2" xfId="12621" xr:uid="{00000000-0005-0000-0000-0000E5360000}"/>
    <cellStyle name="Normal 5 4 3 13" xfId="12622" xr:uid="{00000000-0005-0000-0000-0000E6360000}"/>
    <cellStyle name="Normal 5 4 3 13 2" xfId="12623" xr:uid="{00000000-0005-0000-0000-0000E7360000}"/>
    <cellStyle name="Normal 5 4 3 14" xfId="12624" xr:uid="{00000000-0005-0000-0000-0000E8360000}"/>
    <cellStyle name="Normal 5 4 3 14 2" xfId="12625" xr:uid="{00000000-0005-0000-0000-0000E9360000}"/>
    <cellStyle name="Normal 5 4 3 15" xfId="12626" xr:uid="{00000000-0005-0000-0000-0000EA360000}"/>
    <cellStyle name="Normal 5 4 3 15 2" xfId="12627" xr:uid="{00000000-0005-0000-0000-0000EB360000}"/>
    <cellStyle name="Normal 5 4 3 16" xfId="12628" xr:uid="{00000000-0005-0000-0000-0000EC360000}"/>
    <cellStyle name="Normal 5 4 3 16 2" xfId="12629" xr:uid="{00000000-0005-0000-0000-0000ED360000}"/>
    <cellStyle name="Normal 5 4 3 17" xfId="12630" xr:uid="{00000000-0005-0000-0000-0000EE360000}"/>
    <cellStyle name="Normal 5 4 3 17 2" xfId="12631" xr:uid="{00000000-0005-0000-0000-0000EF360000}"/>
    <cellStyle name="Normal 5 4 3 18" xfId="12632" xr:uid="{00000000-0005-0000-0000-0000F0360000}"/>
    <cellStyle name="Normal 5 4 3 18 2" xfId="12633" xr:uid="{00000000-0005-0000-0000-0000F1360000}"/>
    <cellStyle name="Normal 5 4 3 19" xfId="12634" xr:uid="{00000000-0005-0000-0000-0000F2360000}"/>
    <cellStyle name="Normal 5 4 3 19 2" xfId="12635" xr:uid="{00000000-0005-0000-0000-0000F3360000}"/>
    <cellStyle name="Normal 5 4 3 2" xfId="12636" xr:uid="{00000000-0005-0000-0000-0000F4360000}"/>
    <cellStyle name="Normal 5 4 3 2 10" xfId="12637" xr:uid="{00000000-0005-0000-0000-0000F5360000}"/>
    <cellStyle name="Normal 5 4 3 2 10 2" xfId="12638" xr:uid="{00000000-0005-0000-0000-0000F6360000}"/>
    <cellStyle name="Normal 5 4 3 2 11" xfId="12639" xr:uid="{00000000-0005-0000-0000-0000F7360000}"/>
    <cellStyle name="Normal 5 4 3 2 11 2" xfId="12640" xr:uid="{00000000-0005-0000-0000-0000F8360000}"/>
    <cellStyle name="Normal 5 4 3 2 12" xfId="12641" xr:uid="{00000000-0005-0000-0000-0000F9360000}"/>
    <cellStyle name="Normal 5 4 3 2 12 2" xfId="12642" xr:uid="{00000000-0005-0000-0000-0000FA360000}"/>
    <cellStyle name="Normal 5 4 3 2 13" xfId="12643" xr:uid="{00000000-0005-0000-0000-0000FB360000}"/>
    <cellStyle name="Normal 5 4 3 2 13 2" xfId="12644" xr:uid="{00000000-0005-0000-0000-0000FC360000}"/>
    <cellStyle name="Normal 5 4 3 2 14" xfId="12645" xr:uid="{00000000-0005-0000-0000-0000FD360000}"/>
    <cellStyle name="Normal 5 4 3 2 14 2" xfId="12646" xr:uid="{00000000-0005-0000-0000-0000FE360000}"/>
    <cellStyle name="Normal 5 4 3 2 15" xfId="12647" xr:uid="{00000000-0005-0000-0000-0000FF360000}"/>
    <cellStyle name="Normal 5 4 3 2 15 2" xfId="12648" xr:uid="{00000000-0005-0000-0000-000000370000}"/>
    <cellStyle name="Normal 5 4 3 2 16" xfId="12649" xr:uid="{00000000-0005-0000-0000-000001370000}"/>
    <cellStyle name="Normal 5 4 3 2 16 2" xfId="12650" xr:uid="{00000000-0005-0000-0000-000002370000}"/>
    <cellStyle name="Normal 5 4 3 2 17" xfId="12651" xr:uid="{00000000-0005-0000-0000-000003370000}"/>
    <cellStyle name="Normal 5 4 3 2 17 2" xfId="12652" xr:uid="{00000000-0005-0000-0000-000004370000}"/>
    <cellStyle name="Normal 5 4 3 2 18" xfId="12653" xr:uid="{00000000-0005-0000-0000-000005370000}"/>
    <cellStyle name="Normal 5 4 3 2 18 2" xfId="12654" xr:uid="{00000000-0005-0000-0000-000006370000}"/>
    <cellStyle name="Normal 5 4 3 2 19" xfId="12655" xr:uid="{00000000-0005-0000-0000-000007370000}"/>
    <cellStyle name="Normal 5 4 3 2 19 2" xfId="12656" xr:uid="{00000000-0005-0000-0000-000008370000}"/>
    <cellStyle name="Normal 5 4 3 2 2" xfId="12657" xr:uid="{00000000-0005-0000-0000-000009370000}"/>
    <cellStyle name="Normal 5 4 3 2 2 2" xfId="12658" xr:uid="{00000000-0005-0000-0000-00000A370000}"/>
    <cellStyle name="Normal 5 4 3 2 20" xfId="12659" xr:uid="{00000000-0005-0000-0000-00000B370000}"/>
    <cellStyle name="Normal 5 4 3 2 20 2" xfId="12660" xr:uid="{00000000-0005-0000-0000-00000C370000}"/>
    <cellStyle name="Normal 5 4 3 2 21" xfId="12661" xr:uid="{00000000-0005-0000-0000-00000D370000}"/>
    <cellStyle name="Normal 5 4 3 2 21 2" xfId="12662" xr:uid="{00000000-0005-0000-0000-00000E370000}"/>
    <cellStyle name="Normal 5 4 3 2 22" xfId="12663" xr:uid="{00000000-0005-0000-0000-00000F370000}"/>
    <cellStyle name="Normal 5 4 3 2 22 2" xfId="12664" xr:uid="{00000000-0005-0000-0000-000010370000}"/>
    <cellStyle name="Normal 5 4 3 2 23" xfId="12665" xr:uid="{00000000-0005-0000-0000-000011370000}"/>
    <cellStyle name="Normal 5 4 3 2 23 2" xfId="12666" xr:uid="{00000000-0005-0000-0000-000012370000}"/>
    <cellStyle name="Normal 5 4 3 2 24" xfId="12667" xr:uid="{00000000-0005-0000-0000-000013370000}"/>
    <cellStyle name="Normal 5 4 3 2 24 2" xfId="12668" xr:uid="{00000000-0005-0000-0000-000014370000}"/>
    <cellStyle name="Normal 5 4 3 2 25" xfId="12669" xr:uid="{00000000-0005-0000-0000-000015370000}"/>
    <cellStyle name="Normal 5 4 3 2 25 2" xfId="12670" xr:uid="{00000000-0005-0000-0000-000016370000}"/>
    <cellStyle name="Normal 5 4 3 2 26" xfId="12671" xr:uid="{00000000-0005-0000-0000-000017370000}"/>
    <cellStyle name="Normal 5 4 3 2 26 2" xfId="12672" xr:uid="{00000000-0005-0000-0000-000018370000}"/>
    <cellStyle name="Normal 5 4 3 2 27" xfId="12673" xr:uid="{00000000-0005-0000-0000-000019370000}"/>
    <cellStyle name="Normal 5 4 3 2 27 2" xfId="12674" xr:uid="{00000000-0005-0000-0000-00001A370000}"/>
    <cellStyle name="Normal 5 4 3 2 28" xfId="12675" xr:uid="{00000000-0005-0000-0000-00001B370000}"/>
    <cellStyle name="Normal 5 4 3 2 28 2" xfId="12676" xr:uid="{00000000-0005-0000-0000-00001C370000}"/>
    <cellStyle name="Normal 5 4 3 2 29" xfId="12677" xr:uid="{00000000-0005-0000-0000-00001D370000}"/>
    <cellStyle name="Normal 5 4 3 2 29 2" xfId="12678" xr:uid="{00000000-0005-0000-0000-00001E370000}"/>
    <cellStyle name="Normal 5 4 3 2 3" xfId="12679" xr:uid="{00000000-0005-0000-0000-00001F370000}"/>
    <cellStyle name="Normal 5 4 3 2 3 2" xfId="12680" xr:uid="{00000000-0005-0000-0000-000020370000}"/>
    <cellStyle name="Normal 5 4 3 2 30" xfId="12681" xr:uid="{00000000-0005-0000-0000-000021370000}"/>
    <cellStyle name="Normal 5 4 3 2 30 2" xfId="12682" xr:uid="{00000000-0005-0000-0000-000022370000}"/>
    <cellStyle name="Normal 5 4 3 2 31" xfId="12683" xr:uid="{00000000-0005-0000-0000-000023370000}"/>
    <cellStyle name="Normal 5 4 3 2 31 2" xfId="12684" xr:uid="{00000000-0005-0000-0000-000024370000}"/>
    <cellStyle name="Normal 5 4 3 2 32" xfId="12685" xr:uid="{00000000-0005-0000-0000-000025370000}"/>
    <cellStyle name="Normal 5 4 3 2 32 2" xfId="12686" xr:uid="{00000000-0005-0000-0000-000026370000}"/>
    <cellStyle name="Normal 5 4 3 2 33" xfId="12687" xr:uid="{00000000-0005-0000-0000-000027370000}"/>
    <cellStyle name="Normal 5 4 3 2 33 2" xfId="12688" xr:uid="{00000000-0005-0000-0000-000028370000}"/>
    <cellStyle name="Normal 5 4 3 2 34" xfId="12689" xr:uid="{00000000-0005-0000-0000-000029370000}"/>
    <cellStyle name="Normal 5 4 3 2 34 2" xfId="12690" xr:uid="{00000000-0005-0000-0000-00002A370000}"/>
    <cellStyle name="Normal 5 4 3 2 35" xfId="12691" xr:uid="{00000000-0005-0000-0000-00002B370000}"/>
    <cellStyle name="Normal 5 4 3 2 4" xfId="12692" xr:uid="{00000000-0005-0000-0000-00002C370000}"/>
    <cellStyle name="Normal 5 4 3 2 4 2" xfId="12693" xr:uid="{00000000-0005-0000-0000-00002D370000}"/>
    <cellStyle name="Normal 5 4 3 2 5" xfId="12694" xr:uid="{00000000-0005-0000-0000-00002E370000}"/>
    <cellStyle name="Normal 5 4 3 2 5 2" xfId="12695" xr:uid="{00000000-0005-0000-0000-00002F370000}"/>
    <cellStyle name="Normal 5 4 3 2 6" xfId="12696" xr:uid="{00000000-0005-0000-0000-000030370000}"/>
    <cellStyle name="Normal 5 4 3 2 6 2" xfId="12697" xr:uid="{00000000-0005-0000-0000-000031370000}"/>
    <cellStyle name="Normal 5 4 3 2 7" xfId="12698" xr:uid="{00000000-0005-0000-0000-000032370000}"/>
    <cellStyle name="Normal 5 4 3 2 7 2" xfId="12699" xr:uid="{00000000-0005-0000-0000-000033370000}"/>
    <cellStyle name="Normal 5 4 3 2 8" xfId="12700" xr:uid="{00000000-0005-0000-0000-000034370000}"/>
    <cellStyle name="Normal 5 4 3 2 8 2" xfId="12701" xr:uid="{00000000-0005-0000-0000-000035370000}"/>
    <cellStyle name="Normal 5 4 3 2 9" xfId="12702" xr:uid="{00000000-0005-0000-0000-000036370000}"/>
    <cellStyle name="Normal 5 4 3 2 9 2" xfId="12703" xr:uid="{00000000-0005-0000-0000-000037370000}"/>
    <cellStyle name="Normal 5 4 3 20" xfId="12704" xr:uid="{00000000-0005-0000-0000-000038370000}"/>
    <cellStyle name="Normal 5 4 3 20 2" xfId="12705" xr:uid="{00000000-0005-0000-0000-000039370000}"/>
    <cellStyle name="Normal 5 4 3 21" xfId="12706" xr:uid="{00000000-0005-0000-0000-00003A370000}"/>
    <cellStyle name="Normal 5 4 3 21 2" xfId="12707" xr:uid="{00000000-0005-0000-0000-00003B370000}"/>
    <cellStyle name="Normal 5 4 3 22" xfId="12708" xr:uid="{00000000-0005-0000-0000-00003C370000}"/>
    <cellStyle name="Normal 5 4 3 22 2" xfId="12709" xr:uid="{00000000-0005-0000-0000-00003D370000}"/>
    <cellStyle name="Normal 5 4 3 23" xfId="12710" xr:uid="{00000000-0005-0000-0000-00003E370000}"/>
    <cellStyle name="Normal 5 4 3 23 2" xfId="12711" xr:uid="{00000000-0005-0000-0000-00003F370000}"/>
    <cellStyle name="Normal 5 4 3 24" xfId="12712" xr:uid="{00000000-0005-0000-0000-000040370000}"/>
    <cellStyle name="Normal 5 4 3 24 2" xfId="12713" xr:uid="{00000000-0005-0000-0000-000041370000}"/>
    <cellStyle name="Normal 5 4 3 25" xfId="12714" xr:uid="{00000000-0005-0000-0000-000042370000}"/>
    <cellStyle name="Normal 5 4 3 25 2" xfId="12715" xr:uid="{00000000-0005-0000-0000-000043370000}"/>
    <cellStyle name="Normal 5 4 3 26" xfId="12716" xr:uid="{00000000-0005-0000-0000-000044370000}"/>
    <cellStyle name="Normal 5 4 3 26 2" xfId="12717" xr:uid="{00000000-0005-0000-0000-000045370000}"/>
    <cellStyle name="Normal 5 4 3 27" xfId="12718" xr:uid="{00000000-0005-0000-0000-000046370000}"/>
    <cellStyle name="Normal 5 4 3 27 2" xfId="12719" xr:uid="{00000000-0005-0000-0000-000047370000}"/>
    <cellStyle name="Normal 5 4 3 28" xfId="12720" xr:uid="{00000000-0005-0000-0000-000048370000}"/>
    <cellStyle name="Normal 5 4 3 28 2" xfId="12721" xr:uid="{00000000-0005-0000-0000-000049370000}"/>
    <cellStyle name="Normal 5 4 3 29" xfId="12722" xr:uid="{00000000-0005-0000-0000-00004A370000}"/>
    <cellStyle name="Normal 5 4 3 29 2" xfId="12723" xr:uid="{00000000-0005-0000-0000-00004B370000}"/>
    <cellStyle name="Normal 5 4 3 3" xfId="12724" xr:uid="{00000000-0005-0000-0000-00004C370000}"/>
    <cellStyle name="Normal 5 4 3 3 10" xfId="12725" xr:uid="{00000000-0005-0000-0000-00004D370000}"/>
    <cellStyle name="Normal 5 4 3 3 10 2" xfId="12726" xr:uid="{00000000-0005-0000-0000-00004E370000}"/>
    <cellStyle name="Normal 5 4 3 3 11" xfId="12727" xr:uid="{00000000-0005-0000-0000-00004F370000}"/>
    <cellStyle name="Normal 5 4 3 3 11 2" xfId="12728" xr:uid="{00000000-0005-0000-0000-000050370000}"/>
    <cellStyle name="Normal 5 4 3 3 12" xfId="12729" xr:uid="{00000000-0005-0000-0000-000051370000}"/>
    <cellStyle name="Normal 5 4 3 3 12 2" xfId="12730" xr:uid="{00000000-0005-0000-0000-000052370000}"/>
    <cellStyle name="Normal 5 4 3 3 13" xfId="12731" xr:uid="{00000000-0005-0000-0000-000053370000}"/>
    <cellStyle name="Normal 5 4 3 3 13 2" xfId="12732" xr:uid="{00000000-0005-0000-0000-000054370000}"/>
    <cellStyle name="Normal 5 4 3 3 14" xfId="12733" xr:uid="{00000000-0005-0000-0000-000055370000}"/>
    <cellStyle name="Normal 5 4 3 3 14 2" xfId="12734" xr:uid="{00000000-0005-0000-0000-000056370000}"/>
    <cellStyle name="Normal 5 4 3 3 15" xfId="12735" xr:uid="{00000000-0005-0000-0000-000057370000}"/>
    <cellStyle name="Normal 5 4 3 3 15 2" xfId="12736" xr:uid="{00000000-0005-0000-0000-000058370000}"/>
    <cellStyle name="Normal 5 4 3 3 16" xfId="12737" xr:uid="{00000000-0005-0000-0000-000059370000}"/>
    <cellStyle name="Normal 5 4 3 3 16 2" xfId="12738" xr:uid="{00000000-0005-0000-0000-00005A370000}"/>
    <cellStyle name="Normal 5 4 3 3 17" xfId="12739" xr:uid="{00000000-0005-0000-0000-00005B370000}"/>
    <cellStyle name="Normal 5 4 3 3 17 2" xfId="12740" xr:uid="{00000000-0005-0000-0000-00005C370000}"/>
    <cellStyle name="Normal 5 4 3 3 18" xfId="12741" xr:uid="{00000000-0005-0000-0000-00005D370000}"/>
    <cellStyle name="Normal 5 4 3 3 18 2" xfId="12742" xr:uid="{00000000-0005-0000-0000-00005E370000}"/>
    <cellStyle name="Normal 5 4 3 3 19" xfId="12743" xr:uid="{00000000-0005-0000-0000-00005F370000}"/>
    <cellStyle name="Normal 5 4 3 3 19 2" xfId="12744" xr:uid="{00000000-0005-0000-0000-000060370000}"/>
    <cellStyle name="Normal 5 4 3 3 2" xfId="12745" xr:uid="{00000000-0005-0000-0000-000061370000}"/>
    <cellStyle name="Normal 5 4 3 3 2 2" xfId="12746" xr:uid="{00000000-0005-0000-0000-000062370000}"/>
    <cellStyle name="Normal 5 4 3 3 20" xfId="12747" xr:uid="{00000000-0005-0000-0000-000063370000}"/>
    <cellStyle name="Normal 5 4 3 3 20 2" xfId="12748" xr:uid="{00000000-0005-0000-0000-000064370000}"/>
    <cellStyle name="Normal 5 4 3 3 21" xfId="12749" xr:uid="{00000000-0005-0000-0000-000065370000}"/>
    <cellStyle name="Normal 5 4 3 3 21 2" xfId="12750" xr:uid="{00000000-0005-0000-0000-000066370000}"/>
    <cellStyle name="Normal 5 4 3 3 22" xfId="12751" xr:uid="{00000000-0005-0000-0000-000067370000}"/>
    <cellStyle name="Normal 5 4 3 3 22 2" xfId="12752" xr:uid="{00000000-0005-0000-0000-000068370000}"/>
    <cellStyle name="Normal 5 4 3 3 23" xfId="12753" xr:uid="{00000000-0005-0000-0000-000069370000}"/>
    <cellStyle name="Normal 5 4 3 3 23 2" xfId="12754" xr:uid="{00000000-0005-0000-0000-00006A370000}"/>
    <cellStyle name="Normal 5 4 3 3 24" xfId="12755" xr:uid="{00000000-0005-0000-0000-00006B370000}"/>
    <cellStyle name="Normal 5 4 3 3 24 2" xfId="12756" xr:uid="{00000000-0005-0000-0000-00006C370000}"/>
    <cellStyle name="Normal 5 4 3 3 25" xfId="12757" xr:uid="{00000000-0005-0000-0000-00006D370000}"/>
    <cellStyle name="Normal 5 4 3 3 25 2" xfId="12758" xr:uid="{00000000-0005-0000-0000-00006E370000}"/>
    <cellStyle name="Normal 5 4 3 3 26" xfId="12759" xr:uid="{00000000-0005-0000-0000-00006F370000}"/>
    <cellStyle name="Normal 5 4 3 3 26 2" xfId="12760" xr:uid="{00000000-0005-0000-0000-000070370000}"/>
    <cellStyle name="Normal 5 4 3 3 27" xfId="12761" xr:uid="{00000000-0005-0000-0000-000071370000}"/>
    <cellStyle name="Normal 5 4 3 3 27 2" xfId="12762" xr:uid="{00000000-0005-0000-0000-000072370000}"/>
    <cellStyle name="Normal 5 4 3 3 28" xfId="12763" xr:uid="{00000000-0005-0000-0000-000073370000}"/>
    <cellStyle name="Normal 5 4 3 3 28 2" xfId="12764" xr:uid="{00000000-0005-0000-0000-000074370000}"/>
    <cellStyle name="Normal 5 4 3 3 29" xfId="12765" xr:uid="{00000000-0005-0000-0000-000075370000}"/>
    <cellStyle name="Normal 5 4 3 3 29 2" xfId="12766" xr:uid="{00000000-0005-0000-0000-000076370000}"/>
    <cellStyle name="Normal 5 4 3 3 3" xfId="12767" xr:uid="{00000000-0005-0000-0000-000077370000}"/>
    <cellStyle name="Normal 5 4 3 3 3 2" xfId="12768" xr:uid="{00000000-0005-0000-0000-000078370000}"/>
    <cellStyle name="Normal 5 4 3 3 30" xfId="12769" xr:uid="{00000000-0005-0000-0000-000079370000}"/>
    <cellStyle name="Normal 5 4 3 3 30 2" xfId="12770" xr:uid="{00000000-0005-0000-0000-00007A370000}"/>
    <cellStyle name="Normal 5 4 3 3 31" xfId="12771" xr:uid="{00000000-0005-0000-0000-00007B370000}"/>
    <cellStyle name="Normal 5 4 3 3 31 2" xfId="12772" xr:uid="{00000000-0005-0000-0000-00007C370000}"/>
    <cellStyle name="Normal 5 4 3 3 32" xfId="12773" xr:uid="{00000000-0005-0000-0000-00007D370000}"/>
    <cellStyle name="Normal 5 4 3 3 32 2" xfId="12774" xr:uid="{00000000-0005-0000-0000-00007E370000}"/>
    <cellStyle name="Normal 5 4 3 3 33" xfId="12775" xr:uid="{00000000-0005-0000-0000-00007F370000}"/>
    <cellStyle name="Normal 5 4 3 3 33 2" xfId="12776" xr:uid="{00000000-0005-0000-0000-000080370000}"/>
    <cellStyle name="Normal 5 4 3 3 34" xfId="12777" xr:uid="{00000000-0005-0000-0000-000081370000}"/>
    <cellStyle name="Normal 5 4 3 3 34 2" xfId="12778" xr:uid="{00000000-0005-0000-0000-000082370000}"/>
    <cellStyle name="Normal 5 4 3 3 35" xfId="12779" xr:uid="{00000000-0005-0000-0000-000083370000}"/>
    <cellStyle name="Normal 5 4 3 3 4" xfId="12780" xr:uid="{00000000-0005-0000-0000-000084370000}"/>
    <cellStyle name="Normal 5 4 3 3 4 2" xfId="12781" xr:uid="{00000000-0005-0000-0000-000085370000}"/>
    <cellStyle name="Normal 5 4 3 3 5" xfId="12782" xr:uid="{00000000-0005-0000-0000-000086370000}"/>
    <cellStyle name="Normal 5 4 3 3 5 2" xfId="12783" xr:uid="{00000000-0005-0000-0000-000087370000}"/>
    <cellStyle name="Normal 5 4 3 3 6" xfId="12784" xr:uid="{00000000-0005-0000-0000-000088370000}"/>
    <cellStyle name="Normal 5 4 3 3 6 2" xfId="12785" xr:uid="{00000000-0005-0000-0000-000089370000}"/>
    <cellStyle name="Normal 5 4 3 3 7" xfId="12786" xr:uid="{00000000-0005-0000-0000-00008A370000}"/>
    <cellStyle name="Normal 5 4 3 3 7 2" xfId="12787" xr:uid="{00000000-0005-0000-0000-00008B370000}"/>
    <cellStyle name="Normal 5 4 3 3 8" xfId="12788" xr:uid="{00000000-0005-0000-0000-00008C370000}"/>
    <cellStyle name="Normal 5 4 3 3 8 2" xfId="12789" xr:uid="{00000000-0005-0000-0000-00008D370000}"/>
    <cellStyle name="Normal 5 4 3 3 9" xfId="12790" xr:uid="{00000000-0005-0000-0000-00008E370000}"/>
    <cellStyle name="Normal 5 4 3 3 9 2" xfId="12791" xr:uid="{00000000-0005-0000-0000-00008F370000}"/>
    <cellStyle name="Normal 5 4 3 30" xfId="12792" xr:uid="{00000000-0005-0000-0000-000090370000}"/>
    <cellStyle name="Normal 5 4 3 30 2" xfId="12793" xr:uid="{00000000-0005-0000-0000-000091370000}"/>
    <cellStyle name="Normal 5 4 3 31" xfId="12794" xr:uid="{00000000-0005-0000-0000-000092370000}"/>
    <cellStyle name="Normal 5 4 3 31 2" xfId="12795" xr:uid="{00000000-0005-0000-0000-000093370000}"/>
    <cellStyle name="Normal 5 4 3 32" xfId="12796" xr:uid="{00000000-0005-0000-0000-000094370000}"/>
    <cellStyle name="Normal 5 4 3 32 2" xfId="12797" xr:uid="{00000000-0005-0000-0000-000095370000}"/>
    <cellStyle name="Normal 5 4 3 33" xfId="12798" xr:uid="{00000000-0005-0000-0000-000096370000}"/>
    <cellStyle name="Normal 5 4 3 33 2" xfId="12799" xr:uid="{00000000-0005-0000-0000-000097370000}"/>
    <cellStyle name="Normal 5 4 3 34" xfId="12800" xr:uid="{00000000-0005-0000-0000-000098370000}"/>
    <cellStyle name="Normal 5 4 3 34 2" xfId="12801" xr:uid="{00000000-0005-0000-0000-000099370000}"/>
    <cellStyle name="Normal 5 4 3 35" xfId="12802" xr:uid="{00000000-0005-0000-0000-00009A370000}"/>
    <cellStyle name="Normal 5 4 3 35 2" xfId="12803" xr:uid="{00000000-0005-0000-0000-00009B370000}"/>
    <cellStyle name="Normal 5 4 3 36" xfId="12804" xr:uid="{00000000-0005-0000-0000-00009C370000}"/>
    <cellStyle name="Normal 5 4 3 36 2" xfId="12805" xr:uid="{00000000-0005-0000-0000-00009D370000}"/>
    <cellStyle name="Normal 5 4 3 37" xfId="12806" xr:uid="{00000000-0005-0000-0000-00009E370000}"/>
    <cellStyle name="Normal 5 4 3 37 2" xfId="12807" xr:uid="{00000000-0005-0000-0000-00009F370000}"/>
    <cellStyle name="Normal 5 4 3 38" xfId="12808" xr:uid="{00000000-0005-0000-0000-0000A0370000}"/>
    <cellStyle name="Normal 5 4 3 38 2" xfId="12809" xr:uid="{00000000-0005-0000-0000-0000A1370000}"/>
    <cellStyle name="Normal 5 4 3 39" xfId="12810" xr:uid="{00000000-0005-0000-0000-0000A2370000}"/>
    <cellStyle name="Normal 5 4 3 39 2" xfId="12811" xr:uid="{00000000-0005-0000-0000-0000A3370000}"/>
    <cellStyle name="Normal 5 4 3 4" xfId="12812" xr:uid="{00000000-0005-0000-0000-0000A4370000}"/>
    <cellStyle name="Normal 5 4 3 4 2" xfId="12813" xr:uid="{00000000-0005-0000-0000-0000A5370000}"/>
    <cellStyle name="Normal 5 4 3 4 2 2" xfId="12814" xr:uid="{00000000-0005-0000-0000-0000A6370000}"/>
    <cellStyle name="Normal 5 4 3 4 3" xfId="12815" xr:uid="{00000000-0005-0000-0000-0000A7370000}"/>
    <cellStyle name="Normal 5 4 3 4 3 2" xfId="12816" xr:uid="{00000000-0005-0000-0000-0000A8370000}"/>
    <cellStyle name="Normal 5 4 3 4 4" xfId="12817" xr:uid="{00000000-0005-0000-0000-0000A9370000}"/>
    <cellStyle name="Normal 5 4 3 4 4 2" xfId="12818" xr:uid="{00000000-0005-0000-0000-0000AA370000}"/>
    <cellStyle name="Normal 5 4 3 4 5" xfId="12819" xr:uid="{00000000-0005-0000-0000-0000AB370000}"/>
    <cellStyle name="Normal 5 4 3 4 5 2" xfId="12820" xr:uid="{00000000-0005-0000-0000-0000AC370000}"/>
    <cellStyle name="Normal 5 4 3 4 6" xfId="12821" xr:uid="{00000000-0005-0000-0000-0000AD370000}"/>
    <cellStyle name="Normal 5 4 3 40" xfId="12822" xr:uid="{00000000-0005-0000-0000-0000AE370000}"/>
    <cellStyle name="Normal 5 4 3 40 2" xfId="12823" xr:uid="{00000000-0005-0000-0000-0000AF370000}"/>
    <cellStyle name="Normal 5 4 3 41" xfId="12824" xr:uid="{00000000-0005-0000-0000-0000B0370000}"/>
    <cellStyle name="Normal 5 4 3 41 2" xfId="12825" xr:uid="{00000000-0005-0000-0000-0000B1370000}"/>
    <cellStyle name="Normal 5 4 3 42" xfId="12826" xr:uid="{00000000-0005-0000-0000-0000B2370000}"/>
    <cellStyle name="Normal 5 4 3 42 2" xfId="12827" xr:uid="{00000000-0005-0000-0000-0000B3370000}"/>
    <cellStyle name="Normal 5 4 3 43" xfId="12828" xr:uid="{00000000-0005-0000-0000-0000B4370000}"/>
    <cellStyle name="Normal 5 4 3 43 2" xfId="12829" xr:uid="{00000000-0005-0000-0000-0000B5370000}"/>
    <cellStyle name="Normal 5 4 3 44" xfId="12830" xr:uid="{00000000-0005-0000-0000-0000B6370000}"/>
    <cellStyle name="Normal 5 4 3 44 2" xfId="12831" xr:uid="{00000000-0005-0000-0000-0000B7370000}"/>
    <cellStyle name="Normal 5 4 3 45" xfId="12832" xr:uid="{00000000-0005-0000-0000-0000B8370000}"/>
    <cellStyle name="Normal 5 4 3 45 2" xfId="12833" xr:uid="{00000000-0005-0000-0000-0000B9370000}"/>
    <cellStyle name="Normal 5 4 3 46" xfId="12834" xr:uid="{00000000-0005-0000-0000-0000BA370000}"/>
    <cellStyle name="Normal 5 4 3 46 2" xfId="12835" xr:uid="{00000000-0005-0000-0000-0000BB370000}"/>
    <cellStyle name="Normal 5 4 3 47" xfId="12836" xr:uid="{00000000-0005-0000-0000-0000BC370000}"/>
    <cellStyle name="Normal 5 4 3 5" xfId="12837" xr:uid="{00000000-0005-0000-0000-0000BD370000}"/>
    <cellStyle name="Normal 5 4 3 5 2" xfId="12838" xr:uid="{00000000-0005-0000-0000-0000BE370000}"/>
    <cellStyle name="Normal 5 4 3 6" xfId="12839" xr:uid="{00000000-0005-0000-0000-0000BF370000}"/>
    <cellStyle name="Normal 5 4 3 6 2" xfId="12840" xr:uid="{00000000-0005-0000-0000-0000C0370000}"/>
    <cellStyle name="Normal 5 4 3 7" xfId="12841" xr:uid="{00000000-0005-0000-0000-0000C1370000}"/>
    <cellStyle name="Normal 5 4 3 7 2" xfId="12842" xr:uid="{00000000-0005-0000-0000-0000C2370000}"/>
    <cellStyle name="Normal 5 4 3 8" xfId="12843" xr:uid="{00000000-0005-0000-0000-0000C3370000}"/>
    <cellStyle name="Normal 5 4 3 8 2" xfId="12844" xr:uid="{00000000-0005-0000-0000-0000C4370000}"/>
    <cellStyle name="Normal 5 4 3 9" xfId="12845" xr:uid="{00000000-0005-0000-0000-0000C5370000}"/>
    <cellStyle name="Normal 5 4 3 9 2" xfId="12846" xr:uid="{00000000-0005-0000-0000-0000C6370000}"/>
    <cellStyle name="Normal 5 4 30" xfId="12847" xr:uid="{00000000-0005-0000-0000-0000C7370000}"/>
    <cellStyle name="Normal 5 4 30 2" xfId="12848" xr:uid="{00000000-0005-0000-0000-0000C8370000}"/>
    <cellStyle name="Normal 5 4 31" xfId="12849" xr:uid="{00000000-0005-0000-0000-0000C9370000}"/>
    <cellStyle name="Normal 5 4 31 2" xfId="12850" xr:uid="{00000000-0005-0000-0000-0000CA370000}"/>
    <cellStyle name="Normal 5 4 32" xfId="12851" xr:uid="{00000000-0005-0000-0000-0000CB370000}"/>
    <cellStyle name="Normal 5 4 32 2" xfId="12852" xr:uid="{00000000-0005-0000-0000-0000CC370000}"/>
    <cellStyle name="Normal 5 4 33" xfId="12853" xr:uid="{00000000-0005-0000-0000-0000CD370000}"/>
    <cellStyle name="Normal 5 4 33 2" xfId="12854" xr:uid="{00000000-0005-0000-0000-0000CE370000}"/>
    <cellStyle name="Normal 5 4 34" xfId="12855" xr:uid="{00000000-0005-0000-0000-0000CF370000}"/>
    <cellStyle name="Normal 5 4 34 2" xfId="12856" xr:uid="{00000000-0005-0000-0000-0000D0370000}"/>
    <cellStyle name="Normal 5 4 35" xfId="12857" xr:uid="{00000000-0005-0000-0000-0000D1370000}"/>
    <cellStyle name="Normal 5 4 35 2" xfId="12858" xr:uid="{00000000-0005-0000-0000-0000D2370000}"/>
    <cellStyle name="Normal 5 4 36" xfId="12859" xr:uid="{00000000-0005-0000-0000-0000D3370000}"/>
    <cellStyle name="Normal 5 4 36 2" xfId="12860" xr:uid="{00000000-0005-0000-0000-0000D4370000}"/>
    <cellStyle name="Normal 5 4 37" xfId="12861" xr:uid="{00000000-0005-0000-0000-0000D5370000}"/>
    <cellStyle name="Normal 5 4 37 2" xfId="12862" xr:uid="{00000000-0005-0000-0000-0000D6370000}"/>
    <cellStyle name="Normal 5 4 38" xfId="12863" xr:uid="{00000000-0005-0000-0000-0000D7370000}"/>
    <cellStyle name="Normal 5 4 38 2" xfId="12864" xr:uid="{00000000-0005-0000-0000-0000D8370000}"/>
    <cellStyle name="Normal 5 4 39" xfId="12865" xr:uid="{00000000-0005-0000-0000-0000D9370000}"/>
    <cellStyle name="Normal 5 4 39 2" xfId="12866" xr:uid="{00000000-0005-0000-0000-0000DA370000}"/>
    <cellStyle name="Normal 5 4 4" xfId="12867" xr:uid="{00000000-0005-0000-0000-0000DB370000}"/>
    <cellStyle name="Normal 5 4 4 10" xfId="12868" xr:uid="{00000000-0005-0000-0000-0000DC370000}"/>
    <cellStyle name="Normal 5 4 4 10 2" xfId="12869" xr:uid="{00000000-0005-0000-0000-0000DD370000}"/>
    <cellStyle name="Normal 5 4 4 11" xfId="12870" xr:uid="{00000000-0005-0000-0000-0000DE370000}"/>
    <cellStyle name="Normal 5 4 4 11 2" xfId="12871" xr:uid="{00000000-0005-0000-0000-0000DF370000}"/>
    <cellStyle name="Normal 5 4 4 12" xfId="12872" xr:uid="{00000000-0005-0000-0000-0000E0370000}"/>
    <cellStyle name="Normal 5 4 4 12 2" xfId="12873" xr:uid="{00000000-0005-0000-0000-0000E1370000}"/>
    <cellStyle name="Normal 5 4 4 13" xfId="12874" xr:uid="{00000000-0005-0000-0000-0000E2370000}"/>
    <cellStyle name="Normal 5 4 4 13 2" xfId="12875" xr:uid="{00000000-0005-0000-0000-0000E3370000}"/>
    <cellStyle name="Normal 5 4 4 14" xfId="12876" xr:uid="{00000000-0005-0000-0000-0000E4370000}"/>
    <cellStyle name="Normal 5 4 4 14 2" xfId="12877" xr:uid="{00000000-0005-0000-0000-0000E5370000}"/>
    <cellStyle name="Normal 5 4 4 15" xfId="12878" xr:uid="{00000000-0005-0000-0000-0000E6370000}"/>
    <cellStyle name="Normal 5 4 4 15 2" xfId="12879" xr:uid="{00000000-0005-0000-0000-0000E7370000}"/>
    <cellStyle name="Normal 5 4 4 16" xfId="12880" xr:uid="{00000000-0005-0000-0000-0000E8370000}"/>
    <cellStyle name="Normal 5 4 4 16 2" xfId="12881" xr:uid="{00000000-0005-0000-0000-0000E9370000}"/>
    <cellStyle name="Normal 5 4 4 17" xfId="12882" xr:uid="{00000000-0005-0000-0000-0000EA370000}"/>
    <cellStyle name="Normal 5 4 4 17 2" xfId="12883" xr:uid="{00000000-0005-0000-0000-0000EB370000}"/>
    <cellStyle name="Normal 5 4 4 18" xfId="12884" xr:uid="{00000000-0005-0000-0000-0000EC370000}"/>
    <cellStyle name="Normal 5 4 4 18 2" xfId="12885" xr:uid="{00000000-0005-0000-0000-0000ED370000}"/>
    <cellStyle name="Normal 5 4 4 19" xfId="12886" xr:uid="{00000000-0005-0000-0000-0000EE370000}"/>
    <cellStyle name="Normal 5 4 4 19 2" xfId="12887" xr:uid="{00000000-0005-0000-0000-0000EF370000}"/>
    <cellStyle name="Normal 5 4 4 2" xfId="12888" xr:uid="{00000000-0005-0000-0000-0000F0370000}"/>
    <cellStyle name="Normal 5 4 4 2 2" xfId="12889" xr:uid="{00000000-0005-0000-0000-0000F1370000}"/>
    <cellStyle name="Normal 5 4 4 2 2 2" xfId="12890" xr:uid="{00000000-0005-0000-0000-0000F2370000}"/>
    <cellStyle name="Normal 5 4 4 2 3" xfId="12891" xr:uid="{00000000-0005-0000-0000-0000F3370000}"/>
    <cellStyle name="Normal 5 4 4 2 3 2" xfId="12892" xr:uid="{00000000-0005-0000-0000-0000F4370000}"/>
    <cellStyle name="Normal 5 4 4 2 4" xfId="12893" xr:uid="{00000000-0005-0000-0000-0000F5370000}"/>
    <cellStyle name="Normal 5 4 4 2 4 2" xfId="12894" xr:uid="{00000000-0005-0000-0000-0000F6370000}"/>
    <cellStyle name="Normal 5 4 4 2 5" xfId="12895" xr:uid="{00000000-0005-0000-0000-0000F7370000}"/>
    <cellStyle name="Normal 5 4 4 2 5 2" xfId="12896" xr:uid="{00000000-0005-0000-0000-0000F8370000}"/>
    <cellStyle name="Normal 5 4 4 2 6" xfId="12897" xr:uid="{00000000-0005-0000-0000-0000F9370000}"/>
    <cellStyle name="Normal 5 4 4 20" xfId="12898" xr:uid="{00000000-0005-0000-0000-0000FA370000}"/>
    <cellStyle name="Normal 5 4 4 20 2" xfId="12899" xr:uid="{00000000-0005-0000-0000-0000FB370000}"/>
    <cellStyle name="Normal 5 4 4 21" xfId="12900" xr:uid="{00000000-0005-0000-0000-0000FC370000}"/>
    <cellStyle name="Normal 5 4 4 21 2" xfId="12901" xr:uid="{00000000-0005-0000-0000-0000FD370000}"/>
    <cellStyle name="Normal 5 4 4 22" xfId="12902" xr:uid="{00000000-0005-0000-0000-0000FE370000}"/>
    <cellStyle name="Normal 5 4 4 22 2" xfId="12903" xr:uid="{00000000-0005-0000-0000-0000FF370000}"/>
    <cellStyle name="Normal 5 4 4 23" xfId="12904" xr:uid="{00000000-0005-0000-0000-000000380000}"/>
    <cellStyle name="Normal 5 4 4 23 2" xfId="12905" xr:uid="{00000000-0005-0000-0000-000001380000}"/>
    <cellStyle name="Normal 5 4 4 24" xfId="12906" xr:uid="{00000000-0005-0000-0000-000002380000}"/>
    <cellStyle name="Normal 5 4 4 24 2" xfId="12907" xr:uid="{00000000-0005-0000-0000-000003380000}"/>
    <cellStyle name="Normal 5 4 4 25" xfId="12908" xr:uid="{00000000-0005-0000-0000-000004380000}"/>
    <cellStyle name="Normal 5 4 4 25 2" xfId="12909" xr:uid="{00000000-0005-0000-0000-000005380000}"/>
    <cellStyle name="Normal 5 4 4 26" xfId="12910" xr:uid="{00000000-0005-0000-0000-000006380000}"/>
    <cellStyle name="Normal 5 4 4 26 2" xfId="12911" xr:uid="{00000000-0005-0000-0000-000007380000}"/>
    <cellStyle name="Normal 5 4 4 27" xfId="12912" xr:uid="{00000000-0005-0000-0000-000008380000}"/>
    <cellStyle name="Normal 5 4 4 27 2" xfId="12913" xr:uid="{00000000-0005-0000-0000-000009380000}"/>
    <cellStyle name="Normal 5 4 4 28" xfId="12914" xr:uid="{00000000-0005-0000-0000-00000A380000}"/>
    <cellStyle name="Normal 5 4 4 28 2" xfId="12915" xr:uid="{00000000-0005-0000-0000-00000B380000}"/>
    <cellStyle name="Normal 5 4 4 29" xfId="12916" xr:uid="{00000000-0005-0000-0000-00000C380000}"/>
    <cellStyle name="Normal 5 4 4 29 2" xfId="12917" xr:uid="{00000000-0005-0000-0000-00000D380000}"/>
    <cellStyle name="Normal 5 4 4 3" xfId="12918" xr:uid="{00000000-0005-0000-0000-00000E380000}"/>
    <cellStyle name="Normal 5 4 4 3 2" xfId="12919" xr:uid="{00000000-0005-0000-0000-00000F380000}"/>
    <cellStyle name="Normal 5 4 4 3 2 2" xfId="12920" xr:uid="{00000000-0005-0000-0000-000010380000}"/>
    <cellStyle name="Normal 5 4 4 3 3" xfId="12921" xr:uid="{00000000-0005-0000-0000-000011380000}"/>
    <cellStyle name="Normal 5 4 4 3 3 2" xfId="12922" xr:uid="{00000000-0005-0000-0000-000012380000}"/>
    <cellStyle name="Normal 5 4 4 3 4" xfId="12923" xr:uid="{00000000-0005-0000-0000-000013380000}"/>
    <cellStyle name="Normal 5 4 4 3 4 2" xfId="12924" xr:uid="{00000000-0005-0000-0000-000014380000}"/>
    <cellStyle name="Normal 5 4 4 3 5" xfId="12925" xr:uid="{00000000-0005-0000-0000-000015380000}"/>
    <cellStyle name="Normal 5 4 4 3 5 2" xfId="12926" xr:uid="{00000000-0005-0000-0000-000016380000}"/>
    <cellStyle name="Normal 5 4 4 3 6" xfId="12927" xr:uid="{00000000-0005-0000-0000-000017380000}"/>
    <cellStyle name="Normal 5 4 4 30" xfId="12928" xr:uid="{00000000-0005-0000-0000-000018380000}"/>
    <cellStyle name="Normal 5 4 4 30 2" xfId="12929" xr:uid="{00000000-0005-0000-0000-000019380000}"/>
    <cellStyle name="Normal 5 4 4 31" xfId="12930" xr:uid="{00000000-0005-0000-0000-00001A380000}"/>
    <cellStyle name="Normal 5 4 4 31 2" xfId="12931" xr:uid="{00000000-0005-0000-0000-00001B380000}"/>
    <cellStyle name="Normal 5 4 4 32" xfId="12932" xr:uid="{00000000-0005-0000-0000-00001C380000}"/>
    <cellStyle name="Normal 5 4 4 32 2" xfId="12933" xr:uid="{00000000-0005-0000-0000-00001D380000}"/>
    <cellStyle name="Normal 5 4 4 33" xfId="12934" xr:uid="{00000000-0005-0000-0000-00001E380000}"/>
    <cellStyle name="Normal 5 4 4 33 2" xfId="12935" xr:uid="{00000000-0005-0000-0000-00001F380000}"/>
    <cellStyle name="Normal 5 4 4 34" xfId="12936" xr:uid="{00000000-0005-0000-0000-000020380000}"/>
    <cellStyle name="Normal 5 4 4 34 2" xfId="12937" xr:uid="{00000000-0005-0000-0000-000021380000}"/>
    <cellStyle name="Normal 5 4 4 35" xfId="12938" xr:uid="{00000000-0005-0000-0000-000022380000}"/>
    <cellStyle name="Normal 5 4 4 35 2" xfId="12939" xr:uid="{00000000-0005-0000-0000-000023380000}"/>
    <cellStyle name="Normal 5 4 4 36" xfId="12940" xr:uid="{00000000-0005-0000-0000-000024380000}"/>
    <cellStyle name="Normal 5 4 4 36 2" xfId="12941" xr:uid="{00000000-0005-0000-0000-000025380000}"/>
    <cellStyle name="Normal 5 4 4 37" xfId="12942" xr:uid="{00000000-0005-0000-0000-000026380000}"/>
    <cellStyle name="Normal 5 4 4 37 2" xfId="12943" xr:uid="{00000000-0005-0000-0000-000027380000}"/>
    <cellStyle name="Normal 5 4 4 38" xfId="12944" xr:uid="{00000000-0005-0000-0000-000028380000}"/>
    <cellStyle name="Normal 5 4 4 38 2" xfId="12945" xr:uid="{00000000-0005-0000-0000-000029380000}"/>
    <cellStyle name="Normal 5 4 4 39" xfId="12946" xr:uid="{00000000-0005-0000-0000-00002A380000}"/>
    <cellStyle name="Normal 5 4 4 39 2" xfId="12947" xr:uid="{00000000-0005-0000-0000-00002B380000}"/>
    <cellStyle name="Normal 5 4 4 4" xfId="12948" xr:uid="{00000000-0005-0000-0000-00002C380000}"/>
    <cellStyle name="Normal 5 4 4 4 2" xfId="12949" xr:uid="{00000000-0005-0000-0000-00002D380000}"/>
    <cellStyle name="Normal 5 4 4 4 2 2" xfId="12950" xr:uid="{00000000-0005-0000-0000-00002E380000}"/>
    <cellStyle name="Normal 5 4 4 4 3" xfId="12951" xr:uid="{00000000-0005-0000-0000-00002F380000}"/>
    <cellStyle name="Normal 5 4 4 4 3 2" xfId="12952" xr:uid="{00000000-0005-0000-0000-000030380000}"/>
    <cellStyle name="Normal 5 4 4 4 4" xfId="12953" xr:uid="{00000000-0005-0000-0000-000031380000}"/>
    <cellStyle name="Normal 5 4 4 4 4 2" xfId="12954" xr:uid="{00000000-0005-0000-0000-000032380000}"/>
    <cellStyle name="Normal 5 4 4 4 5" xfId="12955" xr:uid="{00000000-0005-0000-0000-000033380000}"/>
    <cellStyle name="Normal 5 4 4 4 5 2" xfId="12956" xr:uid="{00000000-0005-0000-0000-000034380000}"/>
    <cellStyle name="Normal 5 4 4 4 6" xfId="12957" xr:uid="{00000000-0005-0000-0000-000035380000}"/>
    <cellStyle name="Normal 5 4 4 40" xfId="12958" xr:uid="{00000000-0005-0000-0000-000036380000}"/>
    <cellStyle name="Normal 5 4 4 40 2" xfId="12959" xr:uid="{00000000-0005-0000-0000-000037380000}"/>
    <cellStyle name="Normal 5 4 4 41" xfId="12960" xr:uid="{00000000-0005-0000-0000-000038380000}"/>
    <cellStyle name="Normal 5 4 4 41 2" xfId="12961" xr:uid="{00000000-0005-0000-0000-000039380000}"/>
    <cellStyle name="Normal 5 4 4 42" xfId="12962" xr:uid="{00000000-0005-0000-0000-00003A380000}"/>
    <cellStyle name="Normal 5 4 4 42 2" xfId="12963" xr:uid="{00000000-0005-0000-0000-00003B380000}"/>
    <cellStyle name="Normal 5 4 4 43" xfId="12964" xr:uid="{00000000-0005-0000-0000-00003C380000}"/>
    <cellStyle name="Normal 5 4 4 43 2" xfId="12965" xr:uid="{00000000-0005-0000-0000-00003D380000}"/>
    <cellStyle name="Normal 5 4 4 44" xfId="12966" xr:uid="{00000000-0005-0000-0000-00003E380000}"/>
    <cellStyle name="Normal 5 4 4 44 2" xfId="12967" xr:uid="{00000000-0005-0000-0000-00003F380000}"/>
    <cellStyle name="Normal 5 4 4 45" xfId="12968" xr:uid="{00000000-0005-0000-0000-000040380000}"/>
    <cellStyle name="Normal 5 4 4 45 2" xfId="12969" xr:uid="{00000000-0005-0000-0000-000041380000}"/>
    <cellStyle name="Normal 5 4 4 46" xfId="12970" xr:uid="{00000000-0005-0000-0000-000042380000}"/>
    <cellStyle name="Normal 5 4 4 5" xfId="12971" xr:uid="{00000000-0005-0000-0000-000043380000}"/>
    <cellStyle name="Normal 5 4 4 5 2" xfId="12972" xr:uid="{00000000-0005-0000-0000-000044380000}"/>
    <cellStyle name="Normal 5 4 4 6" xfId="12973" xr:uid="{00000000-0005-0000-0000-000045380000}"/>
    <cellStyle name="Normal 5 4 4 6 2" xfId="12974" xr:uid="{00000000-0005-0000-0000-000046380000}"/>
    <cellStyle name="Normal 5 4 4 7" xfId="12975" xr:uid="{00000000-0005-0000-0000-000047380000}"/>
    <cellStyle name="Normal 5 4 4 7 2" xfId="12976" xr:uid="{00000000-0005-0000-0000-000048380000}"/>
    <cellStyle name="Normal 5 4 4 8" xfId="12977" xr:uid="{00000000-0005-0000-0000-000049380000}"/>
    <cellStyle name="Normal 5 4 4 8 2" xfId="12978" xr:uid="{00000000-0005-0000-0000-00004A380000}"/>
    <cellStyle name="Normal 5 4 4 9" xfId="12979" xr:uid="{00000000-0005-0000-0000-00004B380000}"/>
    <cellStyle name="Normal 5 4 4 9 2" xfId="12980" xr:uid="{00000000-0005-0000-0000-00004C380000}"/>
    <cellStyle name="Normal 5 4 40" xfId="12981" xr:uid="{00000000-0005-0000-0000-00004D380000}"/>
    <cellStyle name="Normal 5 4 40 2" xfId="12982" xr:uid="{00000000-0005-0000-0000-00004E380000}"/>
    <cellStyle name="Normal 5 4 41" xfId="12983" xr:uid="{00000000-0005-0000-0000-00004F380000}"/>
    <cellStyle name="Normal 5 4 41 2" xfId="12984" xr:uid="{00000000-0005-0000-0000-000050380000}"/>
    <cellStyle name="Normal 5 4 42" xfId="12985" xr:uid="{00000000-0005-0000-0000-000051380000}"/>
    <cellStyle name="Normal 5 4 42 2" xfId="12986" xr:uid="{00000000-0005-0000-0000-000052380000}"/>
    <cellStyle name="Normal 5 4 43" xfId="12987" xr:uid="{00000000-0005-0000-0000-000053380000}"/>
    <cellStyle name="Normal 5 4 43 2" xfId="12988" xr:uid="{00000000-0005-0000-0000-000054380000}"/>
    <cellStyle name="Normal 5 4 44" xfId="12989" xr:uid="{00000000-0005-0000-0000-000055380000}"/>
    <cellStyle name="Normal 5 4 44 2" xfId="12990" xr:uid="{00000000-0005-0000-0000-000056380000}"/>
    <cellStyle name="Normal 5 4 45" xfId="12991" xr:uid="{00000000-0005-0000-0000-000057380000}"/>
    <cellStyle name="Normal 5 4 45 2" xfId="12992" xr:uid="{00000000-0005-0000-0000-000058380000}"/>
    <cellStyle name="Normal 5 4 46" xfId="12993" xr:uid="{00000000-0005-0000-0000-000059380000}"/>
    <cellStyle name="Normal 5 4 46 2" xfId="12994" xr:uid="{00000000-0005-0000-0000-00005A380000}"/>
    <cellStyle name="Normal 5 4 47" xfId="12995" xr:uid="{00000000-0005-0000-0000-00005B380000}"/>
    <cellStyle name="Normal 5 4 47 2" xfId="12996" xr:uid="{00000000-0005-0000-0000-00005C380000}"/>
    <cellStyle name="Normal 5 4 48" xfId="12997" xr:uid="{00000000-0005-0000-0000-00005D380000}"/>
    <cellStyle name="Normal 5 4 48 2" xfId="12998" xr:uid="{00000000-0005-0000-0000-00005E380000}"/>
    <cellStyle name="Normal 5 4 49" xfId="12999" xr:uid="{00000000-0005-0000-0000-00005F380000}"/>
    <cellStyle name="Normal 5 4 49 2" xfId="13000" xr:uid="{00000000-0005-0000-0000-000060380000}"/>
    <cellStyle name="Normal 5 4 5" xfId="13001" xr:uid="{00000000-0005-0000-0000-000061380000}"/>
    <cellStyle name="Normal 5 4 5 10" xfId="13002" xr:uid="{00000000-0005-0000-0000-000062380000}"/>
    <cellStyle name="Normal 5 4 5 10 2" xfId="13003" xr:uid="{00000000-0005-0000-0000-000063380000}"/>
    <cellStyle name="Normal 5 4 5 11" xfId="13004" xr:uid="{00000000-0005-0000-0000-000064380000}"/>
    <cellStyle name="Normal 5 4 5 11 2" xfId="13005" xr:uid="{00000000-0005-0000-0000-000065380000}"/>
    <cellStyle name="Normal 5 4 5 12" xfId="13006" xr:uid="{00000000-0005-0000-0000-000066380000}"/>
    <cellStyle name="Normal 5 4 5 12 2" xfId="13007" xr:uid="{00000000-0005-0000-0000-000067380000}"/>
    <cellStyle name="Normal 5 4 5 13" xfId="13008" xr:uid="{00000000-0005-0000-0000-000068380000}"/>
    <cellStyle name="Normal 5 4 5 13 2" xfId="13009" xr:uid="{00000000-0005-0000-0000-000069380000}"/>
    <cellStyle name="Normal 5 4 5 14" xfId="13010" xr:uid="{00000000-0005-0000-0000-00006A380000}"/>
    <cellStyle name="Normal 5 4 5 14 2" xfId="13011" xr:uid="{00000000-0005-0000-0000-00006B380000}"/>
    <cellStyle name="Normal 5 4 5 15" xfId="13012" xr:uid="{00000000-0005-0000-0000-00006C380000}"/>
    <cellStyle name="Normal 5 4 5 15 2" xfId="13013" xr:uid="{00000000-0005-0000-0000-00006D380000}"/>
    <cellStyle name="Normal 5 4 5 16" xfId="13014" xr:uid="{00000000-0005-0000-0000-00006E380000}"/>
    <cellStyle name="Normal 5 4 5 16 2" xfId="13015" xr:uid="{00000000-0005-0000-0000-00006F380000}"/>
    <cellStyle name="Normal 5 4 5 17" xfId="13016" xr:uid="{00000000-0005-0000-0000-000070380000}"/>
    <cellStyle name="Normal 5 4 5 17 2" xfId="13017" xr:uid="{00000000-0005-0000-0000-000071380000}"/>
    <cellStyle name="Normal 5 4 5 18" xfId="13018" xr:uid="{00000000-0005-0000-0000-000072380000}"/>
    <cellStyle name="Normal 5 4 5 18 2" xfId="13019" xr:uid="{00000000-0005-0000-0000-000073380000}"/>
    <cellStyle name="Normal 5 4 5 19" xfId="13020" xr:uid="{00000000-0005-0000-0000-000074380000}"/>
    <cellStyle name="Normal 5 4 5 19 2" xfId="13021" xr:uid="{00000000-0005-0000-0000-000075380000}"/>
    <cellStyle name="Normal 5 4 5 2" xfId="13022" xr:uid="{00000000-0005-0000-0000-000076380000}"/>
    <cellStyle name="Normal 5 4 5 2 2" xfId="13023" xr:uid="{00000000-0005-0000-0000-000077380000}"/>
    <cellStyle name="Normal 5 4 5 20" xfId="13024" xr:uid="{00000000-0005-0000-0000-000078380000}"/>
    <cellStyle name="Normal 5 4 5 20 2" xfId="13025" xr:uid="{00000000-0005-0000-0000-000079380000}"/>
    <cellStyle name="Normal 5 4 5 21" xfId="13026" xr:uid="{00000000-0005-0000-0000-00007A380000}"/>
    <cellStyle name="Normal 5 4 5 21 2" xfId="13027" xr:uid="{00000000-0005-0000-0000-00007B380000}"/>
    <cellStyle name="Normal 5 4 5 22" xfId="13028" xr:uid="{00000000-0005-0000-0000-00007C380000}"/>
    <cellStyle name="Normal 5 4 5 22 2" xfId="13029" xr:uid="{00000000-0005-0000-0000-00007D380000}"/>
    <cellStyle name="Normal 5 4 5 23" xfId="13030" xr:uid="{00000000-0005-0000-0000-00007E380000}"/>
    <cellStyle name="Normal 5 4 5 23 2" xfId="13031" xr:uid="{00000000-0005-0000-0000-00007F380000}"/>
    <cellStyle name="Normal 5 4 5 24" xfId="13032" xr:uid="{00000000-0005-0000-0000-000080380000}"/>
    <cellStyle name="Normal 5 4 5 24 2" xfId="13033" xr:uid="{00000000-0005-0000-0000-000081380000}"/>
    <cellStyle name="Normal 5 4 5 25" xfId="13034" xr:uid="{00000000-0005-0000-0000-000082380000}"/>
    <cellStyle name="Normal 5 4 5 25 2" xfId="13035" xr:uid="{00000000-0005-0000-0000-000083380000}"/>
    <cellStyle name="Normal 5 4 5 26" xfId="13036" xr:uid="{00000000-0005-0000-0000-000084380000}"/>
    <cellStyle name="Normal 5 4 5 26 2" xfId="13037" xr:uid="{00000000-0005-0000-0000-000085380000}"/>
    <cellStyle name="Normal 5 4 5 27" xfId="13038" xr:uid="{00000000-0005-0000-0000-000086380000}"/>
    <cellStyle name="Normal 5 4 5 27 2" xfId="13039" xr:uid="{00000000-0005-0000-0000-000087380000}"/>
    <cellStyle name="Normal 5 4 5 28" xfId="13040" xr:uid="{00000000-0005-0000-0000-000088380000}"/>
    <cellStyle name="Normal 5 4 5 28 2" xfId="13041" xr:uid="{00000000-0005-0000-0000-000089380000}"/>
    <cellStyle name="Normal 5 4 5 29" xfId="13042" xr:uid="{00000000-0005-0000-0000-00008A380000}"/>
    <cellStyle name="Normal 5 4 5 29 2" xfId="13043" xr:uid="{00000000-0005-0000-0000-00008B380000}"/>
    <cellStyle name="Normal 5 4 5 3" xfId="13044" xr:uid="{00000000-0005-0000-0000-00008C380000}"/>
    <cellStyle name="Normal 5 4 5 3 2" xfId="13045" xr:uid="{00000000-0005-0000-0000-00008D380000}"/>
    <cellStyle name="Normal 5 4 5 30" xfId="13046" xr:uid="{00000000-0005-0000-0000-00008E380000}"/>
    <cellStyle name="Normal 5 4 5 30 2" xfId="13047" xr:uid="{00000000-0005-0000-0000-00008F380000}"/>
    <cellStyle name="Normal 5 4 5 31" xfId="13048" xr:uid="{00000000-0005-0000-0000-000090380000}"/>
    <cellStyle name="Normal 5 4 5 31 2" xfId="13049" xr:uid="{00000000-0005-0000-0000-000091380000}"/>
    <cellStyle name="Normal 5 4 5 32" xfId="13050" xr:uid="{00000000-0005-0000-0000-000092380000}"/>
    <cellStyle name="Normal 5 4 5 32 2" xfId="13051" xr:uid="{00000000-0005-0000-0000-000093380000}"/>
    <cellStyle name="Normal 5 4 5 33" xfId="13052" xr:uid="{00000000-0005-0000-0000-000094380000}"/>
    <cellStyle name="Normal 5 4 5 33 2" xfId="13053" xr:uid="{00000000-0005-0000-0000-000095380000}"/>
    <cellStyle name="Normal 5 4 5 34" xfId="13054" xr:uid="{00000000-0005-0000-0000-000096380000}"/>
    <cellStyle name="Normal 5 4 5 34 2" xfId="13055" xr:uid="{00000000-0005-0000-0000-000097380000}"/>
    <cellStyle name="Normal 5 4 5 35" xfId="13056" xr:uid="{00000000-0005-0000-0000-000098380000}"/>
    <cellStyle name="Normal 5 4 5 4" xfId="13057" xr:uid="{00000000-0005-0000-0000-000099380000}"/>
    <cellStyle name="Normal 5 4 5 4 2" xfId="13058" xr:uid="{00000000-0005-0000-0000-00009A380000}"/>
    <cellStyle name="Normal 5 4 5 5" xfId="13059" xr:uid="{00000000-0005-0000-0000-00009B380000}"/>
    <cellStyle name="Normal 5 4 5 5 2" xfId="13060" xr:uid="{00000000-0005-0000-0000-00009C380000}"/>
    <cellStyle name="Normal 5 4 5 6" xfId="13061" xr:uid="{00000000-0005-0000-0000-00009D380000}"/>
    <cellStyle name="Normal 5 4 5 6 2" xfId="13062" xr:uid="{00000000-0005-0000-0000-00009E380000}"/>
    <cellStyle name="Normal 5 4 5 7" xfId="13063" xr:uid="{00000000-0005-0000-0000-00009F380000}"/>
    <cellStyle name="Normal 5 4 5 7 2" xfId="13064" xr:uid="{00000000-0005-0000-0000-0000A0380000}"/>
    <cellStyle name="Normal 5 4 5 8" xfId="13065" xr:uid="{00000000-0005-0000-0000-0000A1380000}"/>
    <cellStyle name="Normal 5 4 5 8 2" xfId="13066" xr:uid="{00000000-0005-0000-0000-0000A2380000}"/>
    <cellStyle name="Normal 5 4 5 9" xfId="13067" xr:uid="{00000000-0005-0000-0000-0000A3380000}"/>
    <cellStyle name="Normal 5 4 5 9 2" xfId="13068" xr:uid="{00000000-0005-0000-0000-0000A4380000}"/>
    <cellStyle name="Normal 5 4 50" xfId="13069" xr:uid="{00000000-0005-0000-0000-0000A5380000}"/>
    <cellStyle name="Normal 5 4 50 2" xfId="13070" xr:uid="{00000000-0005-0000-0000-0000A6380000}"/>
    <cellStyle name="Normal 5 4 51" xfId="13071" xr:uid="{00000000-0005-0000-0000-0000A7380000}"/>
    <cellStyle name="Normal 5 4 52" xfId="12345" xr:uid="{00000000-0005-0000-0000-0000A8380000}"/>
    <cellStyle name="Normal 5 4 6" xfId="13072" xr:uid="{00000000-0005-0000-0000-0000A9380000}"/>
    <cellStyle name="Normal 5 4 6 2" xfId="13073" xr:uid="{00000000-0005-0000-0000-0000AA380000}"/>
    <cellStyle name="Normal 5 4 6 2 2" xfId="13074" xr:uid="{00000000-0005-0000-0000-0000AB380000}"/>
    <cellStyle name="Normal 5 4 6 3" xfId="13075" xr:uid="{00000000-0005-0000-0000-0000AC380000}"/>
    <cellStyle name="Normal 5 4 6 3 2" xfId="13076" xr:uid="{00000000-0005-0000-0000-0000AD380000}"/>
    <cellStyle name="Normal 5 4 6 4" xfId="13077" xr:uid="{00000000-0005-0000-0000-0000AE380000}"/>
    <cellStyle name="Normal 5 4 6 4 2" xfId="13078" xr:uid="{00000000-0005-0000-0000-0000AF380000}"/>
    <cellStyle name="Normal 5 4 6 5" xfId="13079" xr:uid="{00000000-0005-0000-0000-0000B0380000}"/>
    <cellStyle name="Normal 5 4 6 5 2" xfId="13080" xr:uid="{00000000-0005-0000-0000-0000B1380000}"/>
    <cellStyle name="Normal 5 4 6 6" xfId="13081" xr:uid="{00000000-0005-0000-0000-0000B2380000}"/>
    <cellStyle name="Normal 5 4 7" xfId="13082" xr:uid="{00000000-0005-0000-0000-0000B3380000}"/>
    <cellStyle name="Normal 5 4 7 2" xfId="13083" xr:uid="{00000000-0005-0000-0000-0000B4380000}"/>
    <cellStyle name="Normal 5 4 7 2 2" xfId="13084" xr:uid="{00000000-0005-0000-0000-0000B5380000}"/>
    <cellStyle name="Normal 5 4 7 3" xfId="13085" xr:uid="{00000000-0005-0000-0000-0000B6380000}"/>
    <cellStyle name="Normal 5 4 7 3 2" xfId="13086" xr:uid="{00000000-0005-0000-0000-0000B7380000}"/>
    <cellStyle name="Normal 5 4 7 4" xfId="13087" xr:uid="{00000000-0005-0000-0000-0000B8380000}"/>
    <cellStyle name="Normal 5 4 7 4 2" xfId="13088" xr:uid="{00000000-0005-0000-0000-0000B9380000}"/>
    <cellStyle name="Normal 5 4 7 5" xfId="13089" xr:uid="{00000000-0005-0000-0000-0000BA380000}"/>
    <cellStyle name="Normal 5 4 7 5 2" xfId="13090" xr:uid="{00000000-0005-0000-0000-0000BB380000}"/>
    <cellStyle name="Normal 5 4 7 6" xfId="13091" xr:uid="{00000000-0005-0000-0000-0000BC380000}"/>
    <cellStyle name="Normal 5 4 8" xfId="13092" xr:uid="{00000000-0005-0000-0000-0000BD380000}"/>
    <cellStyle name="Normal 5 4 8 2" xfId="13093" xr:uid="{00000000-0005-0000-0000-0000BE380000}"/>
    <cellStyle name="Normal 5 4 9" xfId="13094" xr:uid="{00000000-0005-0000-0000-0000BF380000}"/>
    <cellStyle name="Normal 5 4 9 2" xfId="13095" xr:uid="{00000000-0005-0000-0000-0000C0380000}"/>
    <cellStyle name="Normal 5 5" xfId="359" xr:uid="{00000000-0005-0000-0000-0000C1380000}"/>
    <cellStyle name="Normal 5 5 10" xfId="13097" xr:uid="{00000000-0005-0000-0000-0000C2380000}"/>
    <cellStyle name="Normal 5 5 10 2" xfId="13098" xr:uid="{00000000-0005-0000-0000-0000C3380000}"/>
    <cellStyle name="Normal 5 5 11" xfId="13099" xr:uid="{00000000-0005-0000-0000-0000C4380000}"/>
    <cellStyle name="Normal 5 5 12" xfId="13100" xr:uid="{00000000-0005-0000-0000-0000C5380000}"/>
    <cellStyle name="Normal 5 5 12 2" xfId="13101" xr:uid="{00000000-0005-0000-0000-0000C6380000}"/>
    <cellStyle name="Normal 5 5 13" xfId="13102" xr:uid="{00000000-0005-0000-0000-0000C7380000}"/>
    <cellStyle name="Normal 5 5 13 2" xfId="13103" xr:uid="{00000000-0005-0000-0000-0000C8380000}"/>
    <cellStyle name="Normal 5 5 14" xfId="13104" xr:uid="{00000000-0005-0000-0000-0000C9380000}"/>
    <cellStyle name="Normal 5 5 15" xfId="13105" xr:uid="{00000000-0005-0000-0000-0000CA380000}"/>
    <cellStyle name="Normal 5 5 15 2" xfId="13106" xr:uid="{00000000-0005-0000-0000-0000CB380000}"/>
    <cellStyle name="Normal 5 5 16" xfId="13107" xr:uid="{00000000-0005-0000-0000-0000CC380000}"/>
    <cellStyle name="Normal 5 5 16 2" xfId="13108" xr:uid="{00000000-0005-0000-0000-0000CD380000}"/>
    <cellStyle name="Normal 5 5 17" xfId="13109" xr:uid="{00000000-0005-0000-0000-0000CE380000}"/>
    <cellStyle name="Normal 5 5 18" xfId="13110" xr:uid="{00000000-0005-0000-0000-0000CF380000}"/>
    <cellStyle name="Normal 5 5 18 2" xfId="13111" xr:uid="{00000000-0005-0000-0000-0000D0380000}"/>
    <cellStyle name="Normal 5 5 19" xfId="13112" xr:uid="{00000000-0005-0000-0000-0000D1380000}"/>
    <cellStyle name="Normal 5 5 19 2" xfId="13113" xr:uid="{00000000-0005-0000-0000-0000D2380000}"/>
    <cellStyle name="Normal 5 5 2" xfId="13114" xr:uid="{00000000-0005-0000-0000-0000D3380000}"/>
    <cellStyle name="Normal 5 5 2 10" xfId="13115" xr:uid="{00000000-0005-0000-0000-0000D4380000}"/>
    <cellStyle name="Normal 5 5 2 10 2" xfId="13116" xr:uid="{00000000-0005-0000-0000-0000D5380000}"/>
    <cellStyle name="Normal 5 5 2 11" xfId="13117" xr:uid="{00000000-0005-0000-0000-0000D6380000}"/>
    <cellStyle name="Normal 5 5 2 11 2" xfId="13118" xr:uid="{00000000-0005-0000-0000-0000D7380000}"/>
    <cellStyle name="Normal 5 5 2 12" xfId="13119" xr:uid="{00000000-0005-0000-0000-0000D8380000}"/>
    <cellStyle name="Normal 5 5 2 12 2" xfId="13120" xr:uid="{00000000-0005-0000-0000-0000D9380000}"/>
    <cellStyle name="Normal 5 5 2 13" xfId="13121" xr:uid="{00000000-0005-0000-0000-0000DA380000}"/>
    <cellStyle name="Normal 5 5 2 13 2" xfId="13122" xr:uid="{00000000-0005-0000-0000-0000DB380000}"/>
    <cellStyle name="Normal 5 5 2 14" xfId="13123" xr:uid="{00000000-0005-0000-0000-0000DC380000}"/>
    <cellStyle name="Normal 5 5 2 14 2" xfId="13124" xr:uid="{00000000-0005-0000-0000-0000DD380000}"/>
    <cellStyle name="Normal 5 5 2 15" xfId="13125" xr:uid="{00000000-0005-0000-0000-0000DE380000}"/>
    <cellStyle name="Normal 5 5 2 15 2" xfId="13126" xr:uid="{00000000-0005-0000-0000-0000DF380000}"/>
    <cellStyle name="Normal 5 5 2 16" xfId="13127" xr:uid="{00000000-0005-0000-0000-0000E0380000}"/>
    <cellStyle name="Normal 5 5 2 16 2" xfId="13128" xr:uid="{00000000-0005-0000-0000-0000E1380000}"/>
    <cellStyle name="Normal 5 5 2 17" xfId="13129" xr:uid="{00000000-0005-0000-0000-0000E2380000}"/>
    <cellStyle name="Normal 5 5 2 17 2" xfId="13130" xr:uid="{00000000-0005-0000-0000-0000E3380000}"/>
    <cellStyle name="Normal 5 5 2 18" xfId="13131" xr:uid="{00000000-0005-0000-0000-0000E4380000}"/>
    <cellStyle name="Normal 5 5 2 18 2" xfId="13132" xr:uid="{00000000-0005-0000-0000-0000E5380000}"/>
    <cellStyle name="Normal 5 5 2 19" xfId="13133" xr:uid="{00000000-0005-0000-0000-0000E6380000}"/>
    <cellStyle name="Normal 5 5 2 19 2" xfId="13134" xr:uid="{00000000-0005-0000-0000-0000E7380000}"/>
    <cellStyle name="Normal 5 5 2 2" xfId="13135" xr:uid="{00000000-0005-0000-0000-0000E8380000}"/>
    <cellStyle name="Normal 5 5 2 2 2" xfId="13136" xr:uid="{00000000-0005-0000-0000-0000E9380000}"/>
    <cellStyle name="Normal 5 5 2 2 2 2" xfId="13137" xr:uid="{00000000-0005-0000-0000-0000EA380000}"/>
    <cellStyle name="Normal 5 5 2 2 3" xfId="13138" xr:uid="{00000000-0005-0000-0000-0000EB380000}"/>
    <cellStyle name="Normal 5 5 2 2 3 2" xfId="13139" xr:uid="{00000000-0005-0000-0000-0000EC380000}"/>
    <cellStyle name="Normal 5 5 2 2 4" xfId="13140" xr:uid="{00000000-0005-0000-0000-0000ED380000}"/>
    <cellStyle name="Normal 5 5 2 2 4 2" xfId="13141" xr:uid="{00000000-0005-0000-0000-0000EE380000}"/>
    <cellStyle name="Normal 5 5 2 2 5" xfId="13142" xr:uid="{00000000-0005-0000-0000-0000EF380000}"/>
    <cellStyle name="Normal 5 5 2 2 5 2" xfId="13143" xr:uid="{00000000-0005-0000-0000-0000F0380000}"/>
    <cellStyle name="Normal 5 5 2 2 6" xfId="13144" xr:uid="{00000000-0005-0000-0000-0000F1380000}"/>
    <cellStyle name="Normal 5 5 2 20" xfId="13145" xr:uid="{00000000-0005-0000-0000-0000F2380000}"/>
    <cellStyle name="Normal 5 5 2 20 2" xfId="13146" xr:uid="{00000000-0005-0000-0000-0000F3380000}"/>
    <cellStyle name="Normal 5 5 2 21" xfId="13147" xr:uid="{00000000-0005-0000-0000-0000F4380000}"/>
    <cellStyle name="Normal 5 5 2 21 2" xfId="13148" xr:uid="{00000000-0005-0000-0000-0000F5380000}"/>
    <cellStyle name="Normal 5 5 2 22" xfId="13149" xr:uid="{00000000-0005-0000-0000-0000F6380000}"/>
    <cellStyle name="Normal 5 5 2 22 2" xfId="13150" xr:uid="{00000000-0005-0000-0000-0000F7380000}"/>
    <cellStyle name="Normal 5 5 2 23" xfId="13151" xr:uid="{00000000-0005-0000-0000-0000F8380000}"/>
    <cellStyle name="Normal 5 5 2 23 2" xfId="13152" xr:uid="{00000000-0005-0000-0000-0000F9380000}"/>
    <cellStyle name="Normal 5 5 2 24" xfId="13153" xr:uid="{00000000-0005-0000-0000-0000FA380000}"/>
    <cellStyle name="Normal 5 5 2 24 2" xfId="13154" xr:uid="{00000000-0005-0000-0000-0000FB380000}"/>
    <cellStyle name="Normal 5 5 2 25" xfId="13155" xr:uid="{00000000-0005-0000-0000-0000FC380000}"/>
    <cellStyle name="Normal 5 5 2 25 2" xfId="13156" xr:uid="{00000000-0005-0000-0000-0000FD380000}"/>
    <cellStyle name="Normal 5 5 2 26" xfId="13157" xr:uid="{00000000-0005-0000-0000-0000FE380000}"/>
    <cellStyle name="Normal 5 5 2 26 2" xfId="13158" xr:uid="{00000000-0005-0000-0000-0000FF380000}"/>
    <cellStyle name="Normal 5 5 2 27" xfId="13159" xr:uid="{00000000-0005-0000-0000-000000390000}"/>
    <cellStyle name="Normal 5 5 2 27 2" xfId="13160" xr:uid="{00000000-0005-0000-0000-000001390000}"/>
    <cellStyle name="Normal 5 5 2 28" xfId="13161" xr:uid="{00000000-0005-0000-0000-000002390000}"/>
    <cellStyle name="Normal 5 5 2 28 2" xfId="13162" xr:uid="{00000000-0005-0000-0000-000003390000}"/>
    <cellStyle name="Normal 5 5 2 29" xfId="13163" xr:uid="{00000000-0005-0000-0000-000004390000}"/>
    <cellStyle name="Normal 5 5 2 29 2" xfId="13164" xr:uid="{00000000-0005-0000-0000-000005390000}"/>
    <cellStyle name="Normal 5 5 2 3" xfId="13165" xr:uid="{00000000-0005-0000-0000-000006390000}"/>
    <cellStyle name="Normal 5 5 2 3 2" xfId="13166" xr:uid="{00000000-0005-0000-0000-000007390000}"/>
    <cellStyle name="Normal 5 5 2 3 2 2" xfId="13167" xr:uid="{00000000-0005-0000-0000-000008390000}"/>
    <cellStyle name="Normal 5 5 2 3 3" xfId="13168" xr:uid="{00000000-0005-0000-0000-000009390000}"/>
    <cellStyle name="Normal 5 5 2 3 3 2" xfId="13169" xr:uid="{00000000-0005-0000-0000-00000A390000}"/>
    <cellStyle name="Normal 5 5 2 3 4" xfId="13170" xr:uid="{00000000-0005-0000-0000-00000B390000}"/>
    <cellStyle name="Normal 5 5 2 3 4 2" xfId="13171" xr:uid="{00000000-0005-0000-0000-00000C390000}"/>
    <cellStyle name="Normal 5 5 2 3 5" xfId="13172" xr:uid="{00000000-0005-0000-0000-00000D390000}"/>
    <cellStyle name="Normal 5 5 2 3 5 2" xfId="13173" xr:uid="{00000000-0005-0000-0000-00000E390000}"/>
    <cellStyle name="Normal 5 5 2 3 6" xfId="13174" xr:uid="{00000000-0005-0000-0000-00000F390000}"/>
    <cellStyle name="Normal 5 5 2 30" xfId="13175" xr:uid="{00000000-0005-0000-0000-000010390000}"/>
    <cellStyle name="Normal 5 5 2 30 2" xfId="13176" xr:uid="{00000000-0005-0000-0000-000011390000}"/>
    <cellStyle name="Normal 5 5 2 31" xfId="13177" xr:uid="{00000000-0005-0000-0000-000012390000}"/>
    <cellStyle name="Normal 5 5 2 31 2" xfId="13178" xr:uid="{00000000-0005-0000-0000-000013390000}"/>
    <cellStyle name="Normal 5 5 2 32" xfId="13179" xr:uid="{00000000-0005-0000-0000-000014390000}"/>
    <cellStyle name="Normal 5 5 2 32 2" xfId="13180" xr:uid="{00000000-0005-0000-0000-000015390000}"/>
    <cellStyle name="Normal 5 5 2 33" xfId="13181" xr:uid="{00000000-0005-0000-0000-000016390000}"/>
    <cellStyle name="Normal 5 5 2 33 2" xfId="13182" xr:uid="{00000000-0005-0000-0000-000017390000}"/>
    <cellStyle name="Normal 5 5 2 34" xfId="13183" xr:uid="{00000000-0005-0000-0000-000018390000}"/>
    <cellStyle name="Normal 5 5 2 34 2" xfId="13184" xr:uid="{00000000-0005-0000-0000-000019390000}"/>
    <cellStyle name="Normal 5 5 2 35" xfId="13185" xr:uid="{00000000-0005-0000-0000-00001A390000}"/>
    <cellStyle name="Normal 5 5 2 35 2" xfId="13186" xr:uid="{00000000-0005-0000-0000-00001B390000}"/>
    <cellStyle name="Normal 5 5 2 36" xfId="13187" xr:uid="{00000000-0005-0000-0000-00001C390000}"/>
    <cellStyle name="Normal 5 5 2 36 2" xfId="13188" xr:uid="{00000000-0005-0000-0000-00001D390000}"/>
    <cellStyle name="Normal 5 5 2 37" xfId="13189" xr:uid="{00000000-0005-0000-0000-00001E390000}"/>
    <cellStyle name="Normal 5 5 2 4" xfId="13190" xr:uid="{00000000-0005-0000-0000-00001F390000}"/>
    <cellStyle name="Normal 5 5 2 4 2" xfId="13191" xr:uid="{00000000-0005-0000-0000-000020390000}"/>
    <cellStyle name="Normal 5 5 2 4 2 2" xfId="13192" xr:uid="{00000000-0005-0000-0000-000021390000}"/>
    <cellStyle name="Normal 5 5 2 4 3" xfId="13193" xr:uid="{00000000-0005-0000-0000-000022390000}"/>
    <cellStyle name="Normal 5 5 2 4 3 2" xfId="13194" xr:uid="{00000000-0005-0000-0000-000023390000}"/>
    <cellStyle name="Normal 5 5 2 4 4" xfId="13195" xr:uid="{00000000-0005-0000-0000-000024390000}"/>
    <cellStyle name="Normal 5 5 2 4 4 2" xfId="13196" xr:uid="{00000000-0005-0000-0000-000025390000}"/>
    <cellStyle name="Normal 5 5 2 4 5" xfId="13197" xr:uid="{00000000-0005-0000-0000-000026390000}"/>
    <cellStyle name="Normal 5 5 2 4 5 2" xfId="13198" xr:uid="{00000000-0005-0000-0000-000027390000}"/>
    <cellStyle name="Normal 5 5 2 4 6" xfId="13199" xr:uid="{00000000-0005-0000-0000-000028390000}"/>
    <cellStyle name="Normal 5 5 2 5" xfId="13200" xr:uid="{00000000-0005-0000-0000-000029390000}"/>
    <cellStyle name="Normal 5 5 2 5 2" xfId="13201" xr:uid="{00000000-0005-0000-0000-00002A390000}"/>
    <cellStyle name="Normal 5 5 2 6" xfId="13202" xr:uid="{00000000-0005-0000-0000-00002B390000}"/>
    <cellStyle name="Normal 5 5 2 6 2" xfId="13203" xr:uid="{00000000-0005-0000-0000-00002C390000}"/>
    <cellStyle name="Normal 5 5 2 7" xfId="13204" xr:uid="{00000000-0005-0000-0000-00002D390000}"/>
    <cellStyle name="Normal 5 5 2 7 2" xfId="13205" xr:uid="{00000000-0005-0000-0000-00002E390000}"/>
    <cellStyle name="Normal 5 5 2 8" xfId="13206" xr:uid="{00000000-0005-0000-0000-00002F390000}"/>
    <cellStyle name="Normal 5 5 2 8 2" xfId="13207" xr:uid="{00000000-0005-0000-0000-000030390000}"/>
    <cellStyle name="Normal 5 5 2 9" xfId="13208" xr:uid="{00000000-0005-0000-0000-000031390000}"/>
    <cellStyle name="Normal 5 5 2 9 2" xfId="13209" xr:uid="{00000000-0005-0000-0000-000032390000}"/>
    <cellStyle name="Normal 5 5 20" xfId="13210" xr:uid="{00000000-0005-0000-0000-000033390000}"/>
    <cellStyle name="Normal 5 5 21" xfId="13211" xr:uid="{00000000-0005-0000-0000-000034390000}"/>
    <cellStyle name="Normal 5 5 21 2" xfId="13212" xr:uid="{00000000-0005-0000-0000-000035390000}"/>
    <cellStyle name="Normal 5 5 22" xfId="13213" xr:uid="{00000000-0005-0000-0000-000036390000}"/>
    <cellStyle name="Normal 5 5 23" xfId="13214" xr:uid="{00000000-0005-0000-0000-000037390000}"/>
    <cellStyle name="Normal 5 5 23 2" xfId="13215" xr:uid="{00000000-0005-0000-0000-000038390000}"/>
    <cellStyle name="Normal 5 5 24" xfId="13216" xr:uid="{00000000-0005-0000-0000-000039390000}"/>
    <cellStyle name="Normal 5 5 24 2" xfId="13217" xr:uid="{00000000-0005-0000-0000-00003A390000}"/>
    <cellStyle name="Normal 5 5 25" xfId="13218" xr:uid="{00000000-0005-0000-0000-00003B390000}"/>
    <cellStyle name="Normal 5 5 25 2" xfId="13219" xr:uid="{00000000-0005-0000-0000-00003C390000}"/>
    <cellStyle name="Normal 5 5 26" xfId="13220" xr:uid="{00000000-0005-0000-0000-00003D390000}"/>
    <cellStyle name="Normal 5 5 26 2" xfId="13221" xr:uid="{00000000-0005-0000-0000-00003E390000}"/>
    <cellStyle name="Normal 5 5 27" xfId="13222" xr:uid="{00000000-0005-0000-0000-00003F390000}"/>
    <cellStyle name="Normal 5 5 27 2" xfId="13223" xr:uid="{00000000-0005-0000-0000-000040390000}"/>
    <cellStyle name="Normal 5 5 28" xfId="13224" xr:uid="{00000000-0005-0000-0000-000041390000}"/>
    <cellStyle name="Normal 5 5 28 2" xfId="13225" xr:uid="{00000000-0005-0000-0000-000042390000}"/>
    <cellStyle name="Normal 5 5 29" xfId="13226" xr:uid="{00000000-0005-0000-0000-000043390000}"/>
    <cellStyle name="Normal 5 5 29 2" xfId="13227" xr:uid="{00000000-0005-0000-0000-000044390000}"/>
    <cellStyle name="Normal 5 5 3" xfId="13228" xr:uid="{00000000-0005-0000-0000-000045390000}"/>
    <cellStyle name="Normal 5 5 3 10" xfId="13229" xr:uid="{00000000-0005-0000-0000-000046390000}"/>
    <cellStyle name="Normal 5 5 3 10 2" xfId="13230" xr:uid="{00000000-0005-0000-0000-000047390000}"/>
    <cellStyle name="Normal 5 5 3 11" xfId="13231" xr:uid="{00000000-0005-0000-0000-000048390000}"/>
    <cellStyle name="Normal 5 5 3 11 2" xfId="13232" xr:uid="{00000000-0005-0000-0000-000049390000}"/>
    <cellStyle name="Normal 5 5 3 12" xfId="13233" xr:uid="{00000000-0005-0000-0000-00004A390000}"/>
    <cellStyle name="Normal 5 5 3 12 2" xfId="13234" xr:uid="{00000000-0005-0000-0000-00004B390000}"/>
    <cellStyle name="Normal 5 5 3 13" xfId="13235" xr:uid="{00000000-0005-0000-0000-00004C390000}"/>
    <cellStyle name="Normal 5 5 3 13 2" xfId="13236" xr:uid="{00000000-0005-0000-0000-00004D390000}"/>
    <cellStyle name="Normal 5 5 3 14" xfId="13237" xr:uid="{00000000-0005-0000-0000-00004E390000}"/>
    <cellStyle name="Normal 5 5 3 14 2" xfId="13238" xr:uid="{00000000-0005-0000-0000-00004F390000}"/>
    <cellStyle name="Normal 5 5 3 15" xfId="13239" xr:uid="{00000000-0005-0000-0000-000050390000}"/>
    <cellStyle name="Normal 5 5 3 15 2" xfId="13240" xr:uid="{00000000-0005-0000-0000-000051390000}"/>
    <cellStyle name="Normal 5 5 3 16" xfId="13241" xr:uid="{00000000-0005-0000-0000-000052390000}"/>
    <cellStyle name="Normal 5 5 3 16 2" xfId="13242" xr:uid="{00000000-0005-0000-0000-000053390000}"/>
    <cellStyle name="Normal 5 5 3 17" xfId="13243" xr:uid="{00000000-0005-0000-0000-000054390000}"/>
    <cellStyle name="Normal 5 5 3 17 2" xfId="13244" xr:uid="{00000000-0005-0000-0000-000055390000}"/>
    <cellStyle name="Normal 5 5 3 18" xfId="13245" xr:uid="{00000000-0005-0000-0000-000056390000}"/>
    <cellStyle name="Normal 5 5 3 18 2" xfId="13246" xr:uid="{00000000-0005-0000-0000-000057390000}"/>
    <cellStyle name="Normal 5 5 3 19" xfId="13247" xr:uid="{00000000-0005-0000-0000-000058390000}"/>
    <cellStyle name="Normal 5 5 3 19 2" xfId="13248" xr:uid="{00000000-0005-0000-0000-000059390000}"/>
    <cellStyle name="Normal 5 5 3 2" xfId="13249" xr:uid="{00000000-0005-0000-0000-00005A390000}"/>
    <cellStyle name="Normal 5 5 3 2 2" xfId="13250" xr:uid="{00000000-0005-0000-0000-00005B390000}"/>
    <cellStyle name="Normal 5 5 3 20" xfId="13251" xr:uid="{00000000-0005-0000-0000-00005C390000}"/>
    <cellStyle name="Normal 5 5 3 20 2" xfId="13252" xr:uid="{00000000-0005-0000-0000-00005D390000}"/>
    <cellStyle name="Normal 5 5 3 21" xfId="13253" xr:uid="{00000000-0005-0000-0000-00005E390000}"/>
    <cellStyle name="Normal 5 5 3 21 2" xfId="13254" xr:uid="{00000000-0005-0000-0000-00005F390000}"/>
    <cellStyle name="Normal 5 5 3 22" xfId="13255" xr:uid="{00000000-0005-0000-0000-000060390000}"/>
    <cellStyle name="Normal 5 5 3 22 2" xfId="13256" xr:uid="{00000000-0005-0000-0000-000061390000}"/>
    <cellStyle name="Normal 5 5 3 23" xfId="13257" xr:uid="{00000000-0005-0000-0000-000062390000}"/>
    <cellStyle name="Normal 5 5 3 23 2" xfId="13258" xr:uid="{00000000-0005-0000-0000-000063390000}"/>
    <cellStyle name="Normal 5 5 3 24" xfId="13259" xr:uid="{00000000-0005-0000-0000-000064390000}"/>
    <cellStyle name="Normal 5 5 3 24 2" xfId="13260" xr:uid="{00000000-0005-0000-0000-000065390000}"/>
    <cellStyle name="Normal 5 5 3 25" xfId="13261" xr:uid="{00000000-0005-0000-0000-000066390000}"/>
    <cellStyle name="Normal 5 5 3 25 2" xfId="13262" xr:uid="{00000000-0005-0000-0000-000067390000}"/>
    <cellStyle name="Normal 5 5 3 26" xfId="13263" xr:uid="{00000000-0005-0000-0000-000068390000}"/>
    <cellStyle name="Normal 5 5 3 3" xfId="13264" xr:uid="{00000000-0005-0000-0000-000069390000}"/>
    <cellStyle name="Normal 5 5 3 3 2" xfId="13265" xr:uid="{00000000-0005-0000-0000-00006A390000}"/>
    <cellStyle name="Normal 5 5 3 4" xfId="13266" xr:uid="{00000000-0005-0000-0000-00006B390000}"/>
    <cellStyle name="Normal 5 5 3 4 2" xfId="13267" xr:uid="{00000000-0005-0000-0000-00006C390000}"/>
    <cellStyle name="Normal 5 5 3 5" xfId="13268" xr:uid="{00000000-0005-0000-0000-00006D390000}"/>
    <cellStyle name="Normal 5 5 3 5 2" xfId="13269" xr:uid="{00000000-0005-0000-0000-00006E390000}"/>
    <cellStyle name="Normal 5 5 3 6" xfId="13270" xr:uid="{00000000-0005-0000-0000-00006F390000}"/>
    <cellStyle name="Normal 5 5 3 6 2" xfId="13271" xr:uid="{00000000-0005-0000-0000-000070390000}"/>
    <cellStyle name="Normal 5 5 3 7" xfId="13272" xr:uid="{00000000-0005-0000-0000-000071390000}"/>
    <cellStyle name="Normal 5 5 3 7 2" xfId="13273" xr:uid="{00000000-0005-0000-0000-000072390000}"/>
    <cellStyle name="Normal 5 5 3 8" xfId="13274" xr:uid="{00000000-0005-0000-0000-000073390000}"/>
    <cellStyle name="Normal 5 5 3 8 2" xfId="13275" xr:uid="{00000000-0005-0000-0000-000074390000}"/>
    <cellStyle name="Normal 5 5 3 9" xfId="13276" xr:uid="{00000000-0005-0000-0000-000075390000}"/>
    <cellStyle name="Normal 5 5 3 9 2" xfId="13277" xr:uid="{00000000-0005-0000-0000-000076390000}"/>
    <cellStyle name="Normal 5 5 30" xfId="13278" xr:uid="{00000000-0005-0000-0000-000077390000}"/>
    <cellStyle name="Normal 5 5 30 2" xfId="13279" xr:uid="{00000000-0005-0000-0000-000078390000}"/>
    <cellStyle name="Normal 5 5 31" xfId="13280" xr:uid="{00000000-0005-0000-0000-000079390000}"/>
    <cellStyle name="Normal 5 5 31 2" xfId="13281" xr:uid="{00000000-0005-0000-0000-00007A390000}"/>
    <cellStyle name="Normal 5 5 32" xfId="13282" xr:uid="{00000000-0005-0000-0000-00007B390000}"/>
    <cellStyle name="Normal 5 5 32 2" xfId="13283" xr:uid="{00000000-0005-0000-0000-00007C390000}"/>
    <cellStyle name="Normal 5 5 33" xfId="13284" xr:uid="{00000000-0005-0000-0000-00007D390000}"/>
    <cellStyle name="Normal 5 5 33 2" xfId="13285" xr:uid="{00000000-0005-0000-0000-00007E390000}"/>
    <cellStyle name="Normal 5 5 34" xfId="13286" xr:uid="{00000000-0005-0000-0000-00007F390000}"/>
    <cellStyle name="Normal 5 5 34 2" xfId="13287" xr:uid="{00000000-0005-0000-0000-000080390000}"/>
    <cellStyle name="Normal 5 5 35" xfId="13288" xr:uid="{00000000-0005-0000-0000-000081390000}"/>
    <cellStyle name="Normal 5 5 35 2" xfId="13289" xr:uid="{00000000-0005-0000-0000-000082390000}"/>
    <cellStyle name="Normal 5 5 36" xfId="13290" xr:uid="{00000000-0005-0000-0000-000083390000}"/>
    <cellStyle name="Normal 5 5 36 2" xfId="13291" xr:uid="{00000000-0005-0000-0000-000084390000}"/>
    <cellStyle name="Normal 5 5 37" xfId="13292" xr:uid="{00000000-0005-0000-0000-000085390000}"/>
    <cellStyle name="Normal 5 5 37 2" xfId="13293" xr:uid="{00000000-0005-0000-0000-000086390000}"/>
    <cellStyle name="Normal 5 5 38" xfId="13294" xr:uid="{00000000-0005-0000-0000-000087390000}"/>
    <cellStyle name="Normal 5 5 38 2" xfId="13295" xr:uid="{00000000-0005-0000-0000-000088390000}"/>
    <cellStyle name="Normal 5 5 39" xfId="13296" xr:uid="{00000000-0005-0000-0000-000089390000}"/>
    <cellStyle name="Normal 5 5 39 2" xfId="13297" xr:uid="{00000000-0005-0000-0000-00008A390000}"/>
    <cellStyle name="Normal 5 5 4" xfId="13298" xr:uid="{00000000-0005-0000-0000-00008B390000}"/>
    <cellStyle name="Normal 5 5 40" xfId="13299" xr:uid="{00000000-0005-0000-0000-00008C390000}"/>
    <cellStyle name="Normal 5 5 40 2" xfId="13300" xr:uid="{00000000-0005-0000-0000-00008D390000}"/>
    <cellStyle name="Normal 5 5 41" xfId="13301" xr:uid="{00000000-0005-0000-0000-00008E390000}"/>
    <cellStyle name="Normal 5 5 42" xfId="13302" xr:uid="{00000000-0005-0000-0000-00008F390000}"/>
    <cellStyle name="Normal 5 5 42 2" xfId="13303" xr:uid="{00000000-0005-0000-0000-000090390000}"/>
    <cellStyle name="Normal 5 5 43" xfId="13304" xr:uid="{00000000-0005-0000-0000-000091390000}"/>
    <cellStyle name="Normal 5 5 43 2" xfId="13305" xr:uid="{00000000-0005-0000-0000-000092390000}"/>
    <cellStyle name="Normal 5 5 44" xfId="13306" xr:uid="{00000000-0005-0000-0000-000093390000}"/>
    <cellStyle name="Normal 5 5 44 2" xfId="13307" xr:uid="{00000000-0005-0000-0000-000094390000}"/>
    <cellStyle name="Normal 5 5 45" xfId="13308" xr:uid="{00000000-0005-0000-0000-000095390000}"/>
    <cellStyle name="Normal 5 5 45 2" xfId="13309" xr:uid="{00000000-0005-0000-0000-000096390000}"/>
    <cellStyle name="Normal 5 5 46" xfId="13310" xr:uid="{00000000-0005-0000-0000-000097390000}"/>
    <cellStyle name="Normal 5 5 46 2" xfId="13311" xr:uid="{00000000-0005-0000-0000-000098390000}"/>
    <cellStyle name="Normal 5 5 47" xfId="13312" xr:uid="{00000000-0005-0000-0000-000099390000}"/>
    <cellStyle name="Normal 5 5 48" xfId="13096" xr:uid="{00000000-0005-0000-0000-00009A390000}"/>
    <cellStyle name="Normal 5 5 49" xfId="27107" xr:uid="{00000000-0005-0000-0000-00009B390000}"/>
    <cellStyle name="Normal 5 5 5" xfId="13313" xr:uid="{00000000-0005-0000-0000-00009C390000}"/>
    <cellStyle name="Normal 5 5 5 2" xfId="13314" xr:uid="{00000000-0005-0000-0000-00009D390000}"/>
    <cellStyle name="Normal 5 5 6" xfId="13315" xr:uid="{00000000-0005-0000-0000-00009E390000}"/>
    <cellStyle name="Normal 5 5 6 2" xfId="13316" xr:uid="{00000000-0005-0000-0000-00009F390000}"/>
    <cellStyle name="Normal 5 5 7" xfId="13317" xr:uid="{00000000-0005-0000-0000-0000A0390000}"/>
    <cellStyle name="Normal 5 5 8" xfId="13318" xr:uid="{00000000-0005-0000-0000-0000A1390000}"/>
    <cellStyle name="Normal 5 5 9" xfId="13319" xr:uid="{00000000-0005-0000-0000-0000A2390000}"/>
    <cellStyle name="Normal 5 5 9 2" xfId="13320" xr:uid="{00000000-0005-0000-0000-0000A3390000}"/>
    <cellStyle name="Normal 5 6" xfId="360" xr:uid="{00000000-0005-0000-0000-0000A4390000}"/>
    <cellStyle name="Normal 5 6 10" xfId="13322" xr:uid="{00000000-0005-0000-0000-0000A5390000}"/>
    <cellStyle name="Normal 5 6 10 2" xfId="13323" xr:uid="{00000000-0005-0000-0000-0000A6390000}"/>
    <cellStyle name="Normal 5 6 11" xfId="13324" xr:uid="{00000000-0005-0000-0000-0000A7390000}"/>
    <cellStyle name="Normal 5 6 11 2" xfId="13325" xr:uid="{00000000-0005-0000-0000-0000A8390000}"/>
    <cellStyle name="Normal 5 6 12" xfId="13326" xr:uid="{00000000-0005-0000-0000-0000A9390000}"/>
    <cellStyle name="Normal 5 6 12 2" xfId="13327" xr:uid="{00000000-0005-0000-0000-0000AA390000}"/>
    <cellStyle name="Normal 5 6 13" xfId="13328" xr:uid="{00000000-0005-0000-0000-0000AB390000}"/>
    <cellStyle name="Normal 5 6 13 2" xfId="13329" xr:uid="{00000000-0005-0000-0000-0000AC390000}"/>
    <cellStyle name="Normal 5 6 14" xfId="13330" xr:uid="{00000000-0005-0000-0000-0000AD390000}"/>
    <cellStyle name="Normal 5 6 14 2" xfId="13331" xr:uid="{00000000-0005-0000-0000-0000AE390000}"/>
    <cellStyle name="Normal 5 6 15" xfId="13332" xr:uid="{00000000-0005-0000-0000-0000AF390000}"/>
    <cellStyle name="Normal 5 6 15 2" xfId="13333" xr:uid="{00000000-0005-0000-0000-0000B0390000}"/>
    <cellStyle name="Normal 5 6 16" xfId="13334" xr:uid="{00000000-0005-0000-0000-0000B1390000}"/>
    <cellStyle name="Normal 5 6 16 2" xfId="13335" xr:uid="{00000000-0005-0000-0000-0000B2390000}"/>
    <cellStyle name="Normal 5 6 17" xfId="13336" xr:uid="{00000000-0005-0000-0000-0000B3390000}"/>
    <cellStyle name="Normal 5 6 17 2" xfId="13337" xr:uid="{00000000-0005-0000-0000-0000B4390000}"/>
    <cellStyle name="Normal 5 6 18" xfId="13338" xr:uid="{00000000-0005-0000-0000-0000B5390000}"/>
    <cellStyle name="Normal 5 6 18 2" xfId="13339" xr:uid="{00000000-0005-0000-0000-0000B6390000}"/>
    <cellStyle name="Normal 5 6 19" xfId="13340" xr:uid="{00000000-0005-0000-0000-0000B7390000}"/>
    <cellStyle name="Normal 5 6 19 2" xfId="13341" xr:uid="{00000000-0005-0000-0000-0000B8390000}"/>
    <cellStyle name="Normal 5 6 2" xfId="13342" xr:uid="{00000000-0005-0000-0000-0000B9390000}"/>
    <cellStyle name="Normal 5 6 2 10" xfId="13343" xr:uid="{00000000-0005-0000-0000-0000BA390000}"/>
    <cellStyle name="Normal 5 6 2 10 2" xfId="13344" xr:uid="{00000000-0005-0000-0000-0000BB390000}"/>
    <cellStyle name="Normal 5 6 2 11" xfId="13345" xr:uid="{00000000-0005-0000-0000-0000BC390000}"/>
    <cellStyle name="Normal 5 6 2 11 2" xfId="13346" xr:uid="{00000000-0005-0000-0000-0000BD390000}"/>
    <cellStyle name="Normal 5 6 2 12" xfId="13347" xr:uid="{00000000-0005-0000-0000-0000BE390000}"/>
    <cellStyle name="Normal 5 6 2 12 2" xfId="13348" xr:uid="{00000000-0005-0000-0000-0000BF390000}"/>
    <cellStyle name="Normal 5 6 2 13" xfId="13349" xr:uid="{00000000-0005-0000-0000-0000C0390000}"/>
    <cellStyle name="Normal 5 6 2 13 2" xfId="13350" xr:uid="{00000000-0005-0000-0000-0000C1390000}"/>
    <cellStyle name="Normal 5 6 2 14" xfId="13351" xr:uid="{00000000-0005-0000-0000-0000C2390000}"/>
    <cellStyle name="Normal 5 6 2 14 2" xfId="13352" xr:uid="{00000000-0005-0000-0000-0000C3390000}"/>
    <cellStyle name="Normal 5 6 2 15" xfId="13353" xr:uid="{00000000-0005-0000-0000-0000C4390000}"/>
    <cellStyle name="Normal 5 6 2 15 2" xfId="13354" xr:uid="{00000000-0005-0000-0000-0000C5390000}"/>
    <cellStyle name="Normal 5 6 2 16" xfId="13355" xr:uid="{00000000-0005-0000-0000-0000C6390000}"/>
    <cellStyle name="Normal 5 6 2 16 2" xfId="13356" xr:uid="{00000000-0005-0000-0000-0000C7390000}"/>
    <cellStyle name="Normal 5 6 2 17" xfId="13357" xr:uid="{00000000-0005-0000-0000-0000C8390000}"/>
    <cellStyle name="Normal 5 6 2 17 2" xfId="13358" xr:uid="{00000000-0005-0000-0000-0000C9390000}"/>
    <cellStyle name="Normal 5 6 2 18" xfId="13359" xr:uid="{00000000-0005-0000-0000-0000CA390000}"/>
    <cellStyle name="Normal 5 6 2 18 2" xfId="13360" xr:uid="{00000000-0005-0000-0000-0000CB390000}"/>
    <cellStyle name="Normal 5 6 2 19" xfId="13361" xr:uid="{00000000-0005-0000-0000-0000CC390000}"/>
    <cellStyle name="Normal 5 6 2 19 2" xfId="13362" xr:uid="{00000000-0005-0000-0000-0000CD390000}"/>
    <cellStyle name="Normal 5 6 2 2" xfId="13363" xr:uid="{00000000-0005-0000-0000-0000CE390000}"/>
    <cellStyle name="Normal 5 6 2 2 10" xfId="13364" xr:uid="{00000000-0005-0000-0000-0000CF390000}"/>
    <cellStyle name="Normal 5 6 2 2 10 2" xfId="13365" xr:uid="{00000000-0005-0000-0000-0000D0390000}"/>
    <cellStyle name="Normal 5 6 2 2 11" xfId="13366" xr:uid="{00000000-0005-0000-0000-0000D1390000}"/>
    <cellStyle name="Normal 5 6 2 2 11 2" xfId="13367" xr:uid="{00000000-0005-0000-0000-0000D2390000}"/>
    <cellStyle name="Normal 5 6 2 2 12" xfId="13368" xr:uid="{00000000-0005-0000-0000-0000D3390000}"/>
    <cellStyle name="Normal 5 6 2 2 12 2" xfId="13369" xr:uid="{00000000-0005-0000-0000-0000D4390000}"/>
    <cellStyle name="Normal 5 6 2 2 13" xfId="13370" xr:uid="{00000000-0005-0000-0000-0000D5390000}"/>
    <cellStyle name="Normal 5 6 2 2 13 2" xfId="13371" xr:uid="{00000000-0005-0000-0000-0000D6390000}"/>
    <cellStyle name="Normal 5 6 2 2 14" xfId="13372" xr:uid="{00000000-0005-0000-0000-0000D7390000}"/>
    <cellStyle name="Normal 5 6 2 2 14 2" xfId="13373" xr:uid="{00000000-0005-0000-0000-0000D8390000}"/>
    <cellStyle name="Normal 5 6 2 2 15" xfId="13374" xr:uid="{00000000-0005-0000-0000-0000D9390000}"/>
    <cellStyle name="Normal 5 6 2 2 15 2" xfId="13375" xr:uid="{00000000-0005-0000-0000-0000DA390000}"/>
    <cellStyle name="Normal 5 6 2 2 16" xfId="13376" xr:uid="{00000000-0005-0000-0000-0000DB390000}"/>
    <cellStyle name="Normal 5 6 2 2 16 2" xfId="13377" xr:uid="{00000000-0005-0000-0000-0000DC390000}"/>
    <cellStyle name="Normal 5 6 2 2 17" xfId="13378" xr:uid="{00000000-0005-0000-0000-0000DD390000}"/>
    <cellStyle name="Normal 5 6 2 2 2" xfId="13379" xr:uid="{00000000-0005-0000-0000-0000DE390000}"/>
    <cellStyle name="Normal 5 6 2 2 2 2" xfId="13380" xr:uid="{00000000-0005-0000-0000-0000DF390000}"/>
    <cellStyle name="Normal 5 6 2 2 3" xfId="13381" xr:uid="{00000000-0005-0000-0000-0000E0390000}"/>
    <cellStyle name="Normal 5 6 2 2 3 2" xfId="13382" xr:uid="{00000000-0005-0000-0000-0000E1390000}"/>
    <cellStyle name="Normal 5 6 2 2 4" xfId="13383" xr:uid="{00000000-0005-0000-0000-0000E2390000}"/>
    <cellStyle name="Normal 5 6 2 2 4 2" xfId="13384" xr:uid="{00000000-0005-0000-0000-0000E3390000}"/>
    <cellStyle name="Normal 5 6 2 2 5" xfId="13385" xr:uid="{00000000-0005-0000-0000-0000E4390000}"/>
    <cellStyle name="Normal 5 6 2 2 5 2" xfId="13386" xr:uid="{00000000-0005-0000-0000-0000E5390000}"/>
    <cellStyle name="Normal 5 6 2 2 6" xfId="13387" xr:uid="{00000000-0005-0000-0000-0000E6390000}"/>
    <cellStyle name="Normal 5 6 2 2 6 2" xfId="13388" xr:uid="{00000000-0005-0000-0000-0000E7390000}"/>
    <cellStyle name="Normal 5 6 2 2 7" xfId="13389" xr:uid="{00000000-0005-0000-0000-0000E8390000}"/>
    <cellStyle name="Normal 5 6 2 2 7 2" xfId="13390" xr:uid="{00000000-0005-0000-0000-0000E9390000}"/>
    <cellStyle name="Normal 5 6 2 2 8" xfId="13391" xr:uid="{00000000-0005-0000-0000-0000EA390000}"/>
    <cellStyle name="Normal 5 6 2 2 8 2" xfId="13392" xr:uid="{00000000-0005-0000-0000-0000EB390000}"/>
    <cellStyle name="Normal 5 6 2 2 9" xfId="13393" xr:uid="{00000000-0005-0000-0000-0000EC390000}"/>
    <cellStyle name="Normal 5 6 2 2 9 2" xfId="13394" xr:uid="{00000000-0005-0000-0000-0000ED390000}"/>
    <cellStyle name="Normal 5 6 2 20" xfId="13395" xr:uid="{00000000-0005-0000-0000-0000EE390000}"/>
    <cellStyle name="Normal 5 6 2 20 2" xfId="13396" xr:uid="{00000000-0005-0000-0000-0000EF390000}"/>
    <cellStyle name="Normal 5 6 2 21" xfId="13397" xr:uid="{00000000-0005-0000-0000-0000F0390000}"/>
    <cellStyle name="Normal 5 6 2 21 2" xfId="13398" xr:uid="{00000000-0005-0000-0000-0000F1390000}"/>
    <cellStyle name="Normal 5 6 2 22" xfId="13399" xr:uid="{00000000-0005-0000-0000-0000F2390000}"/>
    <cellStyle name="Normal 5 6 2 22 2" xfId="13400" xr:uid="{00000000-0005-0000-0000-0000F3390000}"/>
    <cellStyle name="Normal 5 6 2 23" xfId="13401" xr:uid="{00000000-0005-0000-0000-0000F4390000}"/>
    <cellStyle name="Normal 5 6 2 23 2" xfId="13402" xr:uid="{00000000-0005-0000-0000-0000F5390000}"/>
    <cellStyle name="Normal 5 6 2 24" xfId="13403" xr:uid="{00000000-0005-0000-0000-0000F6390000}"/>
    <cellStyle name="Normal 5 6 2 24 2" xfId="13404" xr:uid="{00000000-0005-0000-0000-0000F7390000}"/>
    <cellStyle name="Normal 5 6 2 25" xfId="13405" xr:uid="{00000000-0005-0000-0000-0000F8390000}"/>
    <cellStyle name="Normal 5 6 2 25 2" xfId="13406" xr:uid="{00000000-0005-0000-0000-0000F9390000}"/>
    <cellStyle name="Normal 5 6 2 26" xfId="13407" xr:uid="{00000000-0005-0000-0000-0000FA390000}"/>
    <cellStyle name="Normal 5 6 2 26 2" xfId="13408" xr:uid="{00000000-0005-0000-0000-0000FB390000}"/>
    <cellStyle name="Normal 5 6 2 27" xfId="13409" xr:uid="{00000000-0005-0000-0000-0000FC390000}"/>
    <cellStyle name="Normal 5 6 2 27 2" xfId="13410" xr:uid="{00000000-0005-0000-0000-0000FD390000}"/>
    <cellStyle name="Normal 5 6 2 28" xfId="13411" xr:uid="{00000000-0005-0000-0000-0000FE390000}"/>
    <cellStyle name="Normal 5 6 2 28 2" xfId="13412" xr:uid="{00000000-0005-0000-0000-0000FF390000}"/>
    <cellStyle name="Normal 5 6 2 29" xfId="13413" xr:uid="{00000000-0005-0000-0000-0000003A0000}"/>
    <cellStyle name="Normal 5 6 2 29 2" xfId="13414" xr:uid="{00000000-0005-0000-0000-0000013A0000}"/>
    <cellStyle name="Normal 5 6 2 3" xfId="13415" xr:uid="{00000000-0005-0000-0000-0000023A0000}"/>
    <cellStyle name="Normal 5 6 2 3 2" xfId="13416" xr:uid="{00000000-0005-0000-0000-0000033A0000}"/>
    <cellStyle name="Normal 5 6 2 30" xfId="13417" xr:uid="{00000000-0005-0000-0000-0000043A0000}"/>
    <cellStyle name="Normal 5 6 2 30 2" xfId="13418" xr:uid="{00000000-0005-0000-0000-0000053A0000}"/>
    <cellStyle name="Normal 5 6 2 31" xfId="13419" xr:uid="{00000000-0005-0000-0000-0000063A0000}"/>
    <cellStyle name="Normal 5 6 2 31 2" xfId="13420" xr:uid="{00000000-0005-0000-0000-0000073A0000}"/>
    <cellStyle name="Normal 5 6 2 32" xfId="13421" xr:uid="{00000000-0005-0000-0000-0000083A0000}"/>
    <cellStyle name="Normal 5 6 2 32 2" xfId="13422" xr:uid="{00000000-0005-0000-0000-0000093A0000}"/>
    <cellStyle name="Normal 5 6 2 33" xfId="13423" xr:uid="{00000000-0005-0000-0000-00000A3A0000}"/>
    <cellStyle name="Normal 5 6 2 33 2" xfId="13424" xr:uid="{00000000-0005-0000-0000-00000B3A0000}"/>
    <cellStyle name="Normal 5 6 2 34" xfId="13425" xr:uid="{00000000-0005-0000-0000-00000C3A0000}"/>
    <cellStyle name="Normal 5 6 2 34 2" xfId="13426" xr:uid="{00000000-0005-0000-0000-00000D3A0000}"/>
    <cellStyle name="Normal 5 6 2 35" xfId="13427" xr:uid="{00000000-0005-0000-0000-00000E3A0000}"/>
    <cellStyle name="Normal 5 6 2 35 2" xfId="13428" xr:uid="{00000000-0005-0000-0000-00000F3A0000}"/>
    <cellStyle name="Normal 5 6 2 36" xfId="13429" xr:uid="{00000000-0005-0000-0000-0000103A0000}"/>
    <cellStyle name="Normal 5 6 2 4" xfId="13430" xr:uid="{00000000-0005-0000-0000-0000113A0000}"/>
    <cellStyle name="Normal 5 6 2 4 2" xfId="13431" xr:uid="{00000000-0005-0000-0000-0000123A0000}"/>
    <cellStyle name="Normal 5 6 2 5" xfId="13432" xr:uid="{00000000-0005-0000-0000-0000133A0000}"/>
    <cellStyle name="Normal 5 6 2 5 2" xfId="13433" xr:uid="{00000000-0005-0000-0000-0000143A0000}"/>
    <cellStyle name="Normal 5 6 2 6" xfId="13434" xr:uid="{00000000-0005-0000-0000-0000153A0000}"/>
    <cellStyle name="Normal 5 6 2 6 2" xfId="13435" xr:uid="{00000000-0005-0000-0000-0000163A0000}"/>
    <cellStyle name="Normal 5 6 2 7" xfId="13436" xr:uid="{00000000-0005-0000-0000-0000173A0000}"/>
    <cellStyle name="Normal 5 6 2 7 2" xfId="13437" xr:uid="{00000000-0005-0000-0000-0000183A0000}"/>
    <cellStyle name="Normal 5 6 2 8" xfId="13438" xr:uid="{00000000-0005-0000-0000-0000193A0000}"/>
    <cellStyle name="Normal 5 6 2 8 2" xfId="13439" xr:uid="{00000000-0005-0000-0000-00001A3A0000}"/>
    <cellStyle name="Normal 5 6 2 9" xfId="13440" xr:uid="{00000000-0005-0000-0000-00001B3A0000}"/>
    <cellStyle name="Normal 5 6 2 9 2" xfId="13441" xr:uid="{00000000-0005-0000-0000-00001C3A0000}"/>
    <cellStyle name="Normal 5 6 20" xfId="13442" xr:uid="{00000000-0005-0000-0000-00001D3A0000}"/>
    <cellStyle name="Normal 5 6 20 2" xfId="13443" xr:uid="{00000000-0005-0000-0000-00001E3A0000}"/>
    <cellStyle name="Normal 5 6 21" xfId="13444" xr:uid="{00000000-0005-0000-0000-00001F3A0000}"/>
    <cellStyle name="Normal 5 6 21 2" xfId="13445" xr:uid="{00000000-0005-0000-0000-0000203A0000}"/>
    <cellStyle name="Normal 5 6 22" xfId="13446" xr:uid="{00000000-0005-0000-0000-0000213A0000}"/>
    <cellStyle name="Normal 5 6 22 2" xfId="13447" xr:uid="{00000000-0005-0000-0000-0000223A0000}"/>
    <cellStyle name="Normal 5 6 23" xfId="13448" xr:uid="{00000000-0005-0000-0000-0000233A0000}"/>
    <cellStyle name="Normal 5 6 23 2" xfId="13449" xr:uid="{00000000-0005-0000-0000-0000243A0000}"/>
    <cellStyle name="Normal 5 6 24" xfId="13450" xr:uid="{00000000-0005-0000-0000-0000253A0000}"/>
    <cellStyle name="Normal 5 6 24 2" xfId="13451" xr:uid="{00000000-0005-0000-0000-0000263A0000}"/>
    <cellStyle name="Normal 5 6 25" xfId="13452" xr:uid="{00000000-0005-0000-0000-0000273A0000}"/>
    <cellStyle name="Normal 5 6 25 2" xfId="13453" xr:uid="{00000000-0005-0000-0000-0000283A0000}"/>
    <cellStyle name="Normal 5 6 26" xfId="13454" xr:uid="{00000000-0005-0000-0000-0000293A0000}"/>
    <cellStyle name="Normal 5 6 26 2" xfId="13455" xr:uid="{00000000-0005-0000-0000-00002A3A0000}"/>
    <cellStyle name="Normal 5 6 27" xfId="13456" xr:uid="{00000000-0005-0000-0000-00002B3A0000}"/>
    <cellStyle name="Normal 5 6 27 2" xfId="13457" xr:uid="{00000000-0005-0000-0000-00002C3A0000}"/>
    <cellStyle name="Normal 5 6 28" xfId="13458" xr:uid="{00000000-0005-0000-0000-00002D3A0000}"/>
    <cellStyle name="Normal 5 6 28 2" xfId="13459" xr:uid="{00000000-0005-0000-0000-00002E3A0000}"/>
    <cellStyle name="Normal 5 6 29" xfId="13460" xr:uid="{00000000-0005-0000-0000-00002F3A0000}"/>
    <cellStyle name="Normal 5 6 29 2" xfId="13461" xr:uid="{00000000-0005-0000-0000-0000303A0000}"/>
    <cellStyle name="Normal 5 6 3" xfId="13462" xr:uid="{00000000-0005-0000-0000-0000313A0000}"/>
    <cellStyle name="Normal 5 6 3 10" xfId="13463" xr:uid="{00000000-0005-0000-0000-0000323A0000}"/>
    <cellStyle name="Normal 5 6 3 10 2" xfId="13464" xr:uid="{00000000-0005-0000-0000-0000333A0000}"/>
    <cellStyle name="Normal 5 6 3 11" xfId="13465" xr:uid="{00000000-0005-0000-0000-0000343A0000}"/>
    <cellStyle name="Normal 5 6 3 11 2" xfId="13466" xr:uid="{00000000-0005-0000-0000-0000353A0000}"/>
    <cellStyle name="Normal 5 6 3 12" xfId="13467" xr:uid="{00000000-0005-0000-0000-0000363A0000}"/>
    <cellStyle name="Normal 5 6 3 12 2" xfId="13468" xr:uid="{00000000-0005-0000-0000-0000373A0000}"/>
    <cellStyle name="Normal 5 6 3 13" xfId="13469" xr:uid="{00000000-0005-0000-0000-0000383A0000}"/>
    <cellStyle name="Normal 5 6 3 13 2" xfId="13470" xr:uid="{00000000-0005-0000-0000-0000393A0000}"/>
    <cellStyle name="Normal 5 6 3 14" xfId="13471" xr:uid="{00000000-0005-0000-0000-00003A3A0000}"/>
    <cellStyle name="Normal 5 6 3 14 2" xfId="13472" xr:uid="{00000000-0005-0000-0000-00003B3A0000}"/>
    <cellStyle name="Normal 5 6 3 15" xfId="13473" xr:uid="{00000000-0005-0000-0000-00003C3A0000}"/>
    <cellStyle name="Normal 5 6 3 15 2" xfId="13474" xr:uid="{00000000-0005-0000-0000-00003D3A0000}"/>
    <cellStyle name="Normal 5 6 3 16" xfId="13475" xr:uid="{00000000-0005-0000-0000-00003E3A0000}"/>
    <cellStyle name="Normal 5 6 3 16 2" xfId="13476" xr:uid="{00000000-0005-0000-0000-00003F3A0000}"/>
    <cellStyle name="Normal 5 6 3 17" xfId="13477" xr:uid="{00000000-0005-0000-0000-0000403A0000}"/>
    <cellStyle name="Normal 5 6 3 17 2" xfId="13478" xr:uid="{00000000-0005-0000-0000-0000413A0000}"/>
    <cellStyle name="Normal 5 6 3 18" xfId="13479" xr:uid="{00000000-0005-0000-0000-0000423A0000}"/>
    <cellStyle name="Normal 5 6 3 18 2" xfId="13480" xr:uid="{00000000-0005-0000-0000-0000433A0000}"/>
    <cellStyle name="Normal 5 6 3 19" xfId="13481" xr:uid="{00000000-0005-0000-0000-0000443A0000}"/>
    <cellStyle name="Normal 5 6 3 19 2" xfId="13482" xr:uid="{00000000-0005-0000-0000-0000453A0000}"/>
    <cellStyle name="Normal 5 6 3 2" xfId="13483" xr:uid="{00000000-0005-0000-0000-0000463A0000}"/>
    <cellStyle name="Normal 5 6 3 2 10" xfId="13484" xr:uid="{00000000-0005-0000-0000-0000473A0000}"/>
    <cellStyle name="Normal 5 6 3 2 10 2" xfId="13485" xr:uid="{00000000-0005-0000-0000-0000483A0000}"/>
    <cellStyle name="Normal 5 6 3 2 11" xfId="13486" xr:uid="{00000000-0005-0000-0000-0000493A0000}"/>
    <cellStyle name="Normal 5 6 3 2 11 2" xfId="13487" xr:uid="{00000000-0005-0000-0000-00004A3A0000}"/>
    <cellStyle name="Normal 5 6 3 2 12" xfId="13488" xr:uid="{00000000-0005-0000-0000-00004B3A0000}"/>
    <cellStyle name="Normal 5 6 3 2 12 2" xfId="13489" xr:uid="{00000000-0005-0000-0000-00004C3A0000}"/>
    <cellStyle name="Normal 5 6 3 2 13" xfId="13490" xr:uid="{00000000-0005-0000-0000-00004D3A0000}"/>
    <cellStyle name="Normal 5 6 3 2 13 2" xfId="13491" xr:uid="{00000000-0005-0000-0000-00004E3A0000}"/>
    <cellStyle name="Normal 5 6 3 2 14" xfId="13492" xr:uid="{00000000-0005-0000-0000-00004F3A0000}"/>
    <cellStyle name="Normal 5 6 3 2 14 2" xfId="13493" xr:uid="{00000000-0005-0000-0000-0000503A0000}"/>
    <cellStyle name="Normal 5 6 3 2 15" xfId="13494" xr:uid="{00000000-0005-0000-0000-0000513A0000}"/>
    <cellStyle name="Normal 5 6 3 2 15 2" xfId="13495" xr:uid="{00000000-0005-0000-0000-0000523A0000}"/>
    <cellStyle name="Normal 5 6 3 2 16" xfId="13496" xr:uid="{00000000-0005-0000-0000-0000533A0000}"/>
    <cellStyle name="Normal 5 6 3 2 16 2" xfId="13497" xr:uid="{00000000-0005-0000-0000-0000543A0000}"/>
    <cellStyle name="Normal 5 6 3 2 17" xfId="13498" xr:uid="{00000000-0005-0000-0000-0000553A0000}"/>
    <cellStyle name="Normal 5 6 3 2 2" xfId="13499" xr:uid="{00000000-0005-0000-0000-0000563A0000}"/>
    <cellStyle name="Normal 5 6 3 2 2 2" xfId="13500" xr:uid="{00000000-0005-0000-0000-0000573A0000}"/>
    <cellStyle name="Normal 5 6 3 2 3" xfId="13501" xr:uid="{00000000-0005-0000-0000-0000583A0000}"/>
    <cellStyle name="Normal 5 6 3 2 3 2" xfId="13502" xr:uid="{00000000-0005-0000-0000-0000593A0000}"/>
    <cellStyle name="Normal 5 6 3 2 4" xfId="13503" xr:uid="{00000000-0005-0000-0000-00005A3A0000}"/>
    <cellStyle name="Normal 5 6 3 2 4 2" xfId="13504" xr:uid="{00000000-0005-0000-0000-00005B3A0000}"/>
    <cellStyle name="Normal 5 6 3 2 5" xfId="13505" xr:uid="{00000000-0005-0000-0000-00005C3A0000}"/>
    <cellStyle name="Normal 5 6 3 2 5 2" xfId="13506" xr:uid="{00000000-0005-0000-0000-00005D3A0000}"/>
    <cellStyle name="Normal 5 6 3 2 6" xfId="13507" xr:uid="{00000000-0005-0000-0000-00005E3A0000}"/>
    <cellStyle name="Normal 5 6 3 2 6 2" xfId="13508" xr:uid="{00000000-0005-0000-0000-00005F3A0000}"/>
    <cellStyle name="Normal 5 6 3 2 7" xfId="13509" xr:uid="{00000000-0005-0000-0000-0000603A0000}"/>
    <cellStyle name="Normal 5 6 3 2 7 2" xfId="13510" xr:uid="{00000000-0005-0000-0000-0000613A0000}"/>
    <cellStyle name="Normal 5 6 3 2 8" xfId="13511" xr:uid="{00000000-0005-0000-0000-0000623A0000}"/>
    <cellStyle name="Normal 5 6 3 2 8 2" xfId="13512" xr:uid="{00000000-0005-0000-0000-0000633A0000}"/>
    <cellStyle name="Normal 5 6 3 2 9" xfId="13513" xr:uid="{00000000-0005-0000-0000-0000643A0000}"/>
    <cellStyle name="Normal 5 6 3 2 9 2" xfId="13514" xr:uid="{00000000-0005-0000-0000-0000653A0000}"/>
    <cellStyle name="Normal 5 6 3 20" xfId="13515" xr:uid="{00000000-0005-0000-0000-0000663A0000}"/>
    <cellStyle name="Normal 5 6 3 20 2" xfId="13516" xr:uid="{00000000-0005-0000-0000-0000673A0000}"/>
    <cellStyle name="Normal 5 6 3 21" xfId="13517" xr:uid="{00000000-0005-0000-0000-0000683A0000}"/>
    <cellStyle name="Normal 5 6 3 21 2" xfId="13518" xr:uid="{00000000-0005-0000-0000-0000693A0000}"/>
    <cellStyle name="Normal 5 6 3 22" xfId="13519" xr:uid="{00000000-0005-0000-0000-00006A3A0000}"/>
    <cellStyle name="Normal 5 6 3 22 2" xfId="13520" xr:uid="{00000000-0005-0000-0000-00006B3A0000}"/>
    <cellStyle name="Normal 5 6 3 23" xfId="13521" xr:uid="{00000000-0005-0000-0000-00006C3A0000}"/>
    <cellStyle name="Normal 5 6 3 23 2" xfId="13522" xr:uid="{00000000-0005-0000-0000-00006D3A0000}"/>
    <cellStyle name="Normal 5 6 3 24" xfId="13523" xr:uid="{00000000-0005-0000-0000-00006E3A0000}"/>
    <cellStyle name="Normal 5 6 3 24 2" xfId="13524" xr:uid="{00000000-0005-0000-0000-00006F3A0000}"/>
    <cellStyle name="Normal 5 6 3 25" xfId="13525" xr:uid="{00000000-0005-0000-0000-0000703A0000}"/>
    <cellStyle name="Normal 5 6 3 25 2" xfId="13526" xr:uid="{00000000-0005-0000-0000-0000713A0000}"/>
    <cellStyle name="Normal 5 6 3 26" xfId="13527" xr:uid="{00000000-0005-0000-0000-0000723A0000}"/>
    <cellStyle name="Normal 5 6 3 26 2" xfId="13528" xr:uid="{00000000-0005-0000-0000-0000733A0000}"/>
    <cellStyle name="Normal 5 6 3 27" xfId="13529" xr:uid="{00000000-0005-0000-0000-0000743A0000}"/>
    <cellStyle name="Normal 5 6 3 27 2" xfId="13530" xr:uid="{00000000-0005-0000-0000-0000753A0000}"/>
    <cellStyle name="Normal 5 6 3 28" xfId="13531" xr:uid="{00000000-0005-0000-0000-0000763A0000}"/>
    <cellStyle name="Normal 5 6 3 28 2" xfId="13532" xr:uid="{00000000-0005-0000-0000-0000773A0000}"/>
    <cellStyle name="Normal 5 6 3 29" xfId="13533" xr:uid="{00000000-0005-0000-0000-0000783A0000}"/>
    <cellStyle name="Normal 5 6 3 29 2" xfId="13534" xr:uid="{00000000-0005-0000-0000-0000793A0000}"/>
    <cellStyle name="Normal 5 6 3 3" xfId="13535" xr:uid="{00000000-0005-0000-0000-00007A3A0000}"/>
    <cellStyle name="Normal 5 6 3 3 2" xfId="13536" xr:uid="{00000000-0005-0000-0000-00007B3A0000}"/>
    <cellStyle name="Normal 5 6 3 30" xfId="13537" xr:uid="{00000000-0005-0000-0000-00007C3A0000}"/>
    <cellStyle name="Normal 5 6 3 30 2" xfId="13538" xr:uid="{00000000-0005-0000-0000-00007D3A0000}"/>
    <cellStyle name="Normal 5 6 3 31" xfId="13539" xr:uid="{00000000-0005-0000-0000-00007E3A0000}"/>
    <cellStyle name="Normal 5 6 3 31 2" xfId="13540" xr:uid="{00000000-0005-0000-0000-00007F3A0000}"/>
    <cellStyle name="Normal 5 6 3 32" xfId="13541" xr:uid="{00000000-0005-0000-0000-0000803A0000}"/>
    <cellStyle name="Normal 5 6 3 32 2" xfId="13542" xr:uid="{00000000-0005-0000-0000-0000813A0000}"/>
    <cellStyle name="Normal 5 6 3 33" xfId="13543" xr:uid="{00000000-0005-0000-0000-0000823A0000}"/>
    <cellStyle name="Normal 5 6 3 33 2" xfId="13544" xr:uid="{00000000-0005-0000-0000-0000833A0000}"/>
    <cellStyle name="Normal 5 6 3 34" xfId="13545" xr:uid="{00000000-0005-0000-0000-0000843A0000}"/>
    <cellStyle name="Normal 5 6 3 34 2" xfId="13546" xr:uid="{00000000-0005-0000-0000-0000853A0000}"/>
    <cellStyle name="Normal 5 6 3 35" xfId="13547" xr:uid="{00000000-0005-0000-0000-0000863A0000}"/>
    <cellStyle name="Normal 5 6 3 35 2" xfId="13548" xr:uid="{00000000-0005-0000-0000-0000873A0000}"/>
    <cellStyle name="Normal 5 6 3 36" xfId="13549" xr:uid="{00000000-0005-0000-0000-0000883A0000}"/>
    <cellStyle name="Normal 5 6 3 4" xfId="13550" xr:uid="{00000000-0005-0000-0000-0000893A0000}"/>
    <cellStyle name="Normal 5 6 3 4 2" xfId="13551" xr:uid="{00000000-0005-0000-0000-00008A3A0000}"/>
    <cellStyle name="Normal 5 6 3 5" xfId="13552" xr:uid="{00000000-0005-0000-0000-00008B3A0000}"/>
    <cellStyle name="Normal 5 6 3 5 2" xfId="13553" xr:uid="{00000000-0005-0000-0000-00008C3A0000}"/>
    <cellStyle name="Normal 5 6 3 6" xfId="13554" xr:uid="{00000000-0005-0000-0000-00008D3A0000}"/>
    <cellStyle name="Normal 5 6 3 6 2" xfId="13555" xr:uid="{00000000-0005-0000-0000-00008E3A0000}"/>
    <cellStyle name="Normal 5 6 3 7" xfId="13556" xr:uid="{00000000-0005-0000-0000-00008F3A0000}"/>
    <cellStyle name="Normal 5 6 3 7 2" xfId="13557" xr:uid="{00000000-0005-0000-0000-0000903A0000}"/>
    <cellStyle name="Normal 5 6 3 8" xfId="13558" xr:uid="{00000000-0005-0000-0000-0000913A0000}"/>
    <cellStyle name="Normal 5 6 3 8 2" xfId="13559" xr:uid="{00000000-0005-0000-0000-0000923A0000}"/>
    <cellStyle name="Normal 5 6 3 9" xfId="13560" xr:uid="{00000000-0005-0000-0000-0000933A0000}"/>
    <cellStyle name="Normal 5 6 3 9 2" xfId="13561" xr:uid="{00000000-0005-0000-0000-0000943A0000}"/>
    <cellStyle name="Normal 5 6 30" xfId="13562" xr:uid="{00000000-0005-0000-0000-0000953A0000}"/>
    <cellStyle name="Normal 5 6 30 2" xfId="13563" xr:uid="{00000000-0005-0000-0000-0000963A0000}"/>
    <cellStyle name="Normal 5 6 31" xfId="13564" xr:uid="{00000000-0005-0000-0000-0000973A0000}"/>
    <cellStyle name="Normal 5 6 31 2" xfId="13565" xr:uid="{00000000-0005-0000-0000-0000983A0000}"/>
    <cellStyle name="Normal 5 6 32" xfId="13566" xr:uid="{00000000-0005-0000-0000-0000993A0000}"/>
    <cellStyle name="Normal 5 6 32 2" xfId="13567" xr:uid="{00000000-0005-0000-0000-00009A3A0000}"/>
    <cellStyle name="Normal 5 6 33" xfId="13321" xr:uid="{00000000-0005-0000-0000-00009B3A0000}"/>
    <cellStyle name="Normal 5 6 4" xfId="13568" xr:uid="{00000000-0005-0000-0000-00009C3A0000}"/>
    <cellStyle name="Normal 5 6 4 10" xfId="13569" xr:uid="{00000000-0005-0000-0000-00009D3A0000}"/>
    <cellStyle name="Normal 5 6 4 10 2" xfId="13570" xr:uid="{00000000-0005-0000-0000-00009E3A0000}"/>
    <cellStyle name="Normal 5 6 4 11" xfId="13571" xr:uid="{00000000-0005-0000-0000-00009F3A0000}"/>
    <cellStyle name="Normal 5 6 4 11 2" xfId="13572" xr:uid="{00000000-0005-0000-0000-0000A03A0000}"/>
    <cellStyle name="Normal 5 6 4 12" xfId="13573" xr:uid="{00000000-0005-0000-0000-0000A13A0000}"/>
    <cellStyle name="Normal 5 6 4 12 2" xfId="13574" xr:uid="{00000000-0005-0000-0000-0000A23A0000}"/>
    <cellStyle name="Normal 5 6 4 13" xfId="13575" xr:uid="{00000000-0005-0000-0000-0000A33A0000}"/>
    <cellStyle name="Normal 5 6 4 13 2" xfId="13576" xr:uid="{00000000-0005-0000-0000-0000A43A0000}"/>
    <cellStyle name="Normal 5 6 4 14" xfId="13577" xr:uid="{00000000-0005-0000-0000-0000A53A0000}"/>
    <cellStyle name="Normal 5 6 4 14 2" xfId="13578" xr:uid="{00000000-0005-0000-0000-0000A63A0000}"/>
    <cellStyle name="Normal 5 6 4 15" xfId="13579" xr:uid="{00000000-0005-0000-0000-0000A73A0000}"/>
    <cellStyle name="Normal 5 6 4 15 2" xfId="13580" xr:uid="{00000000-0005-0000-0000-0000A83A0000}"/>
    <cellStyle name="Normal 5 6 4 16" xfId="13581" xr:uid="{00000000-0005-0000-0000-0000A93A0000}"/>
    <cellStyle name="Normal 5 6 4 16 2" xfId="13582" xr:uid="{00000000-0005-0000-0000-0000AA3A0000}"/>
    <cellStyle name="Normal 5 6 4 17" xfId="13583" xr:uid="{00000000-0005-0000-0000-0000AB3A0000}"/>
    <cellStyle name="Normal 5 6 4 17 2" xfId="13584" xr:uid="{00000000-0005-0000-0000-0000AC3A0000}"/>
    <cellStyle name="Normal 5 6 4 18" xfId="13585" xr:uid="{00000000-0005-0000-0000-0000AD3A0000}"/>
    <cellStyle name="Normal 5 6 4 18 2" xfId="13586" xr:uid="{00000000-0005-0000-0000-0000AE3A0000}"/>
    <cellStyle name="Normal 5 6 4 19" xfId="13587" xr:uid="{00000000-0005-0000-0000-0000AF3A0000}"/>
    <cellStyle name="Normal 5 6 4 19 2" xfId="13588" xr:uid="{00000000-0005-0000-0000-0000B03A0000}"/>
    <cellStyle name="Normal 5 6 4 2" xfId="13589" xr:uid="{00000000-0005-0000-0000-0000B13A0000}"/>
    <cellStyle name="Normal 5 6 4 2 2" xfId="13590" xr:uid="{00000000-0005-0000-0000-0000B23A0000}"/>
    <cellStyle name="Normal 5 6 4 20" xfId="13591" xr:uid="{00000000-0005-0000-0000-0000B33A0000}"/>
    <cellStyle name="Normal 5 6 4 20 2" xfId="13592" xr:uid="{00000000-0005-0000-0000-0000B43A0000}"/>
    <cellStyle name="Normal 5 6 4 21" xfId="13593" xr:uid="{00000000-0005-0000-0000-0000B53A0000}"/>
    <cellStyle name="Normal 5 6 4 21 2" xfId="13594" xr:uid="{00000000-0005-0000-0000-0000B63A0000}"/>
    <cellStyle name="Normal 5 6 4 22" xfId="13595" xr:uid="{00000000-0005-0000-0000-0000B73A0000}"/>
    <cellStyle name="Normal 5 6 4 22 2" xfId="13596" xr:uid="{00000000-0005-0000-0000-0000B83A0000}"/>
    <cellStyle name="Normal 5 6 4 23" xfId="13597" xr:uid="{00000000-0005-0000-0000-0000B93A0000}"/>
    <cellStyle name="Normal 5 6 4 23 2" xfId="13598" xr:uid="{00000000-0005-0000-0000-0000BA3A0000}"/>
    <cellStyle name="Normal 5 6 4 24" xfId="13599" xr:uid="{00000000-0005-0000-0000-0000BB3A0000}"/>
    <cellStyle name="Normal 5 6 4 24 2" xfId="13600" xr:uid="{00000000-0005-0000-0000-0000BC3A0000}"/>
    <cellStyle name="Normal 5 6 4 25" xfId="13601" xr:uid="{00000000-0005-0000-0000-0000BD3A0000}"/>
    <cellStyle name="Normal 5 6 4 25 2" xfId="13602" xr:uid="{00000000-0005-0000-0000-0000BE3A0000}"/>
    <cellStyle name="Normal 5 6 4 26" xfId="13603" xr:uid="{00000000-0005-0000-0000-0000BF3A0000}"/>
    <cellStyle name="Normal 5 6 4 3" xfId="13604" xr:uid="{00000000-0005-0000-0000-0000C03A0000}"/>
    <cellStyle name="Normal 5 6 4 3 2" xfId="13605" xr:uid="{00000000-0005-0000-0000-0000C13A0000}"/>
    <cellStyle name="Normal 5 6 4 4" xfId="13606" xr:uid="{00000000-0005-0000-0000-0000C23A0000}"/>
    <cellStyle name="Normal 5 6 4 4 2" xfId="13607" xr:uid="{00000000-0005-0000-0000-0000C33A0000}"/>
    <cellStyle name="Normal 5 6 4 5" xfId="13608" xr:uid="{00000000-0005-0000-0000-0000C43A0000}"/>
    <cellStyle name="Normal 5 6 4 5 2" xfId="13609" xr:uid="{00000000-0005-0000-0000-0000C53A0000}"/>
    <cellStyle name="Normal 5 6 4 6" xfId="13610" xr:uid="{00000000-0005-0000-0000-0000C63A0000}"/>
    <cellStyle name="Normal 5 6 4 6 2" xfId="13611" xr:uid="{00000000-0005-0000-0000-0000C73A0000}"/>
    <cellStyle name="Normal 5 6 4 7" xfId="13612" xr:uid="{00000000-0005-0000-0000-0000C83A0000}"/>
    <cellStyle name="Normal 5 6 4 7 2" xfId="13613" xr:uid="{00000000-0005-0000-0000-0000C93A0000}"/>
    <cellStyle name="Normal 5 6 4 8" xfId="13614" xr:uid="{00000000-0005-0000-0000-0000CA3A0000}"/>
    <cellStyle name="Normal 5 6 4 8 2" xfId="13615" xr:uid="{00000000-0005-0000-0000-0000CB3A0000}"/>
    <cellStyle name="Normal 5 6 4 9" xfId="13616" xr:uid="{00000000-0005-0000-0000-0000CC3A0000}"/>
    <cellStyle name="Normal 5 6 4 9 2" xfId="13617" xr:uid="{00000000-0005-0000-0000-0000CD3A0000}"/>
    <cellStyle name="Normal 5 6 5" xfId="13618" xr:uid="{00000000-0005-0000-0000-0000CE3A0000}"/>
    <cellStyle name="Normal 5 6 5 2" xfId="13619" xr:uid="{00000000-0005-0000-0000-0000CF3A0000}"/>
    <cellStyle name="Normal 5 6 6" xfId="13620" xr:uid="{00000000-0005-0000-0000-0000D03A0000}"/>
    <cellStyle name="Normal 5 6 6 2" xfId="13621" xr:uid="{00000000-0005-0000-0000-0000D13A0000}"/>
    <cellStyle name="Normal 5 6 7" xfId="13622" xr:uid="{00000000-0005-0000-0000-0000D23A0000}"/>
    <cellStyle name="Normal 5 6 7 2" xfId="13623" xr:uid="{00000000-0005-0000-0000-0000D33A0000}"/>
    <cellStyle name="Normal 5 6 8" xfId="13624" xr:uid="{00000000-0005-0000-0000-0000D43A0000}"/>
    <cellStyle name="Normal 5 6 8 2" xfId="13625" xr:uid="{00000000-0005-0000-0000-0000D53A0000}"/>
    <cellStyle name="Normal 5 6 9" xfId="13626" xr:uid="{00000000-0005-0000-0000-0000D63A0000}"/>
    <cellStyle name="Normal 5 6 9 2" xfId="13627" xr:uid="{00000000-0005-0000-0000-0000D73A0000}"/>
    <cellStyle name="Normal 5 7" xfId="361" xr:uid="{00000000-0005-0000-0000-0000D83A0000}"/>
    <cellStyle name="Normal 5 7 10" xfId="13629" xr:uid="{00000000-0005-0000-0000-0000D93A0000}"/>
    <cellStyle name="Normal 5 7 10 2" xfId="13630" xr:uid="{00000000-0005-0000-0000-0000DA3A0000}"/>
    <cellStyle name="Normal 5 7 11" xfId="13631" xr:uid="{00000000-0005-0000-0000-0000DB3A0000}"/>
    <cellStyle name="Normal 5 7 11 2" xfId="13632" xr:uid="{00000000-0005-0000-0000-0000DC3A0000}"/>
    <cellStyle name="Normal 5 7 12" xfId="13633" xr:uid="{00000000-0005-0000-0000-0000DD3A0000}"/>
    <cellStyle name="Normal 5 7 12 2" xfId="13634" xr:uid="{00000000-0005-0000-0000-0000DE3A0000}"/>
    <cellStyle name="Normal 5 7 13" xfId="13635" xr:uid="{00000000-0005-0000-0000-0000DF3A0000}"/>
    <cellStyle name="Normal 5 7 13 2" xfId="13636" xr:uid="{00000000-0005-0000-0000-0000E03A0000}"/>
    <cellStyle name="Normal 5 7 14" xfId="13637" xr:uid="{00000000-0005-0000-0000-0000E13A0000}"/>
    <cellStyle name="Normal 5 7 14 2" xfId="13638" xr:uid="{00000000-0005-0000-0000-0000E23A0000}"/>
    <cellStyle name="Normal 5 7 15" xfId="13639" xr:uid="{00000000-0005-0000-0000-0000E33A0000}"/>
    <cellStyle name="Normal 5 7 15 2" xfId="13640" xr:uid="{00000000-0005-0000-0000-0000E43A0000}"/>
    <cellStyle name="Normal 5 7 16" xfId="13641" xr:uid="{00000000-0005-0000-0000-0000E53A0000}"/>
    <cellStyle name="Normal 5 7 16 2" xfId="13642" xr:uid="{00000000-0005-0000-0000-0000E63A0000}"/>
    <cellStyle name="Normal 5 7 17" xfId="13643" xr:uid="{00000000-0005-0000-0000-0000E73A0000}"/>
    <cellStyle name="Normal 5 7 17 2" xfId="13644" xr:uid="{00000000-0005-0000-0000-0000E83A0000}"/>
    <cellStyle name="Normal 5 7 18" xfId="13645" xr:uid="{00000000-0005-0000-0000-0000E93A0000}"/>
    <cellStyle name="Normal 5 7 18 2" xfId="13646" xr:uid="{00000000-0005-0000-0000-0000EA3A0000}"/>
    <cellStyle name="Normal 5 7 19" xfId="13647" xr:uid="{00000000-0005-0000-0000-0000EB3A0000}"/>
    <cellStyle name="Normal 5 7 19 2" xfId="13648" xr:uid="{00000000-0005-0000-0000-0000EC3A0000}"/>
    <cellStyle name="Normal 5 7 2" xfId="13649" xr:uid="{00000000-0005-0000-0000-0000ED3A0000}"/>
    <cellStyle name="Normal 5 7 2 2" xfId="13650" xr:uid="{00000000-0005-0000-0000-0000EE3A0000}"/>
    <cellStyle name="Normal 5 7 2 2 2" xfId="13651" xr:uid="{00000000-0005-0000-0000-0000EF3A0000}"/>
    <cellStyle name="Normal 5 7 2 3" xfId="13652" xr:uid="{00000000-0005-0000-0000-0000F03A0000}"/>
    <cellStyle name="Normal 5 7 2 3 2" xfId="13653" xr:uid="{00000000-0005-0000-0000-0000F13A0000}"/>
    <cellStyle name="Normal 5 7 2 4" xfId="13654" xr:uid="{00000000-0005-0000-0000-0000F23A0000}"/>
    <cellStyle name="Normal 5 7 2 4 2" xfId="13655" xr:uid="{00000000-0005-0000-0000-0000F33A0000}"/>
    <cellStyle name="Normal 5 7 2 5" xfId="13656" xr:uid="{00000000-0005-0000-0000-0000F43A0000}"/>
    <cellStyle name="Normal 5 7 2 5 2" xfId="13657" xr:uid="{00000000-0005-0000-0000-0000F53A0000}"/>
    <cellStyle name="Normal 5 7 2 6" xfId="13658" xr:uid="{00000000-0005-0000-0000-0000F63A0000}"/>
    <cellStyle name="Normal 5 7 20" xfId="13659" xr:uid="{00000000-0005-0000-0000-0000F73A0000}"/>
    <cellStyle name="Normal 5 7 20 2" xfId="13660" xr:uid="{00000000-0005-0000-0000-0000F83A0000}"/>
    <cellStyle name="Normal 5 7 21" xfId="13661" xr:uid="{00000000-0005-0000-0000-0000F93A0000}"/>
    <cellStyle name="Normal 5 7 21 2" xfId="13662" xr:uid="{00000000-0005-0000-0000-0000FA3A0000}"/>
    <cellStyle name="Normal 5 7 22" xfId="13663" xr:uid="{00000000-0005-0000-0000-0000FB3A0000}"/>
    <cellStyle name="Normal 5 7 22 2" xfId="13664" xr:uid="{00000000-0005-0000-0000-0000FC3A0000}"/>
    <cellStyle name="Normal 5 7 23" xfId="13665" xr:uid="{00000000-0005-0000-0000-0000FD3A0000}"/>
    <cellStyle name="Normal 5 7 23 2" xfId="13666" xr:uid="{00000000-0005-0000-0000-0000FE3A0000}"/>
    <cellStyle name="Normal 5 7 24" xfId="13667" xr:uid="{00000000-0005-0000-0000-0000FF3A0000}"/>
    <cellStyle name="Normal 5 7 24 2" xfId="13668" xr:uid="{00000000-0005-0000-0000-0000003B0000}"/>
    <cellStyle name="Normal 5 7 25" xfId="13669" xr:uid="{00000000-0005-0000-0000-0000013B0000}"/>
    <cellStyle name="Normal 5 7 25 2" xfId="13670" xr:uid="{00000000-0005-0000-0000-0000023B0000}"/>
    <cellStyle name="Normal 5 7 26" xfId="13671" xr:uid="{00000000-0005-0000-0000-0000033B0000}"/>
    <cellStyle name="Normal 5 7 26 2" xfId="13672" xr:uid="{00000000-0005-0000-0000-0000043B0000}"/>
    <cellStyle name="Normal 5 7 27" xfId="13673" xr:uid="{00000000-0005-0000-0000-0000053B0000}"/>
    <cellStyle name="Normal 5 7 27 2" xfId="13674" xr:uid="{00000000-0005-0000-0000-0000063B0000}"/>
    <cellStyle name="Normal 5 7 28" xfId="13675" xr:uid="{00000000-0005-0000-0000-0000073B0000}"/>
    <cellStyle name="Normal 5 7 28 2" xfId="13676" xr:uid="{00000000-0005-0000-0000-0000083B0000}"/>
    <cellStyle name="Normal 5 7 29" xfId="13677" xr:uid="{00000000-0005-0000-0000-0000093B0000}"/>
    <cellStyle name="Normal 5 7 29 2" xfId="13678" xr:uid="{00000000-0005-0000-0000-00000A3B0000}"/>
    <cellStyle name="Normal 5 7 3" xfId="13679" xr:uid="{00000000-0005-0000-0000-00000B3B0000}"/>
    <cellStyle name="Normal 5 7 3 2" xfId="13680" xr:uid="{00000000-0005-0000-0000-00000C3B0000}"/>
    <cellStyle name="Normal 5 7 3 2 2" xfId="13681" xr:uid="{00000000-0005-0000-0000-00000D3B0000}"/>
    <cellStyle name="Normal 5 7 3 3" xfId="13682" xr:uid="{00000000-0005-0000-0000-00000E3B0000}"/>
    <cellStyle name="Normal 5 7 3 3 2" xfId="13683" xr:uid="{00000000-0005-0000-0000-00000F3B0000}"/>
    <cellStyle name="Normal 5 7 3 4" xfId="13684" xr:uid="{00000000-0005-0000-0000-0000103B0000}"/>
    <cellStyle name="Normal 5 7 3 4 2" xfId="13685" xr:uid="{00000000-0005-0000-0000-0000113B0000}"/>
    <cellStyle name="Normal 5 7 3 5" xfId="13686" xr:uid="{00000000-0005-0000-0000-0000123B0000}"/>
    <cellStyle name="Normal 5 7 3 5 2" xfId="13687" xr:uid="{00000000-0005-0000-0000-0000133B0000}"/>
    <cellStyle name="Normal 5 7 3 6" xfId="13688" xr:uid="{00000000-0005-0000-0000-0000143B0000}"/>
    <cellStyle name="Normal 5 7 30" xfId="13689" xr:uid="{00000000-0005-0000-0000-0000153B0000}"/>
    <cellStyle name="Normal 5 7 30 2" xfId="13690" xr:uid="{00000000-0005-0000-0000-0000163B0000}"/>
    <cellStyle name="Normal 5 7 31" xfId="13628" xr:uid="{00000000-0005-0000-0000-0000173B0000}"/>
    <cellStyle name="Normal 5 7 4" xfId="13691" xr:uid="{00000000-0005-0000-0000-0000183B0000}"/>
    <cellStyle name="Normal 5 7 4 2" xfId="13692" xr:uid="{00000000-0005-0000-0000-0000193B0000}"/>
    <cellStyle name="Normal 5 7 4 2 2" xfId="13693" xr:uid="{00000000-0005-0000-0000-00001A3B0000}"/>
    <cellStyle name="Normal 5 7 4 3" xfId="13694" xr:uid="{00000000-0005-0000-0000-00001B3B0000}"/>
    <cellStyle name="Normal 5 7 4 3 2" xfId="13695" xr:uid="{00000000-0005-0000-0000-00001C3B0000}"/>
    <cellStyle name="Normal 5 7 4 4" xfId="13696" xr:uid="{00000000-0005-0000-0000-00001D3B0000}"/>
    <cellStyle name="Normal 5 7 4 4 2" xfId="13697" xr:uid="{00000000-0005-0000-0000-00001E3B0000}"/>
    <cellStyle name="Normal 5 7 4 5" xfId="13698" xr:uid="{00000000-0005-0000-0000-00001F3B0000}"/>
    <cellStyle name="Normal 5 7 4 5 2" xfId="13699" xr:uid="{00000000-0005-0000-0000-0000203B0000}"/>
    <cellStyle name="Normal 5 7 4 6" xfId="13700" xr:uid="{00000000-0005-0000-0000-0000213B0000}"/>
    <cellStyle name="Normal 5 7 5" xfId="13701" xr:uid="{00000000-0005-0000-0000-0000223B0000}"/>
    <cellStyle name="Normal 5 7 5 2" xfId="13702" xr:uid="{00000000-0005-0000-0000-0000233B0000}"/>
    <cellStyle name="Normal 5 7 6" xfId="13703" xr:uid="{00000000-0005-0000-0000-0000243B0000}"/>
    <cellStyle name="Normal 5 7 6 2" xfId="13704" xr:uid="{00000000-0005-0000-0000-0000253B0000}"/>
    <cellStyle name="Normal 5 7 7" xfId="13705" xr:uid="{00000000-0005-0000-0000-0000263B0000}"/>
    <cellStyle name="Normal 5 7 7 2" xfId="13706" xr:uid="{00000000-0005-0000-0000-0000273B0000}"/>
    <cellStyle name="Normal 5 7 8" xfId="13707" xr:uid="{00000000-0005-0000-0000-0000283B0000}"/>
    <cellStyle name="Normal 5 7 8 2" xfId="13708" xr:uid="{00000000-0005-0000-0000-0000293B0000}"/>
    <cellStyle name="Normal 5 7 9" xfId="13709" xr:uid="{00000000-0005-0000-0000-00002A3B0000}"/>
    <cellStyle name="Normal 5 7 9 2" xfId="13710" xr:uid="{00000000-0005-0000-0000-00002B3B0000}"/>
    <cellStyle name="Normal 5 8" xfId="362" xr:uid="{00000000-0005-0000-0000-00002C3B0000}"/>
    <cellStyle name="Normal 5 8 10" xfId="13712" xr:uid="{00000000-0005-0000-0000-00002D3B0000}"/>
    <cellStyle name="Normal 5 8 11" xfId="13713" xr:uid="{00000000-0005-0000-0000-00002E3B0000}"/>
    <cellStyle name="Normal 5 8 12" xfId="13714" xr:uid="{00000000-0005-0000-0000-00002F3B0000}"/>
    <cellStyle name="Normal 5 8 13" xfId="13711" xr:uid="{00000000-0005-0000-0000-0000303B0000}"/>
    <cellStyle name="Normal 5 8 2" xfId="13715" xr:uid="{00000000-0005-0000-0000-0000313B0000}"/>
    <cellStyle name="Normal 5 8 2 10" xfId="13716" xr:uid="{00000000-0005-0000-0000-0000323B0000}"/>
    <cellStyle name="Normal 5 8 2 10 2" xfId="13717" xr:uid="{00000000-0005-0000-0000-0000333B0000}"/>
    <cellStyle name="Normal 5 8 2 2" xfId="13718" xr:uid="{00000000-0005-0000-0000-0000343B0000}"/>
    <cellStyle name="Normal 5 8 2 2 2" xfId="13719" xr:uid="{00000000-0005-0000-0000-0000353B0000}"/>
    <cellStyle name="Normal 5 8 2 3" xfId="13720" xr:uid="{00000000-0005-0000-0000-0000363B0000}"/>
    <cellStyle name="Normal 5 8 2 3 2" xfId="13721" xr:uid="{00000000-0005-0000-0000-0000373B0000}"/>
    <cellStyle name="Normal 5 8 2 4" xfId="13722" xr:uid="{00000000-0005-0000-0000-0000383B0000}"/>
    <cellStyle name="Normal 5 8 2 4 2" xfId="13723" xr:uid="{00000000-0005-0000-0000-0000393B0000}"/>
    <cellStyle name="Normal 5 8 2 5" xfId="13724" xr:uid="{00000000-0005-0000-0000-00003A3B0000}"/>
    <cellStyle name="Normal 5 8 2 5 2" xfId="13725" xr:uid="{00000000-0005-0000-0000-00003B3B0000}"/>
    <cellStyle name="Normal 5 8 2 6" xfId="13726" xr:uid="{00000000-0005-0000-0000-00003C3B0000}"/>
    <cellStyle name="Normal 5 8 2 6 2" xfId="13727" xr:uid="{00000000-0005-0000-0000-00003D3B0000}"/>
    <cellStyle name="Normal 5 8 2 7" xfId="13728" xr:uid="{00000000-0005-0000-0000-00003E3B0000}"/>
    <cellStyle name="Normal 5 8 2 7 2" xfId="13729" xr:uid="{00000000-0005-0000-0000-00003F3B0000}"/>
    <cellStyle name="Normal 5 8 2 8" xfId="13730" xr:uid="{00000000-0005-0000-0000-0000403B0000}"/>
    <cellStyle name="Normal 5 8 2 8 2" xfId="13731" xr:uid="{00000000-0005-0000-0000-0000413B0000}"/>
    <cellStyle name="Normal 5 8 2 9" xfId="13732" xr:uid="{00000000-0005-0000-0000-0000423B0000}"/>
    <cellStyle name="Normal 5 8 2 9 2" xfId="13733" xr:uid="{00000000-0005-0000-0000-0000433B0000}"/>
    <cellStyle name="Normal 5 8 3" xfId="13734" xr:uid="{00000000-0005-0000-0000-0000443B0000}"/>
    <cellStyle name="Normal 5 8 3 2" xfId="13735" xr:uid="{00000000-0005-0000-0000-0000453B0000}"/>
    <cellStyle name="Normal 5 8 3 2 2" xfId="13736" xr:uid="{00000000-0005-0000-0000-0000463B0000}"/>
    <cellStyle name="Normal 5 8 3 3" xfId="13737" xr:uid="{00000000-0005-0000-0000-0000473B0000}"/>
    <cellStyle name="Normal 5 8 3 3 2" xfId="13738" xr:uid="{00000000-0005-0000-0000-0000483B0000}"/>
    <cellStyle name="Normal 5 8 3 4" xfId="13739" xr:uid="{00000000-0005-0000-0000-0000493B0000}"/>
    <cellStyle name="Normal 5 8 3 4 2" xfId="13740" xr:uid="{00000000-0005-0000-0000-00004A3B0000}"/>
    <cellStyle name="Normal 5 8 3 5" xfId="13741" xr:uid="{00000000-0005-0000-0000-00004B3B0000}"/>
    <cellStyle name="Normal 5 8 3 5 2" xfId="13742" xr:uid="{00000000-0005-0000-0000-00004C3B0000}"/>
    <cellStyle name="Normal 5 8 3 6" xfId="13743" xr:uid="{00000000-0005-0000-0000-00004D3B0000}"/>
    <cellStyle name="Normal 5 8 4" xfId="13744" xr:uid="{00000000-0005-0000-0000-00004E3B0000}"/>
    <cellStyle name="Normal 5 8 4 2" xfId="13745" xr:uid="{00000000-0005-0000-0000-00004F3B0000}"/>
    <cellStyle name="Normal 5 8 4 2 2" xfId="13746" xr:uid="{00000000-0005-0000-0000-0000503B0000}"/>
    <cellStyle name="Normal 5 8 4 3" xfId="13747" xr:uid="{00000000-0005-0000-0000-0000513B0000}"/>
    <cellStyle name="Normal 5 8 4 3 2" xfId="13748" xr:uid="{00000000-0005-0000-0000-0000523B0000}"/>
    <cellStyle name="Normal 5 8 4 4" xfId="13749" xr:uid="{00000000-0005-0000-0000-0000533B0000}"/>
    <cellStyle name="Normal 5 8 4 4 2" xfId="13750" xr:uid="{00000000-0005-0000-0000-0000543B0000}"/>
    <cellStyle name="Normal 5 8 4 5" xfId="13751" xr:uid="{00000000-0005-0000-0000-0000553B0000}"/>
    <cellStyle name="Normal 5 8 4 5 2" xfId="13752" xr:uid="{00000000-0005-0000-0000-0000563B0000}"/>
    <cellStyle name="Normal 5 8 4 6" xfId="13753" xr:uid="{00000000-0005-0000-0000-0000573B0000}"/>
    <cellStyle name="Normal 5 8 5" xfId="13754" xr:uid="{00000000-0005-0000-0000-0000583B0000}"/>
    <cellStyle name="Normal 5 8 6" xfId="13755" xr:uid="{00000000-0005-0000-0000-0000593B0000}"/>
    <cellStyle name="Normal 5 8 7" xfId="13756" xr:uid="{00000000-0005-0000-0000-00005A3B0000}"/>
    <cellStyle name="Normal 5 8 8" xfId="13757" xr:uid="{00000000-0005-0000-0000-00005B3B0000}"/>
    <cellStyle name="Normal 5 8 9" xfId="13758" xr:uid="{00000000-0005-0000-0000-00005C3B0000}"/>
    <cellStyle name="Normal 5 9" xfId="363" xr:uid="{00000000-0005-0000-0000-00005D3B0000}"/>
    <cellStyle name="Normal 5 9 10" xfId="13760" xr:uid="{00000000-0005-0000-0000-00005E3B0000}"/>
    <cellStyle name="Normal 5 9 10 2" xfId="13761" xr:uid="{00000000-0005-0000-0000-00005F3B0000}"/>
    <cellStyle name="Normal 5 9 11" xfId="13759" xr:uid="{00000000-0005-0000-0000-0000603B0000}"/>
    <cellStyle name="Normal 5 9 2" xfId="13762" xr:uid="{00000000-0005-0000-0000-0000613B0000}"/>
    <cellStyle name="Normal 5 9 2 2" xfId="13763" xr:uid="{00000000-0005-0000-0000-0000623B0000}"/>
    <cellStyle name="Normal 5 9 3" xfId="13764" xr:uid="{00000000-0005-0000-0000-0000633B0000}"/>
    <cellStyle name="Normal 5 9 3 2" xfId="13765" xr:uid="{00000000-0005-0000-0000-0000643B0000}"/>
    <cellStyle name="Normal 5 9 4" xfId="13766" xr:uid="{00000000-0005-0000-0000-0000653B0000}"/>
    <cellStyle name="Normal 5 9 4 2" xfId="13767" xr:uid="{00000000-0005-0000-0000-0000663B0000}"/>
    <cellStyle name="Normal 5 9 5" xfId="13768" xr:uid="{00000000-0005-0000-0000-0000673B0000}"/>
    <cellStyle name="Normal 5 9 5 2" xfId="13769" xr:uid="{00000000-0005-0000-0000-0000683B0000}"/>
    <cellStyle name="Normal 5 9 6" xfId="13770" xr:uid="{00000000-0005-0000-0000-0000693B0000}"/>
    <cellStyle name="Normal 5 9 6 2" xfId="13771" xr:uid="{00000000-0005-0000-0000-00006A3B0000}"/>
    <cellStyle name="Normal 5 9 7" xfId="13772" xr:uid="{00000000-0005-0000-0000-00006B3B0000}"/>
    <cellStyle name="Normal 5 9 7 2" xfId="13773" xr:uid="{00000000-0005-0000-0000-00006C3B0000}"/>
    <cellStyle name="Normal 5 9 8" xfId="13774" xr:uid="{00000000-0005-0000-0000-00006D3B0000}"/>
    <cellStyle name="Normal 5 9 8 2" xfId="13775" xr:uid="{00000000-0005-0000-0000-00006E3B0000}"/>
    <cellStyle name="Normal 5 9 9" xfId="13776" xr:uid="{00000000-0005-0000-0000-00006F3B0000}"/>
    <cellStyle name="Normal 5 9 9 2" xfId="13777" xr:uid="{00000000-0005-0000-0000-0000703B0000}"/>
    <cellStyle name="Normal 5_Dívida - Eletrobrás - contrato genérico v2" xfId="13778" xr:uid="{00000000-0005-0000-0000-0000713B0000}"/>
    <cellStyle name="Normal 50" xfId="364" xr:uid="{00000000-0005-0000-0000-0000723B0000}"/>
    <cellStyle name="Normal 50 2" xfId="365" xr:uid="{00000000-0005-0000-0000-0000733B0000}"/>
    <cellStyle name="Normal 50 3" xfId="13779" xr:uid="{00000000-0005-0000-0000-0000743B0000}"/>
    <cellStyle name="Normal 51" xfId="366" xr:uid="{00000000-0005-0000-0000-0000753B0000}"/>
    <cellStyle name="Normal 51 2" xfId="367" xr:uid="{00000000-0005-0000-0000-0000763B0000}"/>
    <cellStyle name="Normal 51 3" xfId="13780" xr:uid="{00000000-0005-0000-0000-0000773B0000}"/>
    <cellStyle name="Normal 52" xfId="368" xr:uid="{00000000-0005-0000-0000-0000783B0000}"/>
    <cellStyle name="Normal 52 2" xfId="369" xr:uid="{00000000-0005-0000-0000-0000793B0000}"/>
    <cellStyle name="Normal 52 3" xfId="27518" xr:uid="{00000000-0005-0000-0000-00007A3B0000}"/>
    <cellStyle name="Normal 53" xfId="370" xr:uid="{00000000-0005-0000-0000-00007B3B0000}"/>
    <cellStyle name="Normal 53 2" xfId="371" xr:uid="{00000000-0005-0000-0000-00007C3B0000}"/>
    <cellStyle name="Normal 53 3" xfId="27519" xr:uid="{00000000-0005-0000-0000-00007D3B0000}"/>
    <cellStyle name="Normal 54" xfId="372" xr:uid="{00000000-0005-0000-0000-00007E3B0000}"/>
    <cellStyle name="Normal 54 2" xfId="373" xr:uid="{00000000-0005-0000-0000-00007F3B0000}"/>
    <cellStyle name="Normal 54 3" xfId="27520" xr:uid="{00000000-0005-0000-0000-0000803B0000}"/>
    <cellStyle name="Normal 55" xfId="374" xr:uid="{00000000-0005-0000-0000-0000813B0000}"/>
    <cellStyle name="Normal 55 2" xfId="375" xr:uid="{00000000-0005-0000-0000-0000823B0000}"/>
    <cellStyle name="Normal 55 3" xfId="27521" xr:uid="{00000000-0005-0000-0000-0000833B0000}"/>
    <cellStyle name="Normal 56" xfId="376" xr:uid="{00000000-0005-0000-0000-0000843B0000}"/>
    <cellStyle name="Normal 56 2" xfId="377" xr:uid="{00000000-0005-0000-0000-0000853B0000}"/>
    <cellStyle name="Normal 56 3" xfId="27522" xr:uid="{00000000-0005-0000-0000-0000863B0000}"/>
    <cellStyle name="Normal 57" xfId="378" xr:uid="{00000000-0005-0000-0000-0000873B0000}"/>
    <cellStyle name="Normal 57 2" xfId="379" xr:uid="{00000000-0005-0000-0000-0000883B0000}"/>
    <cellStyle name="Normal 57 3" xfId="27523" xr:uid="{00000000-0005-0000-0000-0000893B0000}"/>
    <cellStyle name="Normal 58" xfId="380" xr:uid="{00000000-0005-0000-0000-00008A3B0000}"/>
    <cellStyle name="Normal 58 2" xfId="381" xr:uid="{00000000-0005-0000-0000-00008B3B0000}"/>
    <cellStyle name="Normal 58 3" xfId="27527" xr:uid="{00000000-0005-0000-0000-00008C3B0000}"/>
    <cellStyle name="Normal 59" xfId="382" xr:uid="{00000000-0005-0000-0000-00008D3B0000}"/>
    <cellStyle name="Normal 59 2" xfId="383" xr:uid="{00000000-0005-0000-0000-00008E3B0000}"/>
    <cellStyle name="Normal 6" xfId="384" xr:uid="{00000000-0005-0000-0000-00008F3B0000}"/>
    <cellStyle name="Normal 6 10" xfId="13781" xr:uid="{00000000-0005-0000-0000-0000903B0000}"/>
    <cellStyle name="Normal 6 10 2" xfId="13782" xr:uid="{00000000-0005-0000-0000-0000913B0000}"/>
    <cellStyle name="Normal 6 11" xfId="13783" xr:uid="{00000000-0005-0000-0000-0000923B0000}"/>
    <cellStyle name="Normal 6 11 2" xfId="13784" xr:uid="{00000000-0005-0000-0000-0000933B0000}"/>
    <cellStyle name="Normal 6 12" xfId="13785" xr:uid="{00000000-0005-0000-0000-0000943B0000}"/>
    <cellStyle name="Normal 6 12 2" xfId="13786" xr:uid="{00000000-0005-0000-0000-0000953B0000}"/>
    <cellStyle name="Normal 6 13" xfId="13787" xr:uid="{00000000-0005-0000-0000-0000963B0000}"/>
    <cellStyle name="Normal 6 13 2" xfId="13788" xr:uid="{00000000-0005-0000-0000-0000973B0000}"/>
    <cellStyle name="Normal 6 14" xfId="13789" xr:uid="{00000000-0005-0000-0000-0000983B0000}"/>
    <cellStyle name="Normal 6 14 2" xfId="13790" xr:uid="{00000000-0005-0000-0000-0000993B0000}"/>
    <cellStyle name="Normal 6 15" xfId="13791" xr:uid="{00000000-0005-0000-0000-00009A3B0000}"/>
    <cellStyle name="Normal 6 15 2" xfId="13792" xr:uid="{00000000-0005-0000-0000-00009B3B0000}"/>
    <cellStyle name="Normal 6 16" xfId="13793" xr:uid="{00000000-0005-0000-0000-00009C3B0000}"/>
    <cellStyle name="Normal 6 16 2" xfId="13794" xr:uid="{00000000-0005-0000-0000-00009D3B0000}"/>
    <cellStyle name="Normal 6 17" xfId="13795" xr:uid="{00000000-0005-0000-0000-00009E3B0000}"/>
    <cellStyle name="Normal 6 17 2" xfId="13796" xr:uid="{00000000-0005-0000-0000-00009F3B0000}"/>
    <cellStyle name="Normal 6 18" xfId="13797" xr:uid="{00000000-0005-0000-0000-0000A03B0000}"/>
    <cellStyle name="Normal 6 18 2" xfId="13798" xr:uid="{00000000-0005-0000-0000-0000A13B0000}"/>
    <cellStyle name="Normal 6 19" xfId="13799" xr:uid="{00000000-0005-0000-0000-0000A23B0000}"/>
    <cellStyle name="Normal 6 19 2" xfId="13800" xr:uid="{00000000-0005-0000-0000-0000A33B0000}"/>
    <cellStyle name="Normal 6 2" xfId="385" xr:uid="{00000000-0005-0000-0000-0000A43B0000}"/>
    <cellStyle name="Normal 6 2 10" xfId="13802" xr:uid="{00000000-0005-0000-0000-0000A53B0000}"/>
    <cellStyle name="Normal 6 2 10 2" xfId="13803" xr:uid="{00000000-0005-0000-0000-0000A63B0000}"/>
    <cellStyle name="Normal 6 2 10 3" xfId="13804" xr:uid="{00000000-0005-0000-0000-0000A73B0000}"/>
    <cellStyle name="Normal 6 2 11" xfId="13805" xr:uid="{00000000-0005-0000-0000-0000A83B0000}"/>
    <cellStyle name="Normal 6 2 11 2" xfId="13806" xr:uid="{00000000-0005-0000-0000-0000A93B0000}"/>
    <cellStyle name="Normal 6 2 11 3" xfId="13807" xr:uid="{00000000-0005-0000-0000-0000AA3B0000}"/>
    <cellStyle name="Normal 6 2 12" xfId="13808" xr:uid="{00000000-0005-0000-0000-0000AB3B0000}"/>
    <cellStyle name="Normal 6 2 12 2" xfId="13809" xr:uid="{00000000-0005-0000-0000-0000AC3B0000}"/>
    <cellStyle name="Normal 6 2 12 3" xfId="13810" xr:uid="{00000000-0005-0000-0000-0000AD3B0000}"/>
    <cellStyle name="Normal 6 2 13" xfId="13811" xr:uid="{00000000-0005-0000-0000-0000AE3B0000}"/>
    <cellStyle name="Normal 6 2 13 2" xfId="13812" xr:uid="{00000000-0005-0000-0000-0000AF3B0000}"/>
    <cellStyle name="Normal 6 2 13 3" xfId="13813" xr:uid="{00000000-0005-0000-0000-0000B03B0000}"/>
    <cellStyle name="Normal 6 2 14" xfId="13814" xr:uid="{00000000-0005-0000-0000-0000B13B0000}"/>
    <cellStyle name="Normal 6 2 14 2" xfId="13815" xr:uid="{00000000-0005-0000-0000-0000B23B0000}"/>
    <cellStyle name="Normal 6 2 14 3" xfId="13816" xr:uid="{00000000-0005-0000-0000-0000B33B0000}"/>
    <cellStyle name="Normal 6 2 15" xfId="13817" xr:uid="{00000000-0005-0000-0000-0000B43B0000}"/>
    <cellStyle name="Normal 6 2 15 2" xfId="13818" xr:uid="{00000000-0005-0000-0000-0000B53B0000}"/>
    <cellStyle name="Normal 6 2 15 3" xfId="13819" xr:uid="{00000000-0005-0000-0000-0000B63B0000}"/>
    <cellStyle name="Normal 6 2 16" xfId="13820" xr:uid="{00000000-0005-0000-0000-0000B73B0000}"/>
    <cellStyle name="Normal 6 2 16 2" xfId="13821" xr:uid="{00000000-0005-0000-0000-0000B83B0000}"/>
    <cellStyle name="Normal 6 2 16 3" xfId="13822" xr:uid="{00000000-0005-0000-0000-0000B93B0000}"/>
    <cellStyle name="Normal 6 2 17" xfId="13823" xr:uid="{00000000-0005-0000-0000-0000BA3B0000}"/>
    <cellStyle name="Normal 6 2 17 2" xfId="13824" xr:uid="{00000000-0005-0000-0000-0000BB3B0000}"/>
    <cellStyle name="Normal 6 2 17 3" xfId="13825" xr:uid="{00000000-0005-0000-0000-0000BC3B0000}"/>
    <cellStyle name="Normal 6 2 18" xfId="13826" xr:uid="{00000000-0005-0000-0000-0000BD3B0000}"/>
    <cellStyle name="Normal 6 2 18 2" xfId="13827" xr:uid="{00000000-0005-0000-0000-0000BE3B0000}"/>
    <cellStyle name="Normal 6 2 18 3" xfId="13828" xr:uid="{00000000-0005-0000-0000-0000BF3B0000}"/>
    <cellStyle name="Normal 6 2 19" xfId="13829" xr:uid="{00000000-0005-0000-0000-0000C03B0000}"/>
    <cellStyle name="Normal 6 2 19 2" xfId="13830" xr:uid="{00000000-0005-0000-0000-0000C13B0000}"/>
    <cellStyle name="Normal 6 2 19 3" xfId="13831" xr:uid="{00000000-0005-0000-0000-0000C23B0000}"/>
    <cellStyle name="Normal 6 2 2" xfId="386" xr:uid="{00000000-0005-0000-0000-0000C33B0000}"/>
    <cellStyle name="Normal 6 2 2 10" xfId="13833" xr:uid="{00000000-0005-0000-0000-0000C43B0000}"/>
    <cellStyle name="Normal 6 2 2 10 2" xfId="13834" xr:uid="{00000000-0005-0000-0000-0000C53B0000}"/>
    <cellStyle name="Normal 6 2 2 11" xfId="13835" xr:uid="{00000000-0005-0000-0000-0000C63B0000}"/>
    <cellStyle name="Normal 6 2 2 11 2" xfId="13836" xr:uid="{00000000-0005-0000-0000-0000C73B0000}"/>
    <cellStyle name="Normal 6 2 2 12" xfId="13837" xr:uid="{00000000-0005-0000-0000-0000C83B0000}"/>
    <cellStyle name="Normal 6 2 2 12 2" xfId="13838" xr:uid="{00000000-0005-0000-0000-0000C93B0000}"/>
    <cellStyle name="Normal 6 2 2 13" xfId="13839" xr:uid="{00000000-0005-0000-0000-0000CA3B0000}"/>
    <cellStyle name="Normal 6 2 2 13 2" xfId="13840" xr:uid="{00000000-0005-0000-0000-0000CB3B0000}"/>
    <cellStyle name="Normal 6 2 2 14" xfId="13841" xr:uid="{00000000-0005-0000-0000-0000CC3B0000}"/>
    <cellStyle name="Normal 6 2 2 14 2" xfId="13842" xr:uid="{00000000-0005-0000-0000-0000CD3B0000}"/>
    <cellStyle name="Normal 6 2 2 15" xfId="13843" xr:uid="{00000000-0005-0000-0000-0000CE3B0000}"/>
    <cellStyle name="Normal 6 2 2 15 2" xfId="13844" xr:uid="{00000000-0005-0000-0000-0000CF3B0000}"/>
    <cellStyle name="Normal 6 2 2 16" xfId="13845" xr:uid="{00000000-0005-0000-0000-0000D03B0000}"/>
    <cellStyle name="Normal 6 2 2 16 2" xfId="13846" xr:uid="{00000000-0005-0000-0000-0000D13B0000}"/>
    <cellStyle name="Normal 6 2 2 17" xfId="13847" xr:uid="{00000000-0005-0000-0000-0000D23B0000}"/>
    <cellStyle name="Normal 6 2 2 17 2" xfId="13848" xr:uid="{00000000-0005-0000-0000-0000D33B0000}"/>
    <cellStyle name="Normal 6 2 2 18" xfId="13849" xr:uid="{00000000-0005-0000-0000-0000D43B0000}"/>
    <cellStyle name="Normal 6 2 2 18 2" xfId="13850" xr:uid="{00000000-0005-0000-0000-0000D53B0000}"/>
    <cellStyle name="Normal 6 2 2 19" xfId="13851" xr:uid="{00000000-0005-0000-0000-0000D63B0000}"/>
    <cellStyle name="Normal 6 2 2 19 2" xfId="13852" xr:uid="{00000000-0005-0000-0000-0000D73B0000}"/>
    <cellStyle name="Normal 6 2 2 2" xfId="387" xr:uid="{00000000-0005-0000-0000-0000D83B0000}"/>
    <cellStyle name="Normal 6 2 2 2 2" xfId="13854" xr:uid="{00000000-0005-0000-0000-0000D93B0000}"/>
    <cellStyle name="Normal 6 2 2 2 3" xfId="13855" xr:uid="{00000000-0005-0000-0000-0000DA3B0000}"/>
    <cellStyle name="Normal 6 2 2 2 4" xfId="13853" xr:uid="{00000000-0005-0000-0000-0000DB3B0000}"/>
    <cellStyle name="Normal 6 2 2 20" xfId="13856" xr:uid="{00000000-0005-0000-0000-0000DC3B0000}"/>
    <cellStyle name="Normal 6 2 2 20 2" xfId="13857" xr:uid="{00000000-0005-0000-0000-0000DD3B0000}"/>
    <cellStyle name="Normal 6 2 2 21" xfId="13858" xr:uid="{00000000-0005-0000-0000-0000DE3B0000}"/>
    <cellStyle name="Normal 6 2 2 21 2" xfId="13859" xr:uid="{00000000-0005-0000-0000-0000DF3B0000}"/>
    <cellStyle name="Normal 6 2 2 22" xfId="13860" xr:uid="{00000000-0005-0000-0000-0000E03B0000}"/>
    <cellStyle name="Normal 6 2 2 22 2" xfId="13861" xr:uid="{00000000-0005-0000-0000-0000E13B0000}"/>
    <cellStyle name="Normal 6 2 2 23" xfId="13862" xr:uid="{00000000-0005-0000-0000-0000E23B0000}"/>
    <cellStyle name="Normal 6 2 2 23 2" xfId="13863" xr:uid="{00000000-0005-0000-0000-0000E33B0000}"/>
    <cellStyle name="Normal 6 2 2 24" xfId="13864" xr:uid="{00000000-0005-0000-0000-0000E43B0000}"/>
    <cellStyle name="Normal 6 2 2 24 2" xfId="13865" xr:uid="{00000000-0005-0000-0000-0000E53B0000}"/>
    <cellStyle name="Normal 6 2 2 25" xfId="13866" xr:uid="{00000000-0005-0000-0000-0000E63B0000}"/>
    <cellStyle name="Normal 6 2 2 25 2" xfId="13867" xr:uid="{00000000-0005-0000-0000-0000E73B0000}"/>
    <cellStyle name="Normal 6 2 2 26" xfId="13868" xr:uid="{00000000-0005-0000-0000-0000E83B0000}"/>
    <cellStyle name="Normal 6 2 2 26 2" xfId="13869" xr:uid="{00000000-0005-0000-0000-0000E93B0000}"/>
    <cellStyle name="Normal 6 2 2 27" xfId="13870" xr:uid="{00000000-0005-0000-0000-0000EA3B0000}"/>
    <cellStyle name="Normal 6 2 2 27 2" xfId="13871" xr:uid="{00000000-0005-0000-0000-0000EB3B0000}"/>
    <cellStyle name="Normal 6 2 2 28" xfId="13872" xr:uid="{00000000-0005-0000-0000-0000EC3B0000}"/>
    <cellStyle name="Normal 6 2 2 28 2" xfId="13873" xr:uid="{00000000-0005-0000-0000-0000ED3B0000}"/>
    <cellStyle name="Normal 6 2 2 29" xfId="13874" xr:uid="{00000000-0005-0000-0000-0000EE3B0000}"/>
    <cellStyle name="Normal 6 2 2 29 2" xfId="13875" xr:uid="{00000000-0005-0000-0000-0000EF3B0000}"/>
    <cellStyle name="Normal 6 2 2 3" xfId="13876" xr:uid="{00000000-0005-0000-0000-0000F03B0000}"/>
    <cellStyle name="Normal 6 2 2 3 2" xfId="13877" xr:uid="{00000000-0005-0000-0000-0000F13B0000}"/>
    <cellStyle name="Normal 6 2 2 3 3" xfId="13878" xr:uid="{00000000-0005-0000-0000-0000F23B0000}"/>
    <cellStyle name="Normal 6 2 2 30" xfId="13879" xr:uid="{00000000-0005-0000-0000-0000F33B0000}"/>
    <cellStyle name="Normal 6 2 2 30 2" xfId="13880" xr:uid="{00000000-0005-0000-0000-0000F43B0000}"/>
    <cellStyle name="Normal 6 2 2 31" xfId="13881" xr:uid="{00000000-0005-0000-0000-0000F53B0000}"/>
    <cellStyle name="Normal 6 2 2 31 2" xfId="13882" xr:uid="{00000000-0005-0000-0000-0000F63B0000}"/>
    <cellStyle name="Normal 6 2 2 32" xfId="13883" xr:uid="{00000000-0005-0000-0000-0000F73B0000}"/>
    <cellStyle name="Normal 6 2 2 32 2" xfId="13884" xr:uid="{00000000-0005-0000-0000-0000F83B0000}"/>
    <cellStyle name="Normal 6 2 2 33" xfId="13885" xr:uid="{00000000-0005-0000-0000-0000F93B0000}"/>
    <cellStyle name="Normal 6 2 2 33 2" xfId="13886" xr:uid="{00000000-0005-0000-0000-0000FA3B0000}"/>
    <cellStyle name="Normal 6 2 2 34" xfId="13887" xr:uid="{00000000-0005-0000-0000-0000FB3B0000}"/>
    <cellStyle name="Normal 6 2 2 34 2" xfId="13888" xr:uid="{00000000-0005-0000-0000-0000FC3B0000}"/>
    <cellStyle name="Normal 6 2 2 35" xfId="13889" xr:uid="{00000000-0005-0000-0000-0000FD3B0000}"/>
    <cellStyle name="Normal 6 2 2 36" xfId="13890" xr:uid="{00000000-0005-0000-0000-0000FE3B0000}"/>
    <cellStyle name="Normal 6 2 2 37" xfId="13891" xr:uid="{00000000-0005-0000-0000-0000FF3B0000}"/>
    <cellStyle name="Normal 6 2 2 38" xfId="13832" xr:uid="{00000000-0005-0000-0000-0000003C0000}"/>
    <cellStyle name="Normal 6 2 2 4" xfId="13892" xr:uid="{00000000-0005-0000-0000-0000013C0000}"/>
    <cellStyle name="Normal 6 2 2 4 2" xfId="13893" xr:uid="{00000000-0005-0000-0000-0000023C0000}"/>
    <cellStyle name="Normal 6 2 2 5" xfId="13894" xr:uid="{00000000-0005-0000-0000-0000033C0000}"/>
    <cellStyle name="Normal 6 2 2 5 2" xfId="13895" xr:uid="{00000000-0005-0000-0000-0000043C0000}"/>
    <cellStyle name="Normal 6 2 2 6" xfId="13896" xr:uid="{00000000-0005-0000-0000-0000053C0000}"/>
    <cellStyle name="Normal 6 2 2 6 2" xfId="13897" xr:uid="{00000000-0005-0000-0000-0000063C0000}"/>
    <cellStyle name="Normal 6 2 2 7" xfId="13898" xr:uid="{00000000-0005-0000-0000-0000073C0000}"/>
    <cellStyle name="Normal 6 2 2 7 2" xfId="13899" xr:uid="{00000000-0005-0000-0000-0000083C0000}"/>
    <cellStyle name="Normal 6 2 2 8" xfId="13900" xr:uid="{00000000-0005-0000-0000-0000093C0000}"/>
    <cellStyle name="Normal 6 2 2 8 2" xfId="13901" xr:uid="{00000000-0005-0000-0000-00000A3C0000}"/>
    <cellStyle name="Normal 6 2 2 9" xfId="13902" xr:uid="{00000000-0005-0000-0000-00000B3C0000}"/>
    <cellStyle name="Normal 6 2 2 9 2" xfId="13903" xr:uid="{00000000-0005-0000-0000-00000C3C0000}"/>
    <cellStyle name="Normal 6 2 20" xfId="13904" xr:uid="{00000000-0005-0000-0000-00000D3C0000}"/>
    <cellStyle name="Normal 6 2 20 2" xfId="13905" xr:uid="{00000000-0005-0000-0000-00000E3C0000}"/>
    <cellStyle name="Normal 6 2 20 3" xfId="13906" xr:uid="{00000000-0005-0000-0000-00000F3C0000}"/>
    <cellStyle name="Normal 6 2 21" xfId="13907" xr:uid="{00000000-0005-0000-0000-0000103C0000}"/>
    <cellStyle name="Normal 6 2 21 2" xfId="13908" xr:uid="{00000000-0005-0000-0000-0000113C0000}"/>
    <cellStyle name="Normal 6 2 21 3" xfId="13909" xr:uid="{00000000-0005-0000-0000-0000123C0000}"/>
    <cellStyle name="Normal 6 2 22" xfId="13910" xr:uid="{00000000-0005-0000-0000-0000133C0000}"/>
    <cellStyle name="Normal 6 2 22 2" xfId="13911" xr:uid="{00000000-0005-0000-0000-0000143C0000}"/>
    <cellStyle name="Normal 6 2 22 3" xfId="13912" xr:uid="{00000000-0005-0000-0000-0000153C0000}"/>
    <cellStyle name="Normal 6 2 23" xfId="13913" xr:uid="{00000000-0005-0000-0000-0000163C0000}"/>
    <cellStyle name="Normal 6 2 23 2" xfId="13914" xr:uid="{00000000-0005-0000-0000-0000173C0000}"/>
    <cellStyle name="Normal 6 2 23 3" xfId="13915" xr:uid="{00000000-0005-0000-0000-0000183C0000}"/>
    <cellStyle name="Normal 6 2 24" xfId="13916" xr:uid="{00000000-0005-0000-0000-0000193C0000}"/>
    <cellStyle name="Normal 6 2 24 2" xfId="13917" xr:uid="{00000000-0005-0000-0000-00001A3C0000}"/>
    <cellStyle name="Normal 6 2 25" xfId="13918" xr:uid="{00000000-0005-0000-0000-00001B3C0000}"/>
    <cellStyle name="Normal 6 2 25 2" xfId="13919" xr:uid="{00000000-0005-0000-0000-00001C3C0000}"/>
    <cellStyle name="Normal 6 2 26" xfId="13920" xr:uid="{00000000-0005-0000-0000-00001D3C0000}"/>
    <cellStyle name="Normal 6 2 26 2" xfId="13921" xr:uid="{00000000-0005-0000-0000-00001E3C0000}"/>
    <cellStyle name="Normal 6 2 27" xfId="13922" xr:uid="{00000000-0005-0000-0000-00001F3C0000}"/>
    <cellStyle name="Normal 6 2 27 2" xfId="13923" xr:uid="{00000000-0005-0000-0000-0000203C0000}"/>
    <cellStyle name="Normal 6 2 28" xfId="13924" xr:uid="{00000000-0005-0000-0000-0000213C0000}"/>
    <cellStyle name="Normal 6 2 28 2" xfId="13925" xr:uid="{00000000-0005-0000-0000-0000223C0000}"/>
    <cellStyle name="Normal 6 2 29" xfId="13926" xr:uid="{00000000-0005-0000-0000-0000233C0000}"/>
    <cellStyle name="Normal 6 2 29 2" xfId="13927" xr:uid="{00000000-0005-0000-0000-0000243C0000}"/>
    <cellStyle name="Normal 6 2 3" xfId="388" xr:uid="{00000000-0005-0000-0000-0000253C0000}"/>
    <cellStyle name="Normal 6 2 3 10" xfId="13929" xr:uid="{00000000-0005-0000-0000-0000263C0000}"/>
    <cellStyle name="Normal 6 2 3 10 2" xfId="13930" xr:uid="{00000000-0005-0000-0000-0000273C0000}"/>
    <cellStyle name="Normal 6 2 3 11" xfId="13931" xr:uid="{00000000-0005-0000-0000-0000283C0000}"/>
    <cellStyle name="Normal 6 2 3 11 2" xfId="13932" xr:uid="{00000000-0005-0000-0000-0000293C0000}"/>
    <cellStyle name="Normal 6 2 3 12" xfId="13933" xr:uid="{00000000-0005-0000-0000-00002A3C0000}"/>
    <cellStyle name="Normal 6 2 3 12 2" xfId="13934" xr:uid="{00000000-0005-0000-0000-00002B3C0000}"/>
    <cellStyle name="Normal 6 2 3 13" xfId="13935" xr:uid="{00000000-0005-0000-0000-00002C3C0000}"/>
    <cellStyle name="Normal 6 2 3 13 2" xfId="13936" xr:uid="{00000000-0005-0000-0000-00002D3C0000}"/>
    <cellStyle name="Normal 6 2 3 14" xfId="13937" xr:uid="{00000000-0005-0000-0000-00002E3C0000}"/>
    <cellStyle name="Normal 6 2 3 14 2" xfId="13938" xr:uid="{00000000-0005-0000-0000-00002F3C0000}"/>
    <cellStyle name="Normal 6 2 3 15" xfId="13939" xr:uid="{00000000-0005-0000-0000-0000303C0000}"/>
    <cellStyle name="Normal 6 2 3 15 2" xfId="13940" xr:uid="{00000000-0005-0000-0000-0000313C0000}"/>
    <cellStyle name="Normal 6 2 3 16" xfId="13941" xr:uid="{00000000-0005-0000-0000-0000323C0000}"/>
    <cellStyle name="Normal 6 2 3 16 2" xfId="13942" xr:uid="{00000000-0005-0000-0000-0000333C0000}"/>
    <cellStyle name="Normal 6 2 3 17" xfId="13943" xr:uid="{00000000-0005-0000-0000-0000343C0000}"/>
    <cellStyle name="Normal 6 2 3 17 2" xfId="13944" xr:uid="{00000000-0005-0000-0000-0000353C0000}"/>
    <cellStyle name="Normal 6 2 3 18" xfId="13945" xr:uid="{00000000-0005-0000-0000-0000363C0000}"/>
    <cellStyle name="Normal 6 2 3 18 2" xfId="13946" xr:uid="{00000000-0005-0000-0000-0000373C0000}"/>
    <cellStyle name="Normal 6 2 3 19" xfId="13947" xr:uid="{00000000-0005-0000-0000-0000383C0000}"/>
    <cellStyle name="Normal 6 2 3 19 2" xfId="13948" xr:uid="{00000000-0005-0000-0000-0000393C0000}"/>
    <cellStyle name="Normal 6 2 3 2" xfId="13949" xr:uid="{00000000-0005-0000-0000-00003A3C0000}"/>
    <cellStyle name="Normal 6 2 3 2 2" xfId="13950" xr:uid="{00000000-0005-0000-0000-00003B3C0000}"/>
    <cellStyle name="Normal 6 2 3 2 2 2" xfId="13951" xr:uid="{00000000-0005-0000-0000-00003C3C0000}"/>
    <cellStyle name="Normal 6 2 3 2 2 2 2" xfId="13952" xr:uid="{00000000-0005-0000-0000-00003D3C0000}"/>
    <cellStyle name="Normal 6 2 3 2 2 2 3" xfId="13953" xr:uid="{00000000-0005-0000-0000-00003E3C0000}"/>
    <cellStyle name="Normal 6 2 3 2 2 3" xfId="13954" xr:uid="{00000000-0005-0000-0000-00003F3C0000}"/>
    <cellStyle name="Normal 6 2 3 2 3" xfId="13955" xr:uid="{00000000-0005-0000-0000-0000403C0000}"/>
    <cellStyle name="Normal 6 2 3 2 4" xfId="13956" xr:uid="{00000000-0005-0000-0000-0000413C0000}"/>
    <cellStyle name="Normal 6 2 3 2 5" xfId="13957" xr:uid="{00000000-0005-0000-0000-0000423C0000}"/>
    <cellStyle name="Normal 6 2 3 2 6" xfId="13958" xr:uid="{00000000-0005-0000-0000-0000433C0000}"/>
    <cellStyle name="Normal 6 2 3 2 7" xfId="13959" xr:uid="{00000000-0005-0000-0000-0000443C0000}"/>
    <cellStyle name="Normal 6 2 3 2 8" xfId="13960" xr:uid="{00000000-0005-0000-0000-0000453C0000}"/>
    <cellStyle name="Normal 6 2 3 20" xfId="13961" xr:uid="{00000000-0005-0000-0000-0000463C0000}"/>
    <cellStyle name="Normal 6 2 3 20 2" xfId="13962" xr:uid="{00000000-0005-0000-0000-0000473C0000}"/>
    <cellStyle name="Normal 6 2 3 21" xfId="13963" xr:uid="{00000000-0005-0000-0000-0000483C0000}"/>
    <cellStyle name="Normal 6 2 3 21 2" xfId="13964" xr:uid="{00000000-0005-0000-0000-0000493C0000}"/>
    <cellStyle name="Normal 6 2 3 22" xfId="13965" xr:uid="{00000000-0005-0000-0000-00004A3C0000}"/>
    <cellStyle name="Normal 6 2 3 22 2" xfId="13966" xr:uid="{00000000-0005-0000-0000-00004B3C0000}"/>
    <cellStyle name="Normal 6 2 3 23" xfId="13967" xr:uid="{00000000-0005-0000-0000-00004C3C0000}"/>
    <cellStyle name="Normal 6 2 3 23 2" xfId="13968" xr:uid="{00000000-0005-0000-0000-00004D3C0000}"/>
    <cellStyle name="Normal 6 2 3 24" xfId="13969" xr:uid="{00000000-0005-0000-0000-00004E3C0000}"/>
    <cellStyle name="Normal 6 2 3 24 2" xfId="13970" xr:uid="{00000000-0005-0000-0000-00004F3C0000}"/>
    <cellStyle name="Normal 6 2 3 25" xfId="13971" xr:uid="{00000000-0005-0000-0000-0000503C0000}"/>
    <cellStyle name="Normal 6 2 3 25 2" xfId="13972" xr:uid="{00000000-0005-0000-0000-0000513C0000}"/>
    <cellStyle name="Normal 6 2 3 26" xfId="13973" xr:uid="{00000000-0005-0000-0000-0000523C0000}"/>
    <cellStyle name="Normal 6 2 3 26 2" xfId="13974" xr:uid="{00000000-0005-0000-0000-0000533C0000}"/>
    <cellStyle name="Normal 6 2 3 27" xfId="13975" xr:uid="{00000000-0005-0000-0000-0000543C0000}"/>
    <cellStyle name="Normal 6 2 3 27 2" xfId="13976" xr:uid="{00000000-0005-0000-0000-0000553C0000}"/>
    <cellStyle name="Normal 6 2 3 28" xfId="13977" xr:uid="{00000000-0005-0000-0000-0000563C0000}"/>
    <cellStyle name="Normal 6 2 3 28 2" xfId="13978" xr:uid="{00000000-0005-0000-0000-0000573C0000}"/>
    <cellStyle name="Normal 6 2 3 29" xfId="13979" xr:uid="{00000000-0005-0000-0000-0000583C0000}"/>
    <cellStyle name="Normal 6 2 3 29 2" xfId="13980" xr:uid="{00000000-0005-0000-0000-0000593C0000}"/>
    <cellStyle name="Normal 6 2 3 3" xfId="13981" xr:uid="{00000000-0005-0000-0000-00005A3C0000}"/>
    <cellStyle name="Normal 6 2 3 3 2" xfId="13982" xr:uid="{00000000-0005-0000-0000-00005B3C0000}"/>
    <cellStyle name="Normal 6 2 3 30" xfId="13983" xr:uid="{00000000-0005-0000-0000-00005C3C0000}"/>
    <cellStyle name="Normal 6 2 3 30 2" xfId="13984" xr:uid="{00000000-0005-0000-0000-00005D3C0000}"/>
    <cellStyle name="Normal 6 2 3 31" xfId="13985" xr:uid="{00000000-0005-0000-0000-00005E3C0000}"/>
    <cellStyle name="Normal 6 2 3 31 2" xfId="13986" xr:uid="{00000000-0005-0000-0000-00005F3C0000}"/>
    <cellStyle name="Normal 6 2 3 32" xfId="13987" xr:uid="{00000000-0005-0000-0000-0000603C0000}"/>
    <cellStyle name="Normal 6 2 3 32 2" xfId="13988" xr:uid="{00000000-0005-0000-0000-0000613C0000}"/>
    <cellStyle name="Normal 6 2 3 33" xfId="13989" xr:uid="{00000000-0005-0000-0000-0000623C0000}"/>
    <cellStyle name="Normal 6 2 3 33 2" xfId="13990" xr:uid="{00000000-0005-0000-0000-0000633C0000}"/>
    <cellStyle name="Normal 6 2 3 34" xfId="13991" xr:uid="{00000000-0005-0000-0000-0000643C0000}"/>
    <cellStyle name="Normal 6 2 3 34 2" xfId="13992" xr:uid="{00000000-0005-0000-0000-0000653C0000}"/>
    <cellStyle name="Normal 6 2 3 35" xfId="13993" xr:uid="{00000000-0005-0000-0000-0000663C0000}"/>
    <cellStyle name="Normal 6 2 3 36" xfId="13928" xr:uid="{00000000-0005-0000-0000-0000673C0000}"/>
    <cellStyle name="Normal 6 2 3 4" xfId="13994" xr:uid="{00000000-0005-0000-0000-0000683C0000}"/>
    <cellStyle name="Normal 6 2 3 4 2" xfId="13995" xr:uid="{00000000-0005-0000-0000-0000693C0000}"/>
    <cellStyle name="Normal 6 2 3 5" xfId="13996" xr:uid="{00000000-0005-0000-0000-00006A3C0000}"/>
    <cellStyle name="Normal 6 2 3 5 2" xfId="13997" xr:uid="{00000000-0005-0000-0000-00006B3C0000}"/>
    <cellStyle name="Normal 6 2 3 6" xfId="13998" xr:uid="{00000000-0005-0000-0000-00006C3C0000}"/>
    <cellStyle name="Normal 6 2 3 6 2" xfId="13999" xr:uid="{00000000-0005-0000-0000-00006D3C0000}"/>
    <cellStyle name="Normal 6 2 3 7" xfId="14000" xr:uid="{00000000-0005-0000-0000-00006E3C0000}"/>
    <cellStyle name="Normal 6 2 3 7 2" xfId="14001" xr:uid="{00000000-0005-0000-0000-00006F3C0000}"/>
    <cellStyle name="Normal 6 2 3 8" xfId="14002" xr:uid="{00000000-0005-0000-0000-0000703C0000}"/>
    <cellStyle name="Normal 6 2 3 8 2" xfId="14003" xr:uid="{00000000-0005-0000-0000-0000713C0000}"/>
    <cellStyle name="Normal 6 2 3 9" xfId="14004" xr:uid="{00000000-0005-0000-0000-0000723C0000}"/>
    <cellStyle name="Normal 6 2 3 9 2" xfId="14005" xr:uid="{00000000-0005-0000-0000-0000733C0000}"/>
    <cellStyle name="Normal 6 2 30" xfId="14006" xr:uid="{00000000-0005-0000-0000-0000743C0000}"/>
    <cellStyle name="Normal 6 2 30 2" xfId="14007" xr:uid="{00000000-0005-0000-0000-0000753C0000}"/>
    <cellStyle name="Normal 6 2 31" xfId="14008" xr:uid="{00000000-0005-0000-0000-0000763C0000}"/>
    <cellStyle name="Normal 6 2 31 2" xfId="14009" xr:uid="{00000000-0005-0000-0000-0000773C0000}"/>
    <cellStyle name="Normal 6 2 32" xfId="14010" xr:uid="{00000000-0005-0000-0000-0000783C0000}"/>
    <cellStyle name="Normal 6 2 32 2" xfId="14011" xr:uid="{00000000-0005-0000-0000-0000793C0000}"/>
    <cellStyle name="Normal 6 2 33" xfId="14012" xr:uid="{00000000-0005-0000-0000-00007A3C0000}"/>
    <cellStyle name="Normal 6 2 33 2" xfId="14013" xr:uid="{00000000-0005-0000-0000-00007B3C0000}"/>
    <cellStyle name="Normal 6 2 34" xfId="14014" xr:uid="{00000000-0005-0000-0000-00007C3C0000}"/>
    <cellStyle name="Normal 6 2 34 2" xfId="14015" xr:uid="{00000000-0005-0000-0000-00007D3C0000}"/>
    <cellStyle name="Normal 6 2 35" xfId="14016" xr:uid="{00000000-0005-0000-0000-00007E3C0000}"/>
    <cellStyle name="Normal 6 2 35 2" xfId="14017" xr:uid="{00000000-0005-0000-0000-00007F3C0000}"/>
    <cellStyle name="Normal 6 2 36" xfId="14018" xr:uid="{00000000-0005-0000-0000-0000803C0000}"/>
    <cellStyle name="Normal 6 2 36 2" xfId="14019" xr:uid="{00000000-0005-0000-0000-0000813C0000}"/>
    <cellStyle name="Normal 6 2 37" xfId="14020" xr:uid="{00000000-0005-0000-0000-0000823C0000}"/>
    <cellStyle name="Normal 6 2 37 2" xfId="14021" xr:uid="{00000000-0005-0000-0000-0000833C0000}"/>
    <cellStyle name="Normal 6 2 38" xfId="14022" xr:uid="{00000000-0005-0000-0000-0000843C0000}"/>
    <cellStyle name="Normal 6 2 38 2" xfId="14023" xr:uid="{00000000-0005-0000-0000-0000853C0000}"/>
    <cellStyle name="Normal 6 2 39" xfId="14024" xr:uid="{00000000-0005-0000-0000-0000863C0000}"/>
    <cellStyle name="Normal 6 2 39 2" xfId="14025" xr:uid="{00000000-0005-0000-0000-0000873C0000}"/>
    <cellStyle name="Normal 6 2 4" xfId="14026" xr:uid="{00000000-0005-0000-0000-0000883C0000}"/>
    <cellStyle name="Normal 6 2 4 2" xfId="14027" xr:uid="{00000000-0005-0000-0000-0000893C0000}"/>
    <cellStyle name="Normal 6 2 4 2 2" xfId="14028" xr:uid="{00000000-0005-0000-0000-00008A3C0000}"/>
    <cellStyle name="Normal 6 2 4 3" xfId="14029" xr:uid="{00000000-0005-0000-0000-00008B3C0000}"/>
    <cellStyle name="Normal 6 2 4 3 2" xfId="14030" xr:uid="{00000000-0005-0000-0000-00008C3C0000}"/>
    <cellStyle name="Normal 6 2 4 4" xfId="14031" xr:uid="{00000000-0005-0000-0000-00008D3C0000}"/>
    <cellStyle name="Normal 6 2 4 4 2" xfId="14032" xr:uid="{00000000-0005-0000-0000-00008E3C0000}"/>
    <cellStyle name="Normal 6 2 4 5" xfId="14033" xr:uid="{00000000-0005-0000-0000-00008F3C0000}"/>
    <cellStyle name="Normal 6 2 4 5 2" xfId="14034" xr:uid="{00000000-0005-0000-0000-0000903C0000}"/>
    <cellStyle name="Normal 6 2 4 6" xfId="14035" xr:uid="{00000000-0005-0000-0000-0000913C0000}"/>
    <cellStyle name="Normal 6 2 40" xfId="14036" xr:uid="{00000000-0005-0000-0000-0000923C0000}"/>
    <cellStyle name="Normal 6 2 40 2" xfId="14037" xr:uid="{00000000-0005-0000-0000-0000933C0000}"/>
    <cellStyle name="Normal 6 2 41" xfId="14038" xr:uid="{00000000-0005-0000-0000-0000943C0000}"/>
    <cellStyle name="Normal 6 2 41 2" xfId="14039" xr:uid="{00000000-0005-0000-0000-0000953C0000}"/>
    <cellStyle name="Normal 6 2 42" xfId="14040" xr:uid="{00000000-0005-0000-0000-0000963C0000}"/>
    <cellStyle name="Normal 6 2 42 2" xfId="14041" xr:uid="{00000000-0005-0000-0000-0000973C0000}"/>
    <cellStyle name="Normal 6 2 43" xfId="14042" xr:uid="{00000000-0005-0000-0000-0000983C0000}"/>
    <cellStyle name="Normal 6 2 43 2" xfId="14043" xr:uid="{00000000-0005-0000-0000-0000993C0000}"/>
    <cellStyle name="Normal 6 2 44" xfId="14044" xr:uid="{00000000-0005-0000-0000-00009A3C0000}"/>
    <cellStyle name="Normal 6 2 44 2" xfId="14045" xr:uid="{00000000-0005-0000-0000-00009B3C0000}"/>
    <cellStyle name="Normal 6 2 45" xfId="14046" xr:uid="{00000000-0005-0000-0000-00009C3C0000}"/>
    <cellStyle name="Normal 6 2 45 2" xfId="14047" xr:uid="{00000000-0005-0000-0000-00009D3C0000}"/>
    <cellStyle name="Normal 6 2 46" xfId="14048" xr:uid="{00000000-0005-0000-0000-00009E3C0000}"/>
    <cellStyle name="Normal 6 2 46 2" xfId="14049" xr:uid="{00000000-0005-0000-0000-00009F3C0000}"/>
    <cellStyle name="Normal 6 2 47" xfId="14050" xr:uid="{00000000-0005-0000-0000-0000A03C0000}"/>
    <cellStyle name="Normal 6 2 48" xfId="13801" xr:uid="{00000000-0005-0000-0000-0000A13C0000}"/>
    <cellStyle name="Normal 6 2 5" xfId="14051" xr:uid="{00000000-0005-0000-0000-0000A23C0000}"/>
    <cellStyle name="Normal 6 2 5 2" xfId="14052" xr:uid="{00000000-0005-0000-0000-0000A33C0000}"/>
    <cellStyle name="Normal 6 2 5 2 2" xfId="14053" xr:uid="{00000000-0005-0000-0000-0000A43C0000}"/>
    <cellStyle name="Normal 6 2 5 2 3" xfId="14054" xr:uid="{00000000-0005-0000-0000-0000A53C0000}"/>
    <cellStyle name="Normal 6 2 5 3" xfId="14055" xr:uid="{00000000-0005-0000-0000-0000A63C0000}"/>
    <cellStyle name="Normal 6 2 6" xfId="14056" xr:uid="{00000000-0005-0000-0000-0000A73C0000}"/>
    <cellStyle name="Normal 6 2 6 2" xfId="14057" xr:uid="{00000000-0005-0000-0000-0000A83C0000}"/>
    <cellStyle name="Normal 6 2 6 3" xfId="14058" xr:uid="{00000000-0005-0000-0000-0000A93C0000}"/>
    <cellStyle name="Normal 6 2 7" xfId="14059" xr:uid="{00000000-0005-0000-0000-0000AA3C0000}"/>
    <cellStyle name="Normal 6 2 7 2" xfId="14060" xr:uid="{00000000-0005-0000-0000-0000AB3C0000}"/>
    <cellStyle name="Normal 6 2 7 3" xfId="14061" xr:uid="{00000000-0005-0000-0000-0000AC3C0000}"/>
    <cellStyle name="Normal 6 2 8" xfId="14062" xr:uid="{00000000-0005-0000-0000-0000AD3C0000}"/>
    <cellStyle name="Normal 6 2 8 2" xfId="14063" xr:uid="{00000000-0005-0000-0000-0000AE3C0000}"/>
    <cellStyle name="Normal 6 2 8 3" xfId="14064" xr:uid="{00000000-0005-0000-0000-0000AF3C0000}"/>
    <cellStyle name="Normal 6 2 9" xfId="14065" xr:uid="{00000000-0005-0000-0000-0000B03C0000}"/>
    <cellStyle name="Normal 6 2 9 2" xfId="14066" xr:uid="{00000000-0005-0000-0000-0000B13C0000}"/>
    <cellStyle name="Normal 6 2 9 3" xfId="14067" xr:uid="{00000000-0005-0000-0000-0000B23C0000}"/>
    <cellStyle name="Normal 6 20" xfId="14068" xr:uid="{00000000-0005-0000-0000-0000B33C0000}"/>
    <cellStyle name="Normal 6 20 2" xfId="14069" xr:uid="{00000000-0005-0000-0000-0000B43C0000}"/>
    <cellStyle name="Normal 6 21" xfId="14070" xr:uid="{00000000-0005-0000-0000-0000B53C0000}"/>
    <cellStyle name="Normal 6 21 2" xfId="14071" xr:uid="{00000000-0005-0000-0000-0000B63C0000}"/>
    <cellStyle name="Normal 6 22" xfId="14072" xr:uid="{00000000-0005-0000-0000-0000B73C0000}"/>
    <cellStyle name="Normal 6 22 2" xfId="14073" xr:uid="{00000000-0005-0000-0000-0000B83C0000}"/>
    <cellStyle name="Normal 6 23" xfId="14074" xr:uid="{00000000-0005-0000-0000-0000B93C0000}"/>
    <cellStyle name="Normal 6 23 2" xfId="14075" xr:uid="{00000000-0005-0000-0000-0000BA3C0000}"/>
    <cellStyle name="Normal 6 24" xfId="14076" xr:uid="{00000000-0005-0000-0000-0000BB3C0000}"/>
    <cellStyle name="Normal 6 24 2" xfId="14077" xr:uid="{00000000-0005-0000-0000-0000BC3C0000}"/>
    <cellStyle name="Normal 6 25" xfId="14078" xr:uid="{00000000-0005-0000-0000-0000BD3C0000}"/>
    <cellStyle name="Normal 6 25 2" xfId="14079" xr:uid="{00000000-0005-0000-0000-0000BE3C0000}"/>
    <cellStyle name="Normal 6 26" xfId="14080" xr:uid="{00000000-0005-0000-0000-0000BF3C0000}"/>
    <cellStyle name="Normal 6 26 2" xfId="14081" xr:uid="{00000000-0005-0000-0000-0000C03C0000}"/>
    <cellStyle name="Normal 6 27" xfId="14082" xr:uid="{00000000-0005-0000-0000-0000C13C0000}"/>
    <cellStyle name="Normal 6 27 2" xfId="14083" xr:uid="{00000000-0005-0000-0000-0000C23C0000}"/>
    <cellStyle name="Normal 6 28" xfId="14084" xr:uid="{00000000-0005-0000-0000-0000C33C0000}"/>
    <cellStyle name="Normal 6 28 2" xfId="14085" xr:uid="{00000000-0005-0000-0000-0000C43C0000}"/>
    <cellStyle name="Normal 6 29" xfId="14086" xr:uid="{00000000-0005-0000-0000-0000C53C0000}"/>
    <cellStyle name="Normal 6 29 2" xfId="14087" xr:uid="{00000000-0005-0000-0000-0000C63C0000}"/>
    <cellStyle name="Normal 6 3" xfId="389" xr:uid="{00000000-0005-0000-0000-0000C73C0000}"/>
    <cellStyle name="Normal 6 3 10" xfId="14089" xr:uid="{00000000-0005-0000-0000-0000C83C0000}"/>
    <cellStyle name="Normal 6 3 10 2" xfId="14090" xr:uid="{00000000-0005-0000-0000-0000C93C0000}"/>
    <cellStyle name="Normal 6 3 11" xfId="14091" xr:uid="{00000000-0005-0000-0000-0000CA3C0000}"/>
    <cellStyle name="Normal 6 3 11 2" xfId="14092" xr:uid="{00000000-0005-0000-0000-0000CB3C0000}"/>
    <cellStyle name="Normal 6 3 12" xfId="14093" xr:uid="{00000000-0005-0000-0000-0000CC3C0000}"/>
    <cellStyle name="Normal 6 3 12 2" xfId="14094" xr:uid="{00000000-0005-0000-0000-0000CD3C0000}"/>
    <cellStyle name="Normal 6 3 13" xfId="14095" xr:uid="{00000000-0005-0000-0000-0000CE3C0000}"/>
    <cellStyle name="Normal 6 3 13 2" xfId="14096" xr:uid="{00000000-0005-0000-0000-0000CF3C0000}"/>
    <cellStyle name="Normal 6 3 14" xfId="14097" xr:uid="{00000000-0005-0000-0000-0000D03C0000}"/>
    <cellStyle name="Normal 6 3 14 2" xfId="14098" xr:uid="{00000000-0005-0000-0000-0000D13C0000}"/>
    <cellStyle name="Normal 6 3 15" xfId="14099" xr:uid="{00000000-0005-0000-0000-0000D23C0000}"/>
    <cellStyle name="Normal 6 3 15 2" xfId="14100" xr:uid="{00000000-0005-0000-0000-0000D33C0000}"/>
    <cellStyle name="Normal 6 3 16" xfId="14101" xr:uid="{00000000-0005-0000-0000-0000D43C0000}"/>
    <cellStyle name="Normal 6 3 16 2" xfId="14102" xr:uid="{00000000-0005-0000-0000-0000D53C0000}"/>
    <cellStyle name="Normal 6 3 17" xfId="14103" xr:uid="{00000000-0005-0000-0000-0000D63C0000}"/>
    <cellStyle name="Normal 6 3 17 2" xfId="14104" xr:uid="{00000000-0005-0000-0000-0000D73C0000}"/>
    <cellStyle name="Normal 6 3 18" xfId="14105" xr:uid="{00000000-0005-0000-0000-0000D83C0000}"/>
    <cellStyle name="Normal 6 3 18 2" xfId="14106" xr:uid="{00000000-0005-0000-0000-0000D93C0000}"/>
    <cellStyle name="Normal 6 3 19" xfId="14107" xr:uid="{00000000-0005-0000-0000-0000DA3C0000}"/>
    <cellStyle name="Normal 6 3 19 2" xfId="14108" xr:uid="{00000000-0005-0000-0000-0000DB3C0000}"/>
    <cellStyle name="Normal 6 3 2" xfId="390" xr:uid="{00000000-0005-0000-0000-0000DC3C0000}"/>
    <cellStyle name="Normal 6 3 2 10" xfId="14109" xr:uid="{00000000-0005-0000-0000-0000DD3C0000}"/>
    <cellStyle name="Normal 6 3 2 10 2" xfId="14110" xr:uid="{00000000-0005-0000-0000-0000DE3C0000}"/>
    <cellStyle name="Normal 6 3 2 11" xfId="14111" xr:uid="{00000000-0005-0000-0000-0000DF3C0000}"/>
    <cellStyle name="Normal 6 3 2 11 2" xfId="14112" xr:uid="{00000000-0005-0000-0000-0000E03C0000}"/>
    <cellStyle name="Normal 6 3 2 12" xfId="14113" xr:uid="{00000000-0005-0000-0000-0000E13C0000}"/>
    <cellStyle name="Normal 6 3 2 12 2" xfId="14114" xr:uid="{00000000-0005-0000-0000-0000E23C0000}"/>
    <cellStyle name="Normal 6 3 2 13" xfId="14115" xr:uid="{00000000-0005-0000-0000-0000E33C0000}"/>
    <cellStyle name="Normal 6 3 2 13 2" xfId="14116" xr:uid="{00000000-0005-0000-0000-0000E43C0000}"/>
    <cellStyle name="Normal 6 3 2 14" xfId="14117" xr:uid="{00000000-0005-0000-0000-0000E53C0000}"/>
    <cellStyle name="Normal 6 3 2 14 2" xfId="14118" xr:uid="{00000000-0005-0000-0000-0000E63C0000}"/>
    <cellStyle name="Normal 6 3 2 15" xfId="14119" xr:uid="{00000000-0005-0000-0000-0000E73C0000}"/>
    <cellStyle name="Normal 6 3 2 15 2" xfId="14120" xr:uid="{00000000-0005-0000-0000-0000E83C0000}"/>
    <cellStyle name="Normal 6 3 2 16" xfId="14121" xr:uid="{00000000-0005-0000-0000-0000E93C0000}"/>
    <cellStyle name="Normal 6 3 2 16 2" xfId="14122" xr:uid="{00000000-0005-0000-0000-0000EA3C0000}"/>
    <cellStyle name="Normal 6 3 2 17" xfId="14123" xr:uid="{00000000-0005-0000-0000-0000EB3C0000}"/>
    <cellStyle name="Normal 6 3 2 17 2" xfId="14124" xr:uid="{00000000-0005-0000-0000-0000EC3C0000}"/>
    <cellStyle name="Normal 6 3 2 18" xfId="14125" xr:uid="{00000000-0005-0000-0000-0000ED3C0000}"/>
    <cellStyle name="Normal 6 3 2 18 2" xfId="14126" xr:uid="{00000000-0005-0000-0000-0000EE3C0000}"/>
    <cellStyle name="Normal 6 3 2 19" xfId="14127" xr:uid="{00000000-0005-0000-0000-0000EF3C0000}"/>
    <cellStyle name="Normal 6 3 2 19 2" xfId="14128" xr:uid="{00000000-0005-0000-0000-0000F03C0000}"/>
    <cellStyle name="Normal 6 3 2 2" xfId="391" xr:uid="{00000000-0005-0000-0000-0000F13C0000}"/>
    <cellStyle name="Normal 6 3 2 2 2" xfId="14129" xr:uid="{00000000-0005-0000-0000-0000F23C0000}"/>
    <cellStyle name="Normal 6 3 2 20" xfId="14130" xr:uid="{00000000-0005-0000-0000-0000F33C0000}"/>
    <cellStyle name="Normal 6 3 2 20 2" xfId="14131" xr:uid="{00000000-0005-0000-0000-0000F43C0000}"/>
    <cellStyle name="Normal 6 3 2 21" xfId="14132" xr:uid="{00000000-0005-0000-0000-0000F53C0000}"/>
    <cellStyle name="Normal 6 3 2 21 2" xfId="14133" xr:uid="{00000000-0005-0000-0000-0000F63C0000}"/>
    <cellStyle name="Normal 6 3 2 22" xfId="14134" xr:uid="{00000000-0005-0000-0000-0000F73C0000}"/>
    <cellStyle name="Normal 6 3 2 22 2" xfId="14135" xr:uid="{00000000-0005-0000-0000-0000F83C0000}"/>
    <cellStyle name="Normal 6 3 2 23" xfId="14136" xr:uid="{00000000-0005-0000-0000-0000F93C0000}"/>
    <cellStyle name="Normal 6 3 2 23 2" xfId="14137" xr:uid="{00000000-0005-0000-0000-0000FA3C0000}"/>
    <cellStyle name="Normal 6 3 2 24" xfId="14138" xr:uid="{00000000-0005-0000-0000-0000FB3C0000}"/>
    <cellStyle name="Normal 6 3 2 24 2" xfId="14139" xr:uid="{00000000-0005-0000-0000-0000FC3C0000}"/>
    <cellStyle name="Normal 6 3 2 25" xfId="14140" xr:uid="{00000000-0005-0000-0000-0000FD3C0000}"/>
    <cellStyle name="Normal 6 3 2 25 2" xfId="14141" xr:uid="{00000000-0005-0000-0000-0000FE3C0000}"/>
    <cellStyle name="Normal 6 3 2 26" xfId="14142" xr:uid="{00000000-0005-0000-0000-0000FF3C0000}"/>
    <cellStyle name="Normal 6 3 2 26 2" xfId="14143" xr:uid="{00000000-0005-0000-0000-0000003D0000}"/>
    <cellStyle name="Normal 6 3 2 27" xfId="14144" xr:uid="{00000000-0005-0000-0000-0000013D0000}"/>
    <cellStyle name="Normal 6 3 2 27 2" xfId="14145" xr:uid="{00000000-0005-0000-0000-0000023D0000}"/>
    <cellStyle name="Normal 6 3 2 28" xfId="14146" xr:uid="{00000000-0005-0000-0000-0000033D0000}"/>
    <cellStyle name="Normal 6 3 2 28 2" xfId="14147" xr:uid="{00000000-0005-0000-0000-0000043D0000}"/>
    <cellStyle name="Normal 6 3 2 29" xfId="14148" xr:uid="{00000000-0005-0000-0000-0000053D0000}"/>
    <cellStyle name="Normal 6 3 2 29 2" xfId="14149" xr:uid="{00000000-0005-0000-0000-0000063D0000}"/>
    <cellStyle name="Normal 6 3 2 3" xfId="14150" xr:uid="{00000000-0005-0000-0000-0000073D0000}"/>
    <cellStyle name="Normal 6 3 2 3 2" xfId="14151" xr:uid="{00000000-0005-0000-0000-0000083D0000}"/>
    <cellStyle name="Normal 6 3 2 30" xfId="14152" xr:uid="{00000000-0005-0000-0000-0000093D0000}"/>
    <cellStyle name="Normal 6 3 2 30 2" xfId="14153" xr:uid="{00000000-0005-0000-0000-00000A3D0000}"/>
    <cellStyle name="Normal 6 3 2 31" xfId="14154" xr:uid="{00000000-0005-0000-0000-00000B3D0000}"/>
    <cellStyle name="Normal 6 3 2 31 2" xfId="14155" xr:uid="{00000000-0005-0000-0000-00000C3D0000}"/>
    <cellStyle name="Normal 6 3 2 32" xfId="14156" xr:uid="{00000000-0005-0000-0000-00000D3D0000}"/>
    <cellStyle name="Normal 6 3 2 32 2" xfId="14157" xr:uid="{00000000-0005-0000-0000-00000E3D0000}"/>
    <cellStyle name="Normal 6 3 2 33" xfId="14158" xr:uid="{00000000-0005-0000-0000-00000F3D0000}"/>
    <cellStyle name="Normal 6 3 2 33 2" xfId="14159" xr:uid="{00000000-0005-0000-0000-0000103D0000}"/>
    <cellStyle name="Normal 6 3 2 34" xfId="14160" xr:uid="{00000000-0005-0000-0000-0000113D0000}"/>
    <cellStyle name="Normal 6 3 2 34 2" xfId="14161" xr:uid="{00000000-0005-0000-0000-0000123D0000}"/>
    <cellStyle name="Normal 6 3 2 35" xfId="14162" xr:uid="{00000000-0005-0000-0000-0000133D0000}"/>
    <cellStyle name="Normal 6 3 2 4" xfId="14163" xr:uid="{00000000-0005-0000-0000-0000143D0000}"/>
    <cellStyle name="Normal 6 3 2 4 2" xfId="14164" xr:uid="{00000000-0005-0000-0000-0000153D0000}"/>
    <cellStyle name="Normal 6 3 2 5" xfId="14165" xr:uid="{00000000-0005-0000-0000-0000163D0000}"/>
    <cellStyle name="Normal 6 3 2 5 2" xfId="14166" xr:uid="{00000000-0005-0000-0000-0000173D0000}"/>
    <cellStyle name="Normal 6 3 2 6" xfId="14167" xr:uid="{00000000-0005-0000-0000-0000183D0000}"/>
    <cellStyle name="Normal 6 3 2 6 2" xfId="14168" xr:uid="{00000000-0005-0000-0000-0000193D0000}"/>
    <cellStyle name="Normal 6 3 2 7" xfId="14169" xr:uid="{00000000-0005-0000-0000-00001A3D0000}"/>
    <cellStyle name="Normal 6 3 2 7 2" xfId="14170" xr:uid="{00000000-0005-0000-0000-00001B3D0000}"/>
    <cellStyle name="Normal 6 3 2 8" xfId="14171" xr:uid="{00000000-0005-0000-0000-00001C3D0000}"/>
    <cellStyle name="Normal 6 3 2 8 2" xfId="14172" xr:uid="{00000000-0005-0000-0000-00001D3D0000}"/>
    <cellStyle name="Normal 6 3 2 9" xfId="14173" xr:uid="{00000000-0005-0000-0000-00001E3D0000}"/>
    <cellStyle name="Normal 6 3 2 9 2" xfId="14174" xr:uid="{00000000-0005-0000-0000-00001F3D0000}"/>
    <cellStyle name="Normal 6 3 20" xfId="14175" xr:uid="{00000000-0005-0000-0000-0000203D0000}"/>
    <cellStyle name="Normal 6 3 20 2" xfId="14176" xr:uid="{00000000-0005-0000-0000-0000213D0000}"/>
    <cellStyle name="Normal 6 3 21" xfId="14177" xr:uid="{00000000-0005-0000-0000-0000223D0000}"/>
    <cellStyle name="Normal 6 3 21 2" xfId="14178" xr:uid="{00000000-0005-0000-0000-0000233D0000}"/>
    <cellStyle name="Normal 6 3 22" xfId="14179" xr:uid="{00000000-0005-0000-0000-0000243D0000}"/>
    <cellStyle name="Normal 6 3 22 2" xfId="14180" xr:uid="{00000000-0005-0000-0000-0000253D0000}"/>
    <cellStyle name="Normal 6 3 23" xfId="14181" xr:uid="{00000000-0005-0000-0000-0000263D0000}"/>
    <cellStyle name="Normal 6 3 23 2" xfId="14182" xr:uid="{00000000-0005-0000-0000-0000273D0000}"/>
    <cellStyle name="Normal 6 3 24" xfId="14183" xr:uid="{00000000-0005-0000-0000-0000283D0000}"/>
    <cellStyle name="Normal 6 3 24 2" xfId="14184" xr:uid="{00000000-0005-0000-0000-0000293D0000}"/>
    <cellStyle name="Normal 6 3 25" xfId="14185" xr:uid="{00000000-0005-0000-0000-00002A3D0000}"/>
    <cellStyle name="Normal 6 3 25 2" xfId="14186" xr:uid="{00000000-0005-0000-0000-00002B3D0000}"/>
    <cellStyle name="Normal 6 3 26" xfId="14187" xr:uid="{00000000-0005-0000-0000-00002C3D0000}"/>
    <cellStyle name="Normal 6 3 26 2" xfId="14188" xr:uid="{00000000-0005-0000-0000-00002D3D0000}"/>
    <cellStyle name="Normal 6 3 27" xfId="14189" xr:uid="{00000000-0005-0000-0000-00002E3D0000}"/>
    <cellStyle name="Normal 6 3 27 2" xfId="14190" xr:uid="{00000000-0005-0000-0000-00002F3D0000}"/>
    <cellStyle name="Normal 6 3 28" xfId="14191" xr:uid="{00000000-0005-0000-0000-0000303D0000}"/>
    <cellStyle name="Normal 6 3 28 2" xfId="14192" xr:uid="{00000000-0005-0000-0000-0000313D0000}"/>
    <cellStyle name="Normal 6 3 29" xfId="14193" xr:uid="{00000000-0005-0000-0000-0000323D0000}"/>
    <cellStyle name="Normal 6 3 29 2" xfId="14194" xr:uid="{00000000-0005-0000-0000-0000333D0000}"/>
    <cellStyle name="Normal 6 3 3" xfId="392" xr:uid="{00000000-0005-0000-0000-0000343D0000}"/>
    <cellStyle name="Normal 6 3 3 10" xfId="14195" xr:uid="{00000000-0005-0000-0000-0000353D0000}"/>
    <cellStyle name="Normal 6 3 3 10 2" xfId="14196" xr:uid="{00000000-0005-0000-0000-0000363D0000}"/>
    <cellStyle name="Normal 6 3 3 11" xfId="14197" xr:uid="{00000000-0005-0000-0000-0000373D0000}"/>
    <cellStyle name="Normal 6 3 3 11 2" xfId="14198" xr:uid="{00000000-0005-0000-0000-0000383D0000}"/>
    <cellStyle name="Normal 6 3 3 12" xfId="14199" xr:uid="{00000000-0005-0000-0000-0000393D0000}"/>
    <cellStyle name="Normal 6 3 3 12 2" xfId="14200" xr:uid="{00000000-0005-0000-0000-00003A3D0000}"/>
    <cellStyle name="Normal 6 3 3 13" xfId="14201" xr:uid="{00000000-0005-0000-0000-00003B3D0000}"/>
    <cellStyle name="Normal 6 3 3 13 2" xfId="14202" xr:uid="{00000000-0005-0000-0000-00003C3D0000}"/>
    <cellStyle name="Normal 6 3 3 14" xfId="14203" xr:uid="{00000000-0005-0000-0000-00003D3D0000}"/>
    <cellStyle name="Normal 6 3 3 14 2" xfId="14204" xr:uid="{00000000-0005-0000-0000-00003E3D0000}"/>
    <cellStyle name="Normal 6 3 3 15" xfId="14205" xr:uid="{00000000-0005-0000-0000-00003F3D0000}"/>
    <cellStyle name="Normal 6 3 3 15 2" xfId="14206" xr:uid="{00000000-0005-0000-0000-0000403D0000}"/>
    <cellStyle name="Normal 6 3 3 16" xfId="14207" xr:uid="{00000000-0005-0000-0000-0000413D0000}"/>
    <cellStyle name="Normal 6 3 3 16 2" xfId="14208" xr:uid="{00000000-0005-0000-0000-0000423D0000}"/>
    <cellStyle name="Normal 6 3 3 17" xfId="14209" xr:uid="{00000000-0005-0000-0000-0000433D0000}"/>
    <cellStyle name="Normal 6 3 3 17 2" xfId="14210" xr:uid="{00000000-0005-0000-0000-0000443D0000}"/>
    <cellStyle name="Normal 6 3 3 18" xfId="14211" xr:uid="{00000000-0005-0000-0000-0000453D0000}"/>
    <cellStyle name="Normal 6 3 3 18 2" xfId="14212" xr:uid="{00000000-0005-0000-0000-0000463D0000}"/>
    <cellStyle name="Normal 6 3 3 19" xfId="14213" xr:uid="{00000000-0005-0000-0000-0000473D0000}"/>
    <cellStyle name="Normal 6 3 3 19 2" xfId="14214" xr:uid="{00000000-0005-0000-0000-0000483D0000}"/>
    <cellStyle name="Normal 6 3 3 2" xfId="14215" xr:uid="{00000000-0005-0000-0000-0000493D0000}"/>
    <cellStyle name="Normal 6 3 3 2 2" xfId="14216" xr:uid="{00000000-0005-0000-0000-00004A3D0000}"/>
    <cellStyle name="Normal 6 3 3 20" xfId="14217" xr:uid="{00000000-0005-0000-0000-00004B3D0000}"/>
    <cellStyle name="Normal 6 3 3 20 2" xfId="14218" xr:uid="{00000000-0005-0000-0000-00004C3D0000}"/>
    <cellStyle name="Normal 6 3 3 21" xfId="14219" xr:uid="{00000000-0005-0000-0000-00004D3D0000}"/>
    <cellStyle name="Normal 6 3 3 21 2" xfId="14220" xr:uid="{00000000-0005-0000-0000-00004E3D0000}"/>
    <cellStyle name="Normal 6 3 3 22" xfId="14221" xr:uid="{00000000-0005-0000-0000-00004F3D0000}"/>
    <cellStyle name="Normal 6 3 3 22 2" xfId="14222" xr:uid="{00000000-0005-0000-0000-0000503D0000}"/>
    <cellStyle name="Normal 6 3 3 23" xfId="14223" xr:uid="{00000000-0005-0000-0000-0000513D0000}"/>
    <cellStyle name="Normal 6 3 3 23 2" xfId="14224" xr:uid="{00000000-0005-0000-0000-0000523D0000}"/>
    <cellStyle name="Normal 6 3 3 24" xfId="14225" xr:uid="{00000000-0005-0000-0000-0000533D0000}"/>
    <cellStyle name="Normal 6 3 3 24 2" xfId="14226" xr:uid="{00000000-0005-0000-0000-0000543D0000}"/>
    <cellStyle name="Normal 6 3 3 25" xfId="14227" xr:uid="{00000000-0005-0000-0000-0000553D0000}"/>
    <cellStyle name="Normal 6 3 3 25 2" xfId="14228" xr:uid="{00000000-0005-0000-0000-0000563D0000}"/>
    <cellStyle name="Normal 6 3 3 26" xfId="14229" xr:uid="{00000000-0005-0000-0000-0000573D0000}"/>
    <cellStyle name="Normal 6 3 3 26 2" xfId="14230" xr:uid="{00000000-0005-0000-0000-0000583D0000}"/>
    <cellStyle name="Normal 6 3 3 27" xfId="14231" xr:uid="{00000000-0005-0000-0000-0000593D0000}"/>
    <cellStyle name="Normal 6 3 3 27 2" xfId="14232" xr:uid="{00000000-0005-0000-0000-00005A3D0000}"/>
    <cellStyle name="Normal 6 3 3 28" xfId="14233" xr:uid="{00000000-0005-0000-0000-00005B3D0000}"/>
    <cellStyle name="Normal 6 3 3 28 2" xfId="14234" xr:uid="{00000000-0005-0000-0000-00005C3D0000}"/>
    <cellStyle name="Normal 6 3 3 29" xfId="14235" xr:uid="{00000000-0005-0000-0000-00005D3D0000}"/>
    <cellStyle name="Normal 6 3 3 29 2" xfId="14236" xr:uid="{00000000-0005-0000-0000-00005E3D0000}"/>
    <cellStyle name="Normal 6 3 3 3" xfId="14237" xr:uid="{00000000-0005-0000-0000-00005F3D0000}"/>
    <cellStyle name="Normal 6 3 3 3 2" xfId="14238" xr:uid="{00000000-0005-0000-0000-0000603D0000}"/>
    <cellStyle name="Normal 6 3 3 30" xfId="14239" xr:uid="{00000000-0005-0000-0000-0000613D0000}"/>
    <cellStyle name="Normal 6 3 3 30 2" xfId="14240" xr:uid="{00000000-0005-0000-0000-0000623D0000}"/>
    <cellStyle name="Normal 6 3 3 31" xfId="14241" xr:uid="{00000000-0005-0000-0000-0000633D0000}"/>
    <cellStyle name="Normal 6 3 3 31 2" xfId="14242" xr:uid="{00000000-0005-0000-0000-0000643D0000}"/>
    <cellStyle name="Normal 6 3 3 32" xfId="14243" xr:uid="{00000000-0005-0000-0000-0000653D0000}"/>
    <cellStyle name="Normal 6 3 3 32 2" xfId="14244" xr:uid="{00000000-0005-0000-0000-0000663D0000}"/>
    <cellStyle name="Normal 6 3 3 33" xfId="14245" xr:uid="{00000000-0005-0000-0000-0000673D0000}"/>
    <cellStyle name="Normal 6 3 3 33 2" xfId="14246" xr:uid="{00000000-0005-0000-0000-0000683D0000}"/>
    <cellStyle name="Normal 6 3 3 34" xfId="14247" xr:uid="{00000000-0005-0000-0000-0000693D0000}"/>
    <cellStyle name="Normal 6 3 3 34 2" xfId="14248" xr:uid="{00000000-0005-0000-0000-00006A3D0000}"/>
    <cellStyle name="Normal 6 3 3 35" xfId="14249" xr:uid="{00000000-0005-0000-0000-00006B3D0000}"/>
    <cellStyle name="Normal 6 3 3 4" xfId="14250" xr:uid="{00000000-0005-0000-0000-00006C3D0000}"/>
    <cellStyle name="Normal 6 3 3 4 2" xfId="14251" xr:uid="{00000000-0005-0000-0000-00006D3D0000}"/>
    <cellStyle name="Normal 6 3 3 5" xfId="14252" xr:uid="{00000000-0005-0000-0000-00006E3D0000}"/>
    <cellStyle name="Normal 6 3 3 5 2" xfId="14253" xr:uid="{00000000-0005-0000-0000-00006F3D0000}"/>
    <cellStyle name="Normal 6 3 3 6" xfId="14254" xr:uid="{00000000-0005-0000-0000-0000703D0000}"/>
    <cellStyle name="Normal 6 3 3 6 2" xfId="14255" xr:uid="{00000000-0005-0000-0000-0000713D0000}"/>
    <cellStyle name="Normal 6 3 3 7" xfId="14256" xr:uid="{00000000-0005-0000-0000-0000723D0000}"/>
    <cellStyle name="Normal 6 3 3 7 2" xfId="14257" xr:uid="{00000000-0005-0000-0000-0000733D0000}"/>
    <cellStyle name="Normal 6 3 3 8" xfId="14258" xr:uid="{00000000-0005-0000-0000-0000743D0000}"/>
    <cellStyle name="Normal 6 3 3 8 2" xfId="14259" xr:uid="{00000000-0005-0000-0000-0000753D0000}"/>
    <cellStyle name="Normal 6 3 3 9" xfId="14260" xr:uid="{00000000-0005-0000-0000-0000763D0000}"/>
    <cellStyle name="Normal 6 3 3 9 2" xfId="14261" xr:uid="{00000000-0005-0000-0000-0000773D0000}"/>
    <cellStyle name="Normal 6 3 30" xfId="14262" xr:uid="{00000000-0005-0000-0000-0000783D0000}"/>
    <cellStyle name="Normal 6 3 30 2" xfId="14263" xr:uid="{00000000-0005-0000-0000-0000793D0000}"/>
    <cellStyle name="Normal 6 3 31" xfId="14264" xr:uid="{00000000-0005-0000-0000-00007A3D0000}"/>
    <cellStyle name="Normal 6 3 31 2" xfId="14265" xr:uid="{00000000-0005-0000-0000-00007B3D0000}"/>
    <cellStyle name="Normal 6 3 32" xfId="14266" xr:uid="{00000000-0005-0000-0000-00007C3D0000}"/>
    <cellStyle name="Normal 6 3 32 2" xfId="14267" xr:uid="{00000000-0005-0000-0000-00007D3D0000}"/>
    <cellStyle name="Normal 6 3 33" xfId="14268" xr:uid="{00000000-0005-0000-0000-00007E3D0000}"/>
    <cellStyle name="Normal 6 3 33 2" xfId="14269" xr:uid="{00000000-0005-0000-0000-00007F3D0000}"/>
    <cellStyle name="Normal 6 3 34" xfId="14270" xr:uid="{00000000-0005-0000-0000-0000803D0000}"/>
    <cellStyle name="Normal 6 3 34 2" xfId="14271" xr:uid="{00000000-0005-0000-0000-0000813D0000}"/>
    <cellStyle name="Normal 6 3 35" xfId="14272" xr:uid="{00000000-0005-0000-0000-0000823D0000}"/>
    <cellStyle name="Normal 6 3 35 2" xfId="14273" xr:uid="{00000000-0005-0000-0000-0000833D0000}"/>
    <cellStyle name="Normal 6 3 36" xfId="14274" xr:uid="{00000000-0005-0000-0000-0000843D0000}"/>
    <cellStyle name="Normal 6 3 36 2" xfId="14275" xr:uid="{00000000-0005-0000-0000-0000853D0000}"/>
    <cellStyle name="Normal 6 3 37" xfId="14276" xr:uid="{00000000-0005-0000-0000-0000863D0000}"/>
    <cellStyle name="Normal 6 3 37 2" xfId="14277" xr:uid="{00000000-0005-0000-0000-0000873D0000}"/>
    <cellStyle name="Normal 6 3 38" xfId="14278" xr:uid="{00000000-0005-0000-0000-0000883D0000}"/>
    <cellStyle name="Normal 6 3 38 2" xfId="14279" xr:uid="{00000000-0005-0000-0000-0000893D0000}"/>
    <cellStyle name="Normal 6 3 39" xfId="14280" xr:uid="{00000000-0005-0000-0000-00008A3D0000}"/>
    <cellStyle name="Normal 6 3 39 2" xfId="14281" xr:uid="{00000000-0005-0000-0000-00008B3D0000}"/>
    <cellStyle name="Normal 6 3 4" xfId="14282" xr:uid="{00000000-0005-0000-0000-00008C3D0000}"/>
    <cellStyle name="Normal 6 3 4 2" xfId="14283" xr:uid="{00000000-0005-0000-0000-00008D3D0000}"/>
    <cellStyle name="Normal 6 3 4 2 2" xfId="14284" xr:uid="{00000000-0005-0000-0000-00008E3D0000}"/>
    <cellStyle name="Normal 6 3 4 3" xfId="14285" xr:uid="{00000000-0005-0000-0000-00008F3D0000}"/>
    <cellStyle name="Normal 6 3 4 3 2" xfId="14286" xr:uid="{00000000-0005-0000-0000-0000903D0000}"/>
    <cellStyle name="Normal 6 3 4 4" xfId="14287" xr:uid="{00000000-0005-0000-0000-0000913D0000}"/>
    <cellStyle name="Normal 6 3 4 4 2" xfId="14288" xr:uid="{00000000-0005-0000-0000-0000923D0000}"/>
    <cellStyle name="Normal 6 3 4 5" xfId="14289" xr:uid="{00000000-0005-0000-0000-0000933D0000}"/>
    <cellStyle name="Normal 6 3 4 5 2" xfId="14290" xr:uid="{00000000-0005-0000-0000-0000943D0000}"/>
    <cellStyle name="Normal 6 3 4 6" xfId="14291" xr:uid="{00000000-0005-0000-0000-0000953D0000}"/>
    <cellStyle name="Normal 6 3 40" xfId="14292" xr:uid="{00000000-0005-0000-0000-0000963D0000}"/>
    <cellStyle name="Normal 6 3 40 2" xfId="14293" xr:uid="{00000000-0005-0000-0000-0000973D0000}"/>
    <cellStyle name="Normal 6 3 41" xfId="14294" xr:uid="{00000000-0005-0000-0000-0000983D0000}"/>
    <cellStyle name="Normal 6 3 41 2" xfId="14295" xr:uid="{00000000-0005-0000-0000-0000993D0000}"/>
    <cellStyle name="Normal 6 3 42" xfId="14296" xr:uid="{00000000-0005-0000-0000-00009A3D0000}"/>
    <cellStyle name="Normal 6 3 42 2" xfId="14297" xr:uid="{00000000-0005-0000-0000-00009B3D0000}"/>
    <cellStyle name="Normal 6 3 43" xfId="14298" xr:uid="{00000000-0005-0000-0000-00009C3D0000}"/>
    <cellStyle name="Normal 6 3 43 2" xfId="14299" xr:uid="{00000000-0005-0000-0000-00009D3D0000}"/>
    <cellStyle name="Normal 6 3 44" xfId="14300" xr:uid="{00000000-0005-0000-0000-00009E3D0000}"/>
    <cellStyle name="Normal 6 3 44 2" xfId="14301" xr:uid="{00000000-0005-0000-0000-00009F3D0000}"/>
    <cellStyle name="Normal 6 3 45" xfId="14302" xr:uid="{00000000-0005-0000-0000-0000A03D0000}"/>
    <cellStyle name="Normal 6 3 45 2" xfId="14303" xr:uid="{00000000-0005-0000-0000-0000A13D0000}"/>
    <cellStyle name="Normal 6 3 46" xfId="14304" xr:uid="{00000000-0005-0000-0000-0000A23D0000}"/>
    <cellStyle name="Normal 6 3 46 2" xfId="14305" xr:uid="{00000000-0005-0000-0000-0000A33D0000}"/>
    <cellStyle name="Normal 6 3 47" xfId="14306" xr:uid="{00000000-0005-0000-0000-0000A43D0000}"/>
    <cellStyle name="Normal 6 3 48" xfId="14088" xr:uid="{00000000-0005-0000-0000-0000A53D0000}"/>
    <cellStyle name="Normal 6 3 5" xfId="14307" xr:uid="{00000000-0005-0000-0000-0000A63D0000}"/>
    <cellStyle name="Normal 6 3 5 2" xfId="14308" xr:uid="{00000000-0005-0000-0000-0000A73D0000}"/>
    <cellStyle name="Normal 6 3 6" xfId="14309" xr:uid="{00000000-0005-0000-0000-0000A83D0000}"/>
    <cellStyle name="Normal 6 3 6 2" xfId="14310" xr:uid="{00000000-0005-0000-0000-0000A93D0000}"/>
    <cellStyle name="Normal 6 3 7" xfId="14311" xr:uid="{00000000-0005-0000-0000-0000AA3D0000}"/>
    <cellStyle name="Normal 6 3 7 2" xfId="14312" xr:uid="{00000000-0005-0000-0000-0000AB3D0000}"/>
    <cellStyle name="Normal 6 3 8" xfId="14313" xr:uid="{00000000-0005-0000-0000-0000AC3D0000}"/>
    <cellStyle name="Normal 6 3 8 2" xfId="14314" xr:uid="{00000000-0005-0000-0000-0000AD3D0000}"/>
    <cellStyle name="Normal 6 3 9" xfId="14315" xr:uid="{00000000-0005-0000-0000-0000AE3D0000}"/>
    <cellStyle name="Normal 6 3 9 2" xfId="14316" xr:uid="{00000000-0005-0000-0000-0000AF3D0000}"/>
    <cellStyle name="Normal 6 30" xfId="14317" xr:uid="{00000000-0005-0000-0000-0000B03D0000}"/>
    <cellStyle name="Normal 6 30 2" xfId="14318" xr:uid="{00000000-0005-0000-0000-0000B13D0000}"/>
    <cellStyle name="Normal 6 31" xfId="14319" xr:uid="{00000000-0005-0000-0000-0000B23D0000}"/>
    <cellStyle name="Normal 6 31 2" xfId="14320" xr:uid="{00000000-0005-0000-0000-0000B33D0000}"/>
    <cellStyle name="Normal 6 32" xfId="14321" xr:uid="{00000000-0005-0000-0000-0000B43D0000}"/>
    <cellStyle name="Normal 6 32 2" xfId="14322" xr:uid="{00000000-0005-0000-0000-0000B53D0000}"/>
    <cellStyle name="Normal 6 33" xfId="14323" xr:uid="{00000000-0005-0000-0000-0000B63D0000}"/>
    <cellStyle name="Normal 6 33 2" xfId="14324" xr:uid="{00000000-0005-0000-0000-0000B73D0000}"/>
    <cellStyle name="Normal 6 34" xfId="14325" xr:uid="{00000000-0005-0000-0000-0000B83D0000}"/>
    <cellStyle name="Normal 6 34 2" xfId="14326" xr:uid="{00000000-0005-0000-0000-0000B93D0000}"/>
    <cellStyle name="Normal 6 35" xfId="14327" xr:uid="{00000000-0005-0000-0000-0000BA3D0000}"/>
    <cellStyle name="Normal 6 35 2" xfId="14328" xr:uid="{00000000-0005-0000-0000-0000BB3D0000}"/>
    <cellStyle name="Normal 6 36" xfId="14329" xr:uid="{00000000-0005-0000-0000-0000BC3D0000}"/>
    <cellStyle name="Normal 6 36 2" xfId="14330" xr:uid="{00000000-0005-0000-0000-0000BD3D0000}"/>
    <cellStyle name="Normal 6 37" xfId="14331" xr:uid="{00000000-0005-0000-0000-0000BE3D0000}"/>
    <cellStyle name="Normal 6 37 2" xfId="14332" xr:uid="{00000000-0005-0000-0000-0000BF3D0000}"/>
    <cellStyle name="Normal 6 38" xfId="14333" xr:uid="{00000000-0005-0000-0000-0000C03D0000}"/>
    <cellStyle name="Normal 6 38 2" xfId="14334" xr:uid="{00000000-0005-0000-0000-0000C13D0000}"/>
    <cellStyle name="Normal 6 39" xfId="14335" xr:uid="{00000000-0005-0000-0000-0000C23D0000}"/>
    <cellStyle name="Normal 6 39 2" xfId="14336" xr:uid="{00000000-0005-0000-0000-0000C33D0000}"/>
    <cellStyle name="Normal 6 4" xfId="393" xr:uid="{00000000-0005-0000-0000-0000C43D0000}"/>
    <cellStyle name="Normal 6 4 10" xfId="14337" xr:uid="{00000000-0005-0000-0000-0000C53D0000}"/>
    <cellStyle name="Normal 6 4 10 2" xfId="14338" xr:uid="{00000000-0005-0000-0000-0000C63D0000}"/>
    <cellStyle name="Normal 6 4 11" xfId="14339" xr:uid="{00000000-0005-0000-0000-0000C73D0000}"/>
    <cellStyle name="Normal 6 4 11 2" xfId="14340" xr:uid="{00000000-0005-0000-0000-0000C83D0000}"/>
    <cellStyle name="Normal 6 4 12" xfId="14341" xr:uid="{00000000-0005-0000-0000-0000C93D0000}"/>
    <cellStyle name="Normal 6 4 12 2" xfId="14342" xr:uid="{00000000-0005-0000-0000-0000CA3D0000}"/>
    <cellStyle name="Normal 6 4 13" xfId="14343" xr:uid="{00000000-0005-0000-0000-0000CB3D0000}"/>
    <cellStyle name="Normal 6 4 13 2" xfId="14344" xr:uid="{00000000-0005-0000-0000-0000CC3D0000}"/>
    <cellStyle name="Normal 6 4 14" xfId="14345" xr:uid="{00000000-0005-0000-0000-0000CD3D0000}"/>
    <cellStyle name="Normal 6 4 14 2" xfId="14346" xr:uid="{00000000-0005-0000-0000-0000CE3D0000}"/>
    <cellStyle name="Normal 6 4 15" xfId="14347" xr:uid="{00000000-0005-0000-0000-0000CF3D0000}"/>
    <cellStyle name="Normal 6 4 15 2" xfId="14348" xr:uid="{00000000-0005-0000-0000-0000D03D0000}"/>
    <cellStyle name="Normal 6 4 16" xfId="14349" xr:uid="{00000000-0005-0000-0000-0000D13D0000}"/>
    <cellStyle name="Normal 6 4 16 2" xfId="14350" xr:uid="{00000000-0005-0000-0000-0000D23D0000}"/>
    <cellStyle name="Normal 6 4 17" xfId="14351" xr:uid="{00000000-0005-0000-0000-0000D33D0000}"/>
    <cellStyle name="Normal 6 4 17 2" xfId="14352" xr:uid="{00000000-0005-0000-0000-0000D43D0000}"/>
    <cellStyle name="Normal 6 4 18" xfId="14353" xr:uid="{00000000-0005-0000-0000-0000D53D0000}"/>
    <cellStyle name="Normal 6 4 18 2" xfId="14354" xr:uid="{00000000-0005-0000-0000-0000D63D0000}"/>
    <cellStyle name="Normal 6 4 19" xfId="14355" xr:uid="{00000000-0005-0000-0000-0000D73D0000}"/>
    <cellStyle name="Normal 6 4 19 2" xfId="14356" xr:uid="{00000000-0005-0000-0000-0000D83D0000}"/>
    <cellStyle name="Normal 6 4 2" xfId="394" xr:uid="{00000000-0005-0000-0000-0000D93D0000}"/>
    <cellStyle name="Normal 6 4 2 10" xfId="14357" xr:uid="{00000000-0005-0000-0000-0000DA3D0000}"/>
    <cellStyle name="Normal 6 4 2 10 2" xfId="14358" xr:uid="{00000000-0005-0000-0000-0000DB3D0000}"/>
    <cellStyle name="Normal 6 4 2 11" xfId="14359" xr:uid="{00000000-0005-0000-0000-0000DC3D0000}"/>
    <cellStyle name="Normal 6 4 2 11 2" xfId="14360" xr:uid="{00000000-0005-0000-0000-0000DD3D0000}"/>
    <cellStyle name="Normal 6 4 2 12" xfId="14361" xr:uid="{00000000-0005-0000-0000-0000DE3D0000}"/>
    <cellStyle name="Normal 6 4 2 12 2" xfId="14362" xr:uid="{00000000-0005-0000-0000-0000DF3D0000}"/>
    <cellStyle name="Normal 6 4 2 13" xfId="14363" xr:uid="{00000000-0005-0000-0000-0000E03D0000}"/>
    <cellStyle name="Normal 6 4 2 13 2" xfId="14364" xr:uid="{00000000-0005-0000-0000-0000E13D0000}"/>
    <cellStyle name="Normal 6 4 2 14" xfId="14365" xr:uid="{00000000-0005-0000-0000-0000E23D0000}"/>
    <cellStyle name="Normal 6 4 2 14 2" xfId="14366" xr:uid="{00000000-0005-0000-0000-0000E33D0000}"/>
    <cellStyle name="Normal 6 4 2 15" xfId="14367" xr:uid="{00000000-0005-0000-0000-0000E43D0000}"/>
    <cellStyle name="Normal 6 4 2 15 2" xfId="14368" xr:uid="{00000000-0005-0000-0000-0000E53D0000}"/>
    <cellStyle name="Normal 6 4 2 16" xfId="14369" xr:uid="{00000000-0005-0000-0000-0000E63D0000}"/>
    <cellStyle name="Normal 6 4 2 16 2" xfId="14370" xr:uid="{00000000-0005-0000-0000-0000E73D0000}"/>
    <cellStyle name="Normal 6 4 2 17" xfId="14371" xr:uid="{00000000-0005-0000-0000-0000E83D0000}"/>
    <cellStyle name="Normal 6 4 2 17 2" xfId="14372" xr:uid="{00000000-0005-0000-0000-0000E93D0000}"/>
    <cellStyle name="Normal 6 4 2 18" xfId="14373" xr:uid="{00000000-0005-0000-0000-0000EA3D0000}"/>
    <cellStyle name="Normal 6 4 2 18 2" xfId="14374" xr:uid="{00000000-0005-0000-0000-0000EB3D0000}"/>
    <cellStyle name="Normal 6 4 2 19" xfId="14375" xr:uid="{00000000-0005-0000-0000-0000EC3D0000}"/>
    <cellStyle name="Normal 6 4 2 19 2" xfId="14376" xr:uid="{00000000-0005-0000-0000-0000ED3D0000}"/>
    <cellStyle name="Normal 6 4 2 2" xfId="395" xr:uid="{00000000-0005-0000-0000-0000EE3D0000}"/>
    <cellStyle name="Normal 6 4 2 2 2" xfId="14377" xr:uid="{00000000-0005-0000-0000-0000EF3D0000}"/>
    <cellStyle name="Normal 6 4 2 20" xfId="14378" xr:uid="{00000000-0005-0000-0000-0000F03D0000}"/>
    <cellStyle name="Normal 6 4 2 20 2" xfId="14379" xr:uid="{00000000-0005-0000-0000-0000F13D0000}"/>
    <cellStyle name="Normal 6 4 2 21" xfId="14380" xr:uid="{00000000-0005-0000-0000-0000F23D0000}"/>
    <cellStyle name="Normal 6 4 2 21 2" xfId="14381" xr:uid="{00000000-0005-0000-0000-0000F33D0000}"/>
    <cellStyle name="Normal 6 4 2 22" xfId="14382" xr:uid="{00000000-0005-0000-0000-0000F43D0000}"/>
    <cellStyle name="Normal 6 4 2 22 2" xfId="14383" xr:uid="{00000000-0005-0000-0000-0000F53D0000}"/>
    <cellStyle name="Normal 6 4 2 23" xfId="14384" xr:uid="{00000000-0005-0000-0000-0000F63D0000}"/>
    <cellStyle name="Normal 6 4 2 23 2" xfId="14385" xr:uid="{00000000-0005-0000-0000-0000F73D0000}"/>
    <cellStyle name="Normal 6 4 2 24" xfId="14386" xr:uid="{00000000-0005-0000-0000-0000F83D0000}"/>
    <cellStyle name="Normal 6 4 2 24 2" xfId="14387" xr:uid="{00000000-0005-0000-0000-0000F93D0000}"/>
    <cellStyle name="Normal 6 4 2 25" xfId="14388" xr:uid="{00000000-0005-0000-0000-0000FA3D0000}"/>
    <cellStyle name="Normal 6 4 2 25 2" xfId="14389" xr:uid="{00000000-0005-0000-0000-0000FB3D0000}"/>
    <cellStyle name="Normal 6 4 2 26" xfId="14390" xr:uid="{00000000-0005-0000-0000-0000FC3D0000}"/>
    <cellStyle name="Normal 6 4 2 3" xfId="14391" xr:uid="{00000000-0005-0000-0000-0000FD3D0000}"/>
    <cellStyle name="Normal 6 4 2 3 2" xfId="14392" xr:uid="{00000000-0005-0000-0000-0000FE3D0000}"/>
    <cellStyle name="Normal 6 4 2 4" xfId="14393" xr:uid="{00000000-0005-0000-0000-0000FF3D0000}"/>
    <cellStyle name="Normal 6 4 2 4 2" xfId="14394" xr:uid="{00000000-0005-0000-0000-0000003E0000}"/>
    <cellStyle name="Normal 6 4 2 5" xfId="14395" xr:uid="{00000000-0005-0000-0000-0000013E0000}"/>
    <cellStyle name="Normal 6 4 2 5 2" xfId="14396" xr:uid="{00000000-0005-0000-0000-0000023E0000}"/>
    <cellStyle name="Normal 6 4 2 6" xfId="14397" xr:uid="{00000000-0005-0000-0000-0000033E0000}"/>
    <cellStyle name="Normal 6 4 2 6 2" xfId="14398" xr:uid="{00000000-0005-0000-0000-0000043E0000}"/>
    <cellStyle name="Normal 6 4 2 7" xfId="14399" xr:uid="{00000000-0005-0000-0000-0000053E0000}"/>
    <cellStyle name="Normal 6 4 2 7 2" xfId="14400" xr:uid="{00000000-0005-0000-0000-0000063E0000}"/>
    <cellStyle name="Normal 6 4 2 8" xfId="14401" xr:uid="{00000000-0005-0000-0000-0000073E0000}"/>
    <cellStyle name="Normal 6 4 2 8 2" xfId="14402" xr:uid="{00000000-0005-0000-0000-0000083E0000}"/>
    <cellStyle name="Normal 6 4 2 9" xfId="14403" xr:uid="{00000000-0005-0000-0000-0000093E0000}"/>
    <cellStyle name="Normal 6 4 2 9 2" xfId="14404" xr:uid="{00000000-0005-0000-0000-00000A3E0000}"/>
    <cellStyle name="Normal 6 4 20" xfId="14405" xr:uid="{00000000-0005-0000-0000-00000B3E0000}"/>
    <cellStyle name="Normal 6 4 20 2" xfId="14406" xr:uid="{00000000-0005-0000-0000-00000C3E0000}"/>
    <cellStyle name="Normal 6 4 21" xfId="14407" xr:uid="{00000000-0005-0000-0000-00000D3E0000}"/>
    <cellStyle name="Normal 6 4 21 2" xfId="14408" xr:uid="{00000000-0005-0000-0000-00000E3E0000}"/>
    <cellStyle name="Normal 6 4 22" xfId="14409" xr:uid="{00000000-0005-0000-0000-00000F3E0000}"/>
    <cellStyle name="Normal 6 4 22 2" xfId="14410" xr:uid="{00000000-0005-0000-0000-0000103E0000}"/>
    <cellStyle name="Normal 6 4 23" xfId="14411" xr:uid="{00000000-0005-0000-0000-0000113E0000}"/>
    <cellStyle name="Normal 6 4 23 2" xfId="14412" xr:uid="{00000000-0005-0000-0000-0000123E0000}"/>
    <cellStyle name="Normal 6 4 24" xfId="14413" xr:uid="{00000000-0005-0000-0000-0000133E0000}"/>
    <cellStyle name="Normal 6 4 24 2" xfId="14414" xr:uid="{00000000-0005-0000-0000-0000143E0000}"/>
    <cellStyle name="Normal 6 4 25" xfId="14415" xr:uid="{00000000-0005-0000-0000-0000153E0000}"/>
    <cellStyle name="Normal 6 4 25 2" xfId="14416" xr:uid="{00000000-0005-0000-0000-0000163E0000}"/>
    <cellStyle name="Normal 6 4 26" xfId="14417" xr:uid="{00000000-0005-0000-0000-0000173E0000}"/>
    <cellStyle name="Normal 6 4 26 2" xfId="14418" xr:uid="{00000000-0005-0000-0000-0000183E0000}"/>
    <cellStyle name="Normal 6 4 27" xfId="14419" xr:uid="{00000000-0005-0000-0000-0000193E0000}"/>
    <cellStyle name="Normal 6 4 27 2" xfId="14420" xr:uid="{00000000-0005-0000-0000-00001A3E0000}"/>
    <cellStyle name="Normal 6 4 28" xfId="14421" xr:uid="{00000000-0005-0000-0000-00001B3E0000}"/>
    <cellStyle name="Normal 6 4 28 2" xfId="14422" xr:uid="{00000000-0005-0000-0000-00001C3E0000}"/>
    <cellStyle name="Normal 6 4 29" xfId="14423" xr:uid="{00000000-0005-0000-0000-00001D3E0000}"/>
    <cellStyle name="Normal 6 4 29 2" xfId="14424" xr:uid="{00000000-0005-0000-0000-00001E3E0000}"/>
    <cellStyle name="Normal 6 4 3" xfId="396" xr:uid="{00000000-0005-0000-0000-00001F3E0000}"/>
    <cellStyle name="Normal 6 4 3 2" xfId="14425" xr:uid="{00000000-0005-0000-0000-0000203E0000}"/>
    <cellStyle name="Normal 6 4 3 2 2" xfId="14426" xr:uid="{00000000-0005-0000-0000-0000213E0000}"/>
    <cellStyle name="Normal 6 4 3 3" xfId="14427" xr:uid="{00000000-0005-0000-0000-0000223E0000}"/>
    <cellStyle name="Normal 6 4 3 3 2" xfId="14428" xr:uid="{00000000-0005-0000-0000-0000233E0000}"/>
    <cellStyle name="Normal 6 4 3 4" xfId="14429" xr:uid="{00000000-0005-0000-0000-0000243E0000}"/>
    <cellStyle name="Normal 6 4 3 4 2" xfId="14430" xr:uid="{00000000-0005-0000-0000-0000253E0000}"/>
    <cellStyle name="Normal 6 4 3 5" xfId="14431" xr:uid="{00000000-0005-0000-0000-0000263E0000}"/>
    <cellStyle name="Normal 6 4 3 5 2" xfId="14432" xr:uid="{00000000-0005-0000-0000-0000273E0000}"/>
    <cellStyle name="Normal 6 4 3 6" xfId="14433" xr:uid="{00000000-0005-0000-0000-0000283E0000}"/>
    <cellStyle name="Normal 6 4 30" xfId="14434" xr:uid="{00000000-0005-0000-0000-0000293E0000}"/>
    <cellStyle name="Normal 6 4 30 2" xfId="14435" xr:uid="{00000000-0005-0000-0000-00002A3E0000}"/>
    <cellStyle name="Normal 6 4 31" xfId="14436" xr:uid="{00000000-0005-0000-0000-00002B3E0000}"/>
    <cellStyle name="Normal 6 4 31 2" xfId="14437" xr:uid="{00000000-0005-0000-0000-00002C3E0000}"/>
    <cellStyle name="Normal 6 4 32" xfId="14438" xr:uid="{00000000-0005-0000-0000-00002D3E0000}"/>
    <cellStyle name="Normal 6 4 32 2" xfId="14439" xr:uid="{00000000-0005-0000-0000-00002E3E0000}"/>
    <cellStyle name="Normal 6 4 33" xfId="14440" xr:uid="{00000000-0005-0000-0000-00002F3E0000}"/>
    <cellStyle name="Normal 6 4 33 2" xfId="14441" xr:uid="{00000000-0005-0000-0000-0000303E0000}"/>
    <cellStyle name="Normal 6 4 34" xfId="14442" xr:uid="{00000000-0005-0000-0000-0000313E0000}"/>
    <cellStyle name="Normal 6 4 34 2" xfId="14443" xr:uid="{00000000-0005-0000-0000-0000323E0000}"/>
    <cellStyle name="Normal 6 4 35" xfId="14444" xr:uid="{00000000-0005-0000-0000-0000333E0000}"/>
    <cellStyle name="Normal 6 4 35 2" xfId="14445" xr:uid="{00000000-0005-0000-0000-0000343E0000}"/>
    <cellStyle name="Normal 6 4 36" xfId="14446" xr:uid="{00000000-0005-0000-0000-0000353E0000}"/>
    <cellStyle name="Normal 6 4 36 2" xfId="14447" xr:uid="{00000000-0005-0000-0000-0000363E0000}"/>
    <cellStyle name="Normal 6 4 37" xfId="14448" xr:uid="{00000000-0005-0000-0000-0000373E0000}"/>
    <cellStyle name="Normal 6 4 37 2" xfId="14449" xr:uid="{00000000-0005-0000-0000-0000383E0000}"/>
    <cellStyle name="Normal 6 4 38" xfId="14450" xr:uid="{00000000-0005-0000-0000-0000393E0000}"/>
    <cellStyle name="Normal 6 4 38 2" xfId="14451" xr:uid="{00000000-0005-0000-0000-00003A3E0000}"/>
    <cellStyle name="Normal 6 4 39" xfId="14452" xr:uid="{00000000-0005-0000-0000-00003B3E0000}"/>
    <cellStyle name="Normal 6 4 39 2" xfId="14453" xr:uid="{00000000-0005-0000-0000-00003C3E0000}"/>
    <cellStyle name="Normal 6 4 4" xfId="14454" xr:uid="{00000000-0005-0000-0000-00003D3E0000}"/>
    <cellStyle name="Normal 6 4 4 2" xfId="14455" xr:uid="{00000000-0005-0000-0000-00003E3E0000}"/>
    <cellStyle name="Normal 6 4 4 2 2" xfId="14456" xr:uid="{00000000-0005-0000-0000-00003F3E0000}"/>
    <cellStyle name="Normal 6 4 4 3" xfId="14457" xr:uid="{00000000-0005-0000-0000-0000403E0000}"/>
    <cellStyle name="Normal 6 4 4 3 2" xfId="14458" xr:uid="{00000000-0005-0000-0000-0000413E0000}"/>
    <cellStyle name="Normal 6 4 4 4" xfId="14459" xr:uid="{00000000-0005-0000-0000-0000423E0000}"/>
    <cellStyle name="Normal 6 4 4 4 2" xfId="14460" xr:uid="{00000000-0005-0000-0000-0000433E0000}"/>
    <cellStyle name="Normal 6 4 4 5" xfId="14461" xr:uid="{00000000-0005-0000-0000-0000443E0000}"/>
    <cellStyle name="Normal 6 4 4 5 2" xfId="14462" xr:uid="{00000000-0005-0000-0000-0000453E0000}"/>
    <cellStyle name="Normal 6 4 4 6" xfId="14463" xr:uid="{00000000-0005-0000-0000-0000463E0000}"/>
    <cellStyle name="Normal 6 4 40" xfId="14464" xr:uid="{00000000-0005-0000-0000-0000473E0000}"/>
    <cellStyle name="Normal 6 4 40 2" xfId="14465" xr:uid="{00000000-0005-0000-0000-0000483E0000}"/>
    <cellStyle name="Normal 6 4 41" xfId="14466" xr:uid="{00000000-0005-0000-0000-0000493E0000}"/>
    <cellStyle name="Normal 6 4 41 2" xfId="14467" xr:uid="{00000000-0005-0000-0000-00004A3E0000}"/>
    <cellStyle name="Normal 6 4 42" xfId="14468" xr:uid="{00000000-0005-0000-0000-00004B3E0000}"/>
    <cellStyle name="Normal 6 4 42 2" xfId="14469" xr:uid="{00000000-0005-0000-0000-00004C3E0000}"/>
    <cellStyle name="Normal 6 4 43" xfId="14470" xr:uid="{00000000-0005-0000-0000-00004D3E0000}"/>
    <cellStyle name="Normal 6 4 43 2" xfId="14471" xr:uid="{00000000-0005-0000-0000-00004E3E0000}"/>
    <cellStyle name="Normal 6 4 44" xfId="14472" xr:uid="{00000000-0005-0000-0000-00004F3E0000}"/>
    <cellStyle name="Normal 6 4 44 2" xfId="14473" xr:uid="{00000000-0005-0000-0000-0000503E0000}"/>
    <cellStyle name="Normal 6 4 45" xfId="14474" xr:uid="{00000000-0005-0000-0000-0000513E0000}"/>
    <cellStyle name="Normal 6 4 45 2" xfId="14475" xr:uid="{00000000-0005-0000-0000-0000523E0000}"/>
    <cellStyle name="Normal 6 4 46" xfId="14476" xr:uid="{00000000-0005-0000-0000-0000533E0000}"/>
    <cellStyle name="Normal 6 4 5" xfId="14477" xr:uid="{00000000-0005-0000-0000-0000543E0000}"/>
    <cellStyle name="Normal 6 4 5 2" xfId="14478" xr:uid="{00000000-0005-0000-0000-0000553E0000}"/>
    <cellStyle name="Normal 6 4 6" xfId="14479" xr:uid="{00000000-0005-0000-0000-0000563E0000}"/>
    <cellStyle name="Normal 6 4 6 2" xfId="14480" xr:uid="{00000000-0005-0000-0000-0000573E0000}"/>
    <cellStyle name="Normal 6 4 7" xfId="14481" xr:uid="{00000000-0005-0000-0000-0000583E0000}"/>
    <cellStyle name="Normal 6 4 7 2" xfId="14482" xr:uid="{00000000-0005-0000-0000-0000593E0000}"/>
    <cellStyle name="Normal 6 4 8" xfId="14483" xr:uid="{00000000-0005-0000-0000-00005A3E0000}"/>
    <cellStyle name="Normal 6 4 8 2" xfId="14484" xr:uid="{00000000-0005-0000-0000-00005B3E0000}"/>
    <cellStyle name="Normal 6 4 9" xfId="14485" xr:uid="{00000000-0005-0000-0000-00005C3E0000}"/>
    <cellStyle name="Normal 6 4 9 2" xfId="14486" xr:uid="{00000000-0005-0000-0000-00005D3E0000}"/>
    <cellStyle name="Normal 6 40" xfId="14487" xr:uid="{00000000-0005-0000-0000-00005E3E0000}"/>
    <cellStyle name="Normal 6 40 2" xfId="14488" xr:uid="{00000000-0005-0000-0000-00005F3E0000}"/>
    <cellStyle name="Normal 6 41" xfId="14489" xr:uid="{00000000-0005-0000-0000-0000603E0000}"/>
    <cellStyle name="Normal 6 41 2" xfId="14490" xr:uid="{00000000-0005-0000-0000-0000613E0000}"/>
    <cellStyle name="Normal 6 42" xfId="14491" xr:uid="{00000000-0005-0000-0000-0000623E0000}"/>
    <cellStyle name="Normal 6 42 2" xfId="14492" xr:uid="{00000000-0005-0000-0000-0000633E0000}"/>
    <cellStyle name="Normal 6 43" xfId="14493" xr:uid="{00000000-0005-0000-0000-0000643E0000}"/>
    <cellStyle name="Normal 6 43 2" xfId="14494" xr:uid="{00000000-0005-0000-0000-0000653E0000}"/>
    <cellStyle name="Normal 6 44" xfId="14495" xr:uid="{00000000-0005-0000-0000-0000663E0000}"/>
    <cellStyle name="Normal 6 44 2" xfId="14496" xr:uid="{00000000-0005-0000-0000-0000673E0000}"/>
    <cellStyle name="Normal 6 45" xfId="14497" xr:uid="{00000000-0005-0000-0000-0000683E0000}"/>
    <cellStyle name="Normal 6 45 2" xfId="14498" xr:uid="{00000000-0005-0000-0000-0000693E0000}"/>
    <cellStyle name="Normal 6 46" xfId="14499" xr:uid="{00000000-0005-0000-0000-00006A3E0000}"/>
    <cellStyle name="Normal 6 46 2" xfId="14500" xr:uid="{00000000-0005-0000-0000-00006B3E0000}"/>
    <cellStyle name="Normal 6 47" xfId="14501" xr:uid="{00000000-0005-0000-0000-00006C3E0000}"/>
    <cellStyle name="Normal 6 47 2" xfId="14502" xr:uid="{00000000-0005-0000-0000-00006D3E0000}"/>
    <cellStyle name="Normal 6 48" xfId="14503" xr:uid="{00000000-0005-0000-0000-00006E3E0000}"/>
    <cellStyle name="Normal 6 48 2" xfId="14504" xr:uid="{00000000-0005-0000-0000-00006F3E0000}"/>
    <cellStyle name="Normal 6 49" xfId="14505" xr:uid="{00000000-0005-0000-0000-0000703E0000}"/>
    <cellStyle name="Normal 6 49 2" xfId="14506" xr:uid="{00000000-0005-0000-0000-0000713E0000}"/>
    <cellStyle name="Normal 6 5" xfId="397" xr:uid="{00000000-0005-0000-0000-0000723E0000}"/>
    <cellStyle name="Normal 6 5 10" xfId="14508" xr:uid="{00000000-0005-0000-0000-0000733E0000}"/>
    <cellStyle name="Normal 6 5 10 2" xfId="14509" xr:uid="{00000000-0005-0000-0000-0000743E0000}"/>
    <cellStyle name="Normal 6 5 11" xfId="14510" xr:uid="{00000000-0005-0000-0000-0000753E0000}"/>
    <cellStyle name="Normal 6 5 11 2" xfId="14511" xr:uid="{00000000-0005-0000-0000-0000763E0000}"/>
    <cellStyle name="Normal 6 5 12" xfId="14512" xr:uid="{00000000-0005-0000-0000-0000773E0000}"/>
    <cellStyle name="Normal 6 5 12 2" xfId="14513" xr:uid="{00000000-0005-0000-0000-0000783E0000}"/>
    <cellStyle name="Normal 6 5 13" xfId="14514" xr:uid="{00000000-0005-0000-0000-0000793E0000}"/>
    <cellStyle name="Normal 6 5 13 2" xfId="14515" xr:uid="{00000000-0005-0000-0000-00007A3E0000}"/>
    <cellStyle name="Normal 6 5 14" xfId="14516" xr:uid="{00000000-0005-0000-0000-00007B3E0000}"/>
    <cellStyle name="Normal 6 5 14 2" xfId="14517" xr:uid="{00000000-0005-0000-0000-00007C3E0000}"/>
    <cellStyle name="Normal 6 5 15" xfId="14518" xr:uid="{00000000-0005-0000-0000-00007D3E0000}"/>
    <cellStyle name="Normal 6 5 15 2" xfId="14519" xr:uid="{00000000-0005-0000-0000-00007E3E0000}"/>
    <cellStyle name="Normal 6 5 16" xfId="14520" xr:uid="{00000000-0005-0000-0000-00007F3E0000}"/>
    <cellStyle name="Normal 6 5 16 2" xfId="14521" xr:uid="{00000000-0005-0000-0000-0000803E0000}"/>
    <cellStyle name="Normal 6 5 17" xfId="14522" xr:uid="{00000000-0005-0000-0000-0000813E0000}"/>
    <cellStyle name="Normal 6 5 17 2" xfId="14523" xr:uid="{00000000-0005-0000-0000-0000823E0000}"/>
    <cellStyle name="Normal 6 5 18" xfId="14524" xr:uid="{00000000-0005-0000-0000-0000833E0000}"/>
    <cellStyle name="Normal 6 5 18 2" xfId="14525" xr:uid="{00000000-0005-0000-0000-0000843E0000}"/>
    <cellStyle name="Normal 6 5 19" xfId="14526" xr:uid="{00000000-0005-0000-0000-0000853E0000}"/>
    <cellStyle name="Normal 6 5 19 2" xfId="14527" xr:uid="{00000000-0005-0000-0000-0000863E0000}"/>
    <cellStyle name="Normal 6 5 2" xfId="398" xr:uid="{00000000-0005-0000-0000-0000873E0000}"/>
    <cellStyle name="Normal 6 5 2 10" xfId="14528" xr:uid="{00000000-0005-0000-0000-0000883E0000}"/>
    <cellStyle name="Normal 6 5 2 10 2" xfId="14529" xr:uid="{00000000-0005-0000-0000-0000893E0000}"/>
    <cellStyle name="Normal 6 5 2 11" xfId="14530" xr:uid="{00000000-0005-0000-0000-00008A3E0000}"/>
    <cellStyle name="Normal 6 5 2 11 2" xfId="14531" xr:uid="{00000000-0005-0000-0000-00008B3E0000}"/>
    <cellStyle name="Normal 6 5 2 12" xfId="14532" xr:uid="{00000000-0005-0000-0000-00008C3E0000}"/>
    <cellStyle name="Normal 6 5 2 12 2" xfId="14533" xr:uid="{00000000-0005-0000-0000-00008D3E0000}"/>
    <cellStyle name="Normal 6 5 2 13" xfId="14534" xr:uid="{00000000-0005-0000-0000-00008E3E0000}"/>
    <cellStyle name="Normal 6 5 2 13 2" xfId="14535" xr:uid="{00000000-0005-0000-0000-00008F3E0000}"/>
    <cellStyle name="Normal 6 5 2 14" xfId="14536" xr:uid="{00000000-0005-0000-0000-0000903E0000}"/>
    <cellStyle name="Normal 6 5 2 14 2" xfId="14537" xr:uid="{00000000-0005-0000-0000-0000913E0000}"/>
    <cellStyle name="Normal 6 5 2 15" xfId="14538" xr:uid="{00000000-0005-0000-0000-0000923E0000}"/>
    <cellStyle name="Normal 6 5 2 15 2" xfId="14539" xr:uid="{00000000-0005-0000-0000-0000933E0000}"/>
    <cellStyle name="Normal 6 5 2 16" xfId="14540" xr:uid="{00000000-0005-0000-0000-0000943E0000}"/>
    <cellStyle name="Normal 6 5 2 16 2" xfId="14541" xr:uid="{00000000-0005-0000-0000-0000953E0000}"/>
    <cellStyle name="Normal 6 5 2 17" xfId="14542" xr:uid="{00000000-0005-0000-0000-0000963E0000}"/>
    <cellStyle name="Normal 6 5 2 2" xfId="14543" xr:uid="{00000000-0005-0000-0000-0000973E0000}"/>
    <cellStyle name="Normal 6 5 2 2 2" xfId="14544" xr:uid="{00000000-0005-0000-0000-0000983E0000}"/>
    <cellStyle name="Normal 6 5 2 3" xfId="14545" xr:uid="{00000000-0005-0000-0000-0000993E0000}"/>
    <cellStyle name="Normal 6 5 2 3 2" xfId="14546" xr:uid="{00000000-0005-0000-0000-00009A3E0000}"/>
    <cellStyle name="Normal 6 5 2 4" xfId="14547" xr:uid="{00000000-0005-0000-0000-00009B3E0000}"/>
    <cellStyle name="Normal 6 5 2 4 2" xfId="14548" xr:uid="{00000000-0005-0000-0000-00009C3E0000}"/>
    <cellStyle name="Normal 6 5 2 5" xfId="14549" xr:uid="{00000000-0005-0000-0000-00009D3E0000}"/>
    <cellStyle name="Normal 6 5 2 5 2" xfId="14550" xr:uid="{00000000-0005-0000-0000-00009E3E0000}"/>
    <cellStyle name="Normal 6 5 2 6" xfId="14551" xr:uid="{00000000-0005-0000-0000-00009F3E0000}"/>
    <cellStyle name="Normal 6 5 2 6 2" xfId="14552" xr:uid="{00000000-0005-0000-0000-0000A03E0000}"/>
    <cellStyle name="Normal 6 5 2 7" xfId="14553" xr:uid="{00000000-0005-0000-0000-0000A13E0000}"/>
    <cellStyle name="Normal 6 5 2 7 2" xfId="14554" xr:uid="{00000000-0005-0000-0000-0000A23E0000}"/>
    <cellStyle name="Normal 6 5 2 8" xfId="14555" xr:uid="{00000000-0005-0000-0000-0000A33E0000}"/>
    <cellStyle name="Normal 6 5 2 8 2" xfId="14556" xr:uid="{00000000-0005-0000-0000-0000A43E0000}"/>
    <cellStyle name="Normal 6 5 2 9" xfId="14557" xr:uid="{00000000-0005-0000-0000-0000A53E0000}"/>
    <cellStyle name="Normal 6 5 2 9 2" xfId="14558" xr:uid="{00000000-0005-0000-0000-0000A63E0000}"/>
    <cellStyle name="Normal 6 5 20" xfId="14559" xr:uid="{00000000-0005-0000-0000-0000A73E0000}"/>
    <cellStyle name="Normal 6 5 20 2" xfId="14560" xr:uid="{00000000-0005-0000-0000-0000A83E0000}"/>
    <cellStyle name="Normal 6 5 21" xfId="14561" xr:uid="{00000000-0005-0000-0000-0000A93E0000}"/>
    <cellStyle name="Normal 6 5 21 2" xfId="14562" xr:uid="{00000000-0005-0000-0000-0000AA3E0000}"/>
    <cellStyle name="Normal 6 5 22" xfId="14563" xr:uid="{00000000-0005-0000-0000-0000AB3E0000}"/>
    <cellStyle name="Normal 6 5 22 2" xfId="14564" xr:uid="{00000000-0005-0000-0000-0000AC3E0000}"/>
    <cellStyle name="Normal 6 5 23" xfId="14565" xr:uid="{00000000-0005-0000-0000-0000AD3E0000}"/>
    <cellStyle name="Normal 6 5 23 2" xfId="14566" xr:uid="{00000000-0005-0000-0000-0000AE3E0000}"/>
    <cellStyle name="Normal 6 5 24" xfId="14567" xr:uid="{00000000-0005-0000-0000-0000AF3E0000}"/>
    <cellStyle name="Normal 6 5 24 2" xfId="14568" xr:uid="{00000000-0005-0000-0000-0000B03E0000}"/>
    <cellStyle name="Normal 6 5 25" xfId="14569" xr:uid="{00000000-0005-0000-0000-0000B13E0000}"/>
    <cellStyle name="Normal 6 5 25 2" xfId="14570" xr:uid="{00000000-0005-0000-0000-0000B23E0000}"/>
    <cellStyle name="Normal 6 5 26" xfId="14571" xr:uid="{00000000-0005-0000-0000-0000B33E0000}"/>
    <cellStyle name="Normal 6 5 26 2" xfId="14572" xr:uid="{00000000-0005-0000-0000-0000B43E0000}"/>
    <cellStyle name="Normal 6 5 27" xfId="14573" xr:uid="{00000000-0005-0000-0000-0000B53E0000}"/>
    <cellStyle name="Normal 6 5 27 2" xfId="14574" xr:uid="{00000000-0005-0000-0000-0000B63E0000}"/>
    <cellStyle name="Normal 6 5 28" xfId="14575" xr:uid="{00000000-0005-0000-0000-0000B73E0000}"/>
    <cellStyle name="Normal 6 5 28 2" xfId="14576" xr:uid="{00000000-0005-0000-0000-0000B83E0000}"/>
    <cellStyle name="Normal 6 5 29" xfId="14577" xr:uid="{00000000-0005-0000-0000-0000B93E0000}"/>
    <cellStyle name="Normal 6 5 29 2" xfId="14578" xr:uid="{00000000-0005-0000-0000-0000BA3E0000}"/>
    <cellStyle name="Normal 6 5 3" xfId="14579" xr:uid="{00000000-0005-0000-0000-0000BB3E0000}"/>
    <cellStyle name="Normal 6 5 3 2" xfId="14580" xr:uid="{00000000-0005-0000-0000-0000BC3E0000}"/>
    <cellStyle name="Normal 6 5 30" xfId="14581" xr:uid="{00000000-0005-0000-0000-0000BD3E0000}"/>
    <cellStyle name="Normal 6 5 30 2" xfId="14582" xr:uid="{00000000-0005-0000-0000-0000BE3E0000}"/>
    <cellStyle name="Normal 6 5 31" xfId="14583" xr:uid="{00000000-0005-0000-0000-0000BF3E0000}"/>
    <cellStyle name="Normal 6 5 31 2" xfId="14584" xr:uid="{00000000-0005-0000-0000-0000C03E0000}"/>
    <cellStyle name="Normal 6 5 32" xfId="14585" xr:uid="{00000000-0005-0000-0000-0000C13E0000}"/>
    <cellStyle name="Normal 6 5 32 2" xfId="14586" xr:uid="{00000000-0005-0000-0000-0000C23E0000}"/>
    <cellStyle name="Normal 6 5 33" xfId="14587" xr:uid="{00000000-0005-0000-0000-0000C33E0000}"/>
    <cellStyle name="Normal 6 5 33 2" xfId="14588" xr:uid="{00000000-0005-0000-0000-0000C43E0000}"/>
    <cellStyle name="Normal 6 5 34" xfId="14589" xr:uid="{00000000-0005-0000-0000-0000C53E0000}"/>
    <cellStyle name="Normal 6 5 34 2" xfId="14590" xr:uid="{00000000-0005-0000-0000-0000C63E0000}"/>
    <cellStyle name="Normal 6 5 35" xfId="14591" xr:uid="{00000000-0005-0000-0000-0000C73E0000}"/>
    <cellStyle name="Normal 6 5 35 2" xfId="14592" xr:uid="{00000000-0005-0000-0000-0000C83E0000}"/>
    <cellStyle name="Normal 6 5 36" xfId="14593" xr:uid="{00000000-0005-0000-0000-0000C93E0000}"/>
    <cellStyle name="Normal 6 5 37" xfId="14507" xr:uid="{00000000-0005-0000-0000-0000CA3E0000}"/>
    <cellStyle name="Normal 6 5 38" xfId="27109" xr:uid="{00000000-0005-0000-0000-0000CB3E0000}"/>
    <cellStyle name="Normal 6 5 4" xfId="14594" xr:uid="{00000000-0005-0000-0000-0000CC3E0000}"/>
    <cellStyle name="Normal 6 5 4 2" xfId="14595" xr:uid="{00000000-0005-0000-0000-0000CD3E0000}"/>
    <cellStyle name="Normal 6 5 5" xfId="14596" xr:uid="{00000000-0005-0000-0000-0000CE3E0000}"/>
    <cellStyle name="Normal 6 5 5 2" xfId="14597" xr:uid="{00000000-0005-0000-0000-0000CF3E0000}"/>
    <cellStyle name="Normal 6 5 6" xfId="14598" xr:uid="{00000000-0005-0000-0000-0000D03E0000}"/>
    <cellStyle name="Normal 6 5 6 2" xfId="14599" xr:uid="{00000000-0005-0000-0000-0000D13E0000}"/>
    <cellStyle name="Normal 6 5 7" xfId="14600" xr:uid="{00000000-0005-0000-0000-0000D23E0000}"/>
    <cellStyle name="Normal 6 5 7 2" xfId="14601" xr:uid="{00000000-0005-0000-0000-0000D33E0000}"/>
    <cellStyle name="Normal 6 5 8" xfId="14602" xr:uid="{00000000-0005-0000-0000-0000D43E0000}"/>
    <cellStyle name="Normal 6 5 8 2" xfId="14603" xr:uid="{00000000-0005-0000-0000-0000D53E0000}"/>
    <cellStyle name="Normal 6 5 9" xfId="14604" xr:uid="{00000000-0005-0000-0000-0000D63E0000}"/>
    <cellStyle name="Normal 6 5 9 2" xfId="14605" xr:uid="{00000000-0005-0000-0000-0000D73E0000}"/>
    <cellStyle name="Normal 6 50" xfId="14606" xr:uid="{00000000-0005-0000-0000-0000D83E0000}"/>
    <cellStyle name="Normal 6 50 2" xfId="14607" xr:uid="{00000000-0005-0000-0000-0000D93E0000}"/>
    <cellStyle name="Normal 6 51" xfId="14608" xr:uid="{00000000-0005-0000-0000-0000DA3E0000}"/>
    <cellStyle name="Normal 6 51 2" xfId="14609" xr:uid="{00000000-0005-0000-0000-0000DB3E0000}"/>
    <cellStyle name="Normal 6 52" xfId="14610" xr:uid="{00000000-0005-0000-0000-0000DC3E0000}"/>
    <cellStyle name="Normal 6 6" xfId="399" xr:uid="{00000000-0005-0000-0000-0000DD3E0000}"/>
    <cellStyle name="Normal 6 6 10" xfId="14612" xr:uid="{00000000-0005-0000-0000-0000DE3E0000}"/>
    <cellStyle name="Normal 6 6 10 2" xfId="14613" xr:uid="{00000000-0005-0000-0000-0000DF3E0000}"/>
    <cellStyle name="Normal 6 6 11" xfId="14614" xr:uid="{00000000-0005-0000-0000-0000E03E0000}"/>
    <cellStyle name="Normal 6 6 11 2" xfId="14615" xr:uid="{00000000-0005-0000-0000-0000E13E0000}"/>
    <cellStyle name="Normal 6 6 12" xfId="14616" xr:uid="{00000000-0005-0000-0000-0000E23E0000}"/>
    <cellStyle name="Normal 6 6 12 2" xfId="14617" xr:uid="{00000000-0005-0000-0000-0000E33E0000}"/>
    <cellStyle name="Normal 6 6 13" xfId="14618" xr:uid="{00000000-0005-0000-0000-0000E43E0000}"/>
    <cellStyle name="Normal 6 6 13 2" xfId="14619" xr:uid="{00000000-0005-0000-0000-0000E53E0000}"/>
    <cellStyle name="Normal 6 6 14" xfId="14620" xr:uid="{00000000-0005-0000-0000-0000E63E0000}"/>
    <cellStyle name="Normal 6 6 14 2" xfId="14621" xr:uid="{00000000-0005-0000-0000-0000E73E0000}"/>
    <cellStyle name="Normal 6 6 15" xfId="14622" xr:uid="{00000000-0005-0000-0000-0000E83E0000}"/>
    <cellStyle name="Normal 6 6 15 2" xfId="14623" xr:uid="{00000000-0005-0000-0000-0000E93E0000}"/>
    <cellStyle name="Normal 6 6 16" xfId="14624" xr:uid="{00000000-0005-0000-0000-0000EA3E0000}"/>
    <cellStyle name="Normal 6 6 16 2" xfId="14625" xr:uid="{00000000-0005-0000-0000-0000EB3E0000}"/>
    <cellStyle name="Normal 6 6 17" xfId="14626" xr:uid="{00000000-0005-0000-0000-0000EC3E0000}"/>
    <cellStyle name="Normal 6 6 17 2" xfId="14627" xr:uid="{00000000-0005-0000-0000-0000ED3E0000}"/>
    <cellStyle name="Normal 6 6 18" xfId="14628" xr:uid="{00000000-0005-0000-0000-0000EE3E0000}"/>
    <cellStyle name="Normal 6 6 18 2" xfId="14629" xr:uid="{00000000-0005-0000-0000-0000EF3E0000}"/>
    <cellStyle name="Normal 6 6 19" xfId="14630" xr:uid="{00000000-0005-0000-0000-0000F03E0000}"/>
    <cellStyle name="Normal 6 6 19 2" xfId="14631" xr:uid="{00000000-0005-0000-0000-0000F13E0000}"/>
    <cellStyle name="Normal 6 6 2" xfId="14632" xr:uid="{00000000-0005-0000-0000-0000F23E0000}"/>
    <cellStyle name="Normal 6 6 2 10" xfId="14633" xr:uid="{00000000-0005-0000-0000-0000F33E0000}"/>
    <cellStyle name="Normal 6 6 2 10 2" xfId="14634" xr:uid="{00000000-0005-0000-0000-0000F43E0000}"/>
    <cellStyle name="Normal 6 6 2 11" xfId="14635" xr:uid="{00000000-0005-0000-0000-0000F53E0000}"/>
    <cellStyle name="Normal 6 6 2 11 2" xfId="14636" xr:uid="{00000000-0005-0000-0000-0000F63E0000}"/>
    <cellStyle name="Normal 6 6 2 12" xfId="14637" xr:uid="{00000000-0005-0000-0000-0000F73E0000}"/>
    <cellStyle name="Normal 6 6 2 12 2" xfId="14638" xr:uid="{00000000-0005-0000-0000-0000F83E0000}"/>
    <cellStyle name="Normal 6 6 2 13" xfId="14639" xr:uid="{00000000-0005-0000-0000-0000F93E0000}"/>
    <cellStyle name="Normal 6 6 2 13 2" xfId="14640" xr:uid="{00000000-0005-0000-0000-0000FA3E0000}"/>
    <cellStyle name="Normal 6 6 2 14" xfId="14641" xr:uid="{00000000-0005-0000-0000-0000FB3E0000}"/>
    <cellStyle name="Normal 6 6 2 14 2" xfId="14642" xr:uid="{00000000-0005-0000-0000-0000FC3E0000}"/>
    <cellStyle name="Normal 6 6 2 15" xfId="14643" xr:uid="{00000000-0005-0000-0000-0000FD3E0000}"/>
    <cellStyle name="Normal 6 6 2 15 2" xfId="14644" xr:uid="{00000000-0005-0000-0000-0000FE3E0000}"/>
    <cellStyle name="Normal 6 6 2 16" xfId="14645" xr:uid="{00000000-0005-0000-0000-0000FF3E0000}"/>
    <cellStyle name="Normal 6 6 2 16 2" xfId="14646" xr:uid="{00000000-0005-0000-0000-0000003F0000}"/>
    <cellStyle name="Normal 6 6 2 17" xfId="14647" xr:uid="{00000000-0005-0000-0000-0000013F0000}"/>
    <cellStyle name="Normal 6 6 2 2" xfId="14648" xr:uid="{00000000-0005-0000-0000-0000023F0000}"/>
    <cellStyle name="Normal 6 6 2 2 2" xfId="14649" xr:uid="{00000000-0005-0000-0000-0000033F0000}"/>
    <cellStyle name="Normal 6 6 2 3" xfId="14650" xr:uid="{00000000-0005-0000-0000-0000043F0000}"/>
    <cellStyle name="Normal 6 6 2 3 2" xfId="14651" xr:uid="{00000000-0005-0000-0000-0000053F0000}"/>
    <cellStyle name="Normal 6 6 2 4" xfId="14652" xr:uid="{00000000-0005-0000-0000-0000063F0000}"/>
    <cellStyle name="Normal 6 6 2 4 2" xfId="14653" xr:uid="{00000000-0005-0000-0000-0000073F0000}"/>
    <cellStyle name="Normal 6 6 2 5" xfId="14654" xr:uid="{00000000-0005-0000-0000-0000083F0000}"/>
    <cellStyle name="Normal 6 6 2 5 2" xfId="14655" xr:uid="{00000000-0005-0000-0000-0000093F0000}"/>
    <cellStyle name="Normal 6 6 2 6" xfId="14656" xr:uid="{00000000-0005-0000-0000-00000A3F0000}"/>
    <cellStyle name="Normal 6 6 2 6 2" xfId="14657" xr:uid="{00000000-0005-0000-0000-00000B3F0000}"/>
    <cellStyle name="Normal 6 6 2 7" xfId="14658" xr:uid="{00000000-0005-0000-0000-00000C3F0000}"/>
    <cellStyle name="Normal 6 6 2 7 2" xfId="14659" xr:uid="{00000000-0005-0000-0000-00000D3F0000}"/>
    <cellStyle name="Normal 6 6 2 8" xfId="14660" xr:uid="{00000000-0005-0000-0000-00000E3F0000}"/>
    <cellStyle name="Normal 6 6 2 8 2" xfId="14661" xr:uid="{00000000-0005-0000-0000-00000F3F0000}"/>
    <cellStyle name="Normal 6 6 2 9" xfId="14662" xr:uid="{00000000-0005-0000-0000-0000103F0000}"/>
    <cellStyle name="Normal 6 6 2 9 2" xfId="14663" xr:uid="{00000000-0005-0000-0000-0000113F0000}"/>
    <cellStyle name="Normal 6 6 20" xfId="14664" xr:uid="{00000000-0005-0000-0000-0000123F0000}"/>
    <cellStyle name="Normal 6 6 20 2" xfId="14665" xr:uid="{00000000-0005-0000-0000-0000133F0000}"/>
    <cellStyle name="Normal 6 6 21" xfId="14666" xr:uid="{00000000-0005-0000-0000-0000143F0000}"/>
    <cellStyle name="Normal 6 6 21 2" xfId="14667" xr:uid="{00000000-0005-0000-0000-0000153F0000}"/>
    <cellStyle name="Normal 6 6 22" xfId="14668" xr:uid="{00000000-0005-0000-0000-0000163F0000}"/>
    <cellStyle name="Normal 6 6 22 2" xfId="14669" xr:uid="{00000000-0005-0000-0000-0000173F0000}"/>
    <cellStyle name="Normal 6 6 23" xfId="14670" xr:uid="{00000000-0005-0000-0000-0000183F0000}"/>
    <cellStyle name="Normal 6 6 23 2" xfId="14671" xr:uid="{00000000-0005-0000-0000-0000193F0000}"/>
    <cellStyle name="Normal 6 6 24" xfId="14672" xr:uid="{00000000-0005-0000-0000-00001A3F0000}"/>
    <cellStyle name="Normal 6 6 24 2" xfId="14673" xr:uid="{00000000-0005-0000-0000-00001B3F0000}"/>
    <cellStyle name="Normal 6 6 25" xfId="14674" xr:uid="{00000000-0005-0000-0000-00001C3F0000}"/>
    <cellStyle name="Normal 6 6 25 2" xfId="14675" xr:uid="{00000000-0005-0000-0000-00001D3F0000}"/>
    <cellStyle name="Normal 6 6 26" xfId="14676" xr:uid="{00000000-0005-0000-0000-00001E3F0000}"/>
    <cellStyle name="Normal 6 6 26 2" xfId="14677" xr:uid="{00000000-0005-0000-0000-00001F3F0000}"/>
    <cellStyle name="Normal 6 6 27" xfId="14678" xr:uid="{00000000-0005-0000-0000-0000203F0000}"/>
    <cellStyle name="Normal 6 6 28" xfId="14611" xr:uid="{00000000-0005-0000-0000-0000213F0000}"/>
    <cellStyle name="Normal 6 6 3" xfId="14679" xr:uid="{00000000-0005-0000-0000-0000223F0000}"/>
    <cellStyle name="Normal 6 6 3 2" xfId="14680" xr:uid="{00000000-0005-0000-0000-0000233F0000}"/>
    <cellStyle name="Normal 6 6 4" xfId="14681" xr:uid="{00000000-0005-0000-0000-0000243F0000}"/>
    <cellStyle name="Normal 6 6 4 2" xfId="14682" xr:uid="{00000000-0005-0000-0000-0000253F0000}"/>
    <cellStyle name="Normal 6 6 5" xfId="14683" xr:uid="{00000000-0005-0000-0000-0000263F0000}"/>
    <cellStyle name="Normal 6 6 5 2" xfId="14684" xr:uid="{00000000-0005-0000-0000-0000273F0000}"/>
    <cellStyle name="Normal 6 6 6" xfId="14685" xr:uid="{00000000-0005-0000-0000-0000283F0000}"/>
    <cellStyle name="Normal 6 6 6 2" xfId="14686" xr:uid="{00000000-0005-0000-0000-0000293F0000}"/>
    <cellStyle name="Normal 6 6 7" xfId="14687" xr:uid="{00000000-0005-0000-0000-00002A3F0000}"/>
    <cellStyle name="Normal 6 6 7 2" xfId="14688" xr:uid="{00000000-0005-0000-0000-00002B3F0000}"/>
    <cellStyle name="Normal 6 6 8" xfId="14689" xr:uid="{00000000-0005-0000-0000-00002C3F0000}"/>
    <cellStyle name="Normal 6 6 8 2" xfId="14690" xr:uid="{00000000-0005-0000-0000-00002D3F0000}"/>
    <cellStyle name="Normal 6 6 9" xfId="14691" xr:uid="{00000000-0005-0000-0000-00002E3F0000}"/>
    <cellStyle name="Normal 6 6 9 2" xfId="14692" xr:uid="{00000000-0005-0000-0000-00002F3F0000}"/>
    <cellStyle name="Normal 6 7" xfId="400" xr:uid="{00000000-0005-0000-0000-0000303F0000}"/>
    <cellStyle name="Normal 6 7 10" xfId="14694" xr:uid="{00000000-0005-0000-0000-0000313F0000}"/>
    <cellStyle name="Normal 6 7 10 2" xfId="14695" xr:uid="{00000000-0005-0000-0000-0000323F0000}"/>
    <cellStyle name="Normal 6 7 11" xfId="14696" xr:uid="{00000000-0005-0000-0000-0000333F0000}"/>
    <cellStyle name="Normal 6 7 11 2" xfId="14697" xr:uid="{00000000-0005-0000-0000-0000343F0000}"/>
    <cellStyle name="Normal 6 7 12" xfId="14698" xr:uid="{00000000-0005-0000-0000-0000353F0000}"/>
    <cellStyle name="Normal 6 7 12 2" xfId="14699" xr:uid="{00000000-0005-0000-0000-0000363F0000}"/>
    <cellStyle name="Normal 6 7 13" xfId="14700" xr:uid="{00000000-0005-0000-0000-0000373F0000}"/>
    <cellStyle name="Normal 6 7 13 2" xfId="14701" xr:uid="{00000000-0005-0000-0000-0000383F0000}"/>
    <cellStyle name="Normal 6 7 14" xfId="14702" xr:uid="{00000000-0005-0000-0000-0000393F0000}"/>
    <cellStyle name="Normal 6 7 14 2" xfId="14703" xr:uid="{00000000-0005-0000-0000-00003A3F0000}"/>
    <cellStyle name="Normal 6 7 15" xfId="14704" xr:uid="{00000000-0005-0000-0000-00003B3F0000}"/>
    <cellStyle name="Normal 6 7 15 2" xfId="14705" xr:uid="{00000000-0005-0000-0000-00003C3F0000}"/>
    <cellStyle name="Normal 6 7 16" xfId="14706" xr:uid="{00000000-0005-0000-0000-00003D3F0000}"/>
    <cellStyle name="Normal 6 7 16 2" xfId="14707" xr:uid="{00000000-0005-0000-0000-00003E3F0000}"/>
    <cellStyle name="Normal 6 7 17" xfId="14708" xr:uid="{00000000-0005-0000-0000-00003F3F0000}"/>
    <cellStyle name="Normal 6 7 17 2" xfId="14709" xr:uid="{00000000-0005-0000-0000-0000403F0000}"/>
    <cellStyle name="Normal 6 7 18" xfId="14710" xr:uid="{00000000-0005-0000-0000-0000413F0000}"/>
    <cellStyle name="Normal 6 7 18 2" xfId="14711" xr:uid="{00000000-0005-0000-0000-0000423F0000}"/>
    <cellStyle name="Normal 6 7 19" xfId="14712" xr:uid="{00000000-0005-0000-0000-0000433F0000}"/>
    <cellStyle name="Normal 6 7 19 2" xfId="14713" xr:uid="{00000000-0005-0000-0000-0000443F0000}"/>
    <cellStyle name="Normal 6 7 2" xfId="14714" xr:uid="{00000000-0005-0000-0000-0000453F0000}"/>
    <cellStyle name="Normal 6 7 2 10" xfId="14715" xr:uid="{00000000-0005-0000-0000-0000463F0000}"/>
    <cellStyle name="Normal 6 7 2 10 2" xfId="14716" xr:uid="{00000000-0005-0000-0000-0000473F0000}"/>
    <cellStyle name="Normal 6 7 2 11" xfId="14717" xr:uid="{00000000-0005-0000-0000-0000483F0000}"/>
    <cellStyle name="Normal 6 7 2 11 2" xfId="14718" xr:uid="{00000000-0005-0000-0000-0000493F0000}"/>
    <cellStyle name="Normal 6 7 2 12" xfId="14719" xr:uid="{00000000-0005-0000-0000-00004A3F0000}"/>
    <cellStyle name="Normal 6 7 2 12 2" xfId="14720" xr:uid="{00000000-0005-0000-0000-00004B3F0000}"/>
    <cellStyle name="Normal 6 7 2 13" xfId="14721" xr:uid="{00000000-0005-0000-0000-00004C3F0000}"/>
    <cellStyle name="Normal 6 7 2 13 2" xfId="14722" xr:uid="{00000000-0005-0000-0000-00004D3F0000}"/>
    <cellStyle name="Normal 6 7 2 14" xfId="14723" xr:uid="{00000000-0005-0000-0000-00004E3F0000}"/>
    <cellStyle name="Normal 6 7 2 14 2" xfId="14724" xr:uid="{00000000-0005-0000-0000-00004F3F0000}"/>
    <cellStyle name="Normal 6 7 2 15" xfId="14725" xr:uid="{00000000-0005-0000-0000-0000503F0000}"/>
    <cellStyle name="Normal 6 7 2 15 2" xfId="14726" xr:uid="{00000000-0005-0000-0000-0000513F0000}"/>
    <cellStyle name="Normal 6 7 2 16" xfId="14727" xr:uid="{00000000-0005-0000-0000-0000523F0000}"/>
    <cellStyle name="Normal 6 7 2 16 2" xfId="14728" xr:uid="{00000000-0005-0000-0000-0000533F0000}"/>
    <cellStyle name="Normal 6 7 2 17" xfId="14729" xr:uid="{00000000-0005-0000-0000-0000543F0000}"/>
    <cellStyle name="Normal 6 7 2 2" xfId="14730" xr:uid="{00000000-0005-0000-0000-0000553F0000}"/>
    <cellStyle name="Normal 6 7 2 2 2" xfId="14731" xr:uid="{00000000-0005-0000-0000-0000563F0000}"/>
    <cellStyle name="Normal 6 7 2 3" xfId="14732" xr:uid="{00000000-0005-0000-0000-0000573F0000}"/>
    <cellStyle name="Normal 6 7 2 3 2" xfId="14733" xr:uid="{00000000-0005-0000-0000-0000583F0000}"/>
    <cellStyle name="Normal 6 7 2 4" xfId="14734" xr:uid="{00000000-0005-0000-0000-0000593F0000}"/>
    <cellStyle name="Normal 6 7 2 4 2" xfId="14735" xr:uid="{00000000-0005-0000-0000-00005A3F0000}"/>
    <cellStyle name="Normal 6 7 2 5" xfId="14736" xr:uid="{00000000-0005-0000-0000-00005B3F0000}"/>
    <cellStyle name="Normal 6 7 2 5 2" xfId="14737" xr:uid="{00000000-0005-0000-0000-00005C3F0000}"/>
    <cellStyle name="Normal 6 7 2 6" xfId="14738" xr:uid="{00000000-0005-0000-0000-00005D3F0000}"/>
    <cellStyle name="Normal 6 7 2 6 2" xfId="14739" xr:uid="{00000000-0005-0000-0000-00005E3F0000}"/>
    <cellStyle name="Normal 6 7 2 7" xfId="14740" xr:uid="{00000000-0005-0000-0000-00005F3F0000}"/>
    <cellStyle name="Normal 6 7 2 7 2" xfId="14741" xr:uid="{00000000-0005-0000-0000-0000603F0000}"/>
    <cellStyle name="Normal 6 7 2 8" xfId="14742" xr:uid="{00000000-0005-0000-0000-0000613F0000}"/>
    <cellStyle name="Normal 6 7 2 8 2" xfId="14743" xr:uid="{00000000-0005-0000-0000-0000623F0000}"/>
    <cellStyle name="Normal 6 7 2 9" xfId="14744" xr:uid="{00000000-0005-0000-0000-0000633F0000}"/>
    <cellStyle name="Normal 6 7 2 9 2" xfId="14745" xr:uid="{00000000-0005-0000-0000-0000643F0000}"/>
    <cellStyle name="Normal 6 7 20" xfId="14746" xr:uid="{00000000-0005-0000-0000-0000653F0000}"/>
    <cellStyle name="Normal 6 7 20 2" xfId="14747" xr:uid="{00000000-0005-0000-0000-0000663F0000}"/>
    <cellStyle name="Normal 6 7 21" xfId="14748" xr:uid="{00000000-0005-0000-0000-0000673F0000}"/>
    <cellStyle name="Normal 6 7 21 2" xfId="14749" xr:uid="{00000000-0005-0000-0000-0000683F0000}"/>
    <cellStyle name="Normal 6 7 22" xfId="14750" xr:uid="{00000000-0005-0000-0000-0000693F0000}"/>
    <cellStyle name="Normal 6 7 22 2" xfId="14751" xr:uid="{00000000-0005-0000-0000-00006A3F0000}"/>
    <cellStyle name="Normal 6 7 23" xfId="14752" xr:uid="{00000000-0005-0000-0000-00006B3F0000}"/>
    <cellStyle name="Normal 6 7 23 2" xfId="14753" xr:uid="{00000000-0005-0000-0000-00006C3F0000}"/>
    <cellStyle name="Normal 6 7 24" xfId="14754" xr:uid="{00000000-0005-0000-0000-00006D3F0000}"/>
    <cellStyle name="Normal 6 7 24 2" xfId="14755" xr:uid="{00000000-0005-0000-0000-00006E3F0000}"/>
    <cellStyle name="Normal 6 7 25" xfId="14756" xr:uid="{00000000-0005-0000-0000-00006F3F0000}"/>
    <cellStyle name="Normal 6 7 25 2" xfId="14757" xr:uid="{00000000-0005-0000-0000-0000703F0000}"/>
    <cellStyle name="Normal 6 7 26" xfId="14758" xr:uid="{00000000-0005-0000-0000-0000713F0000}"/>
    <cellStyle name="Normal 6 7 26 2" xfId="14759" xr:uid="{00000000-0005-0000-0000-0000723F0000}"/>
    <cellStyle name="Normal 6 7 27" xfId="14760" xr:uid="{00000000-0005-0000-0000-0000733F0000}"/>
    <cellStyle name="Normal 6 7 28" xfId="14693" xr:uid="{00000000-0005-0000-0000-0000743F0000}"/>
    <cellStyle name="Normal 6 7 3" xfId="14761" xr:uid="{00000000-0005-0000-0000-0000753F0000}"/>
    <cellStyle name="Normal 6 7 3 2" xfId="14762" xr:uid="{00000000-0005-0000-0000-0000763F0000}"/>
    <cellStyle name="Normal 6 7 4" xfId="14763" xr:uid="{00000000-0005-0000-0000-0000773F0000}"/>
    <cellStyle name="Normal 6 7 4 2" xfId="14764" xr:uid="{00000000-0005-0000-0000-0000783F0000}"/>
    <cellStyle name="Normal 6 7 5" xfId="14765" xr:uid="{00000000-0005-0000-0000-0000793F0000}"/>
    <cellStyle name="Normal 6 7 5 2" xfId="14766" xr:uid="{00000000-0005-0000-0000-00007A3F0000}"/>
    <cellStyle name="Normal 6 7 6" xfId="14767" xr:uid="{00000000-0005-0000-0000-00007B3F0000}"/>
    <cellStyle name="Normal 6 7 6 2" xfId="14768" xr:uid="{00000000-0005-0000-0000-00007C3F0000}"/>
    <cellStyle name="Normal 6 7 7" xfId="14769" xr:uid="{00000000-0005-0000-0000-00007D3F0000}"/>
    <cellStyle name="Normal 6 7 7 2" xfId="14770" xr:uid="{00000000-0005-0000-0000-00007E3F0000}"/>
    <cellStyle name="Normal 6 7 8" xfId="14771" xr:uid="{00000000-0005-0000-0000-00007F3F0000}"/>
    <cellStyle name="Normal 6 7 8 2" xfId="14772" xr:uid="{00000000-0005-0000-0000-0000803F0000}"/>
    <cellStyle name="Normal 6 7 9" xfId="14773" xr:uid="{00000000-0005-0000-0000-0000813F0000}"/>
    <cellStyle name="Normal 6 7 9 2" xfId="14774" xr:uid="{00000000-0005-0000-0000-0000823F0000}"/>
    <cellStyle name="Normal 6 8" xfId="401" xr:uid="{00000000-0005-0000-0000-0000833F0000}"/>
    <cellStyle name="Normal 6 8 2" xfId="14776" xr:uid="{00000000-0005-0000-0000-0000843F0000}"/>
    <cellStyle name="Normal 6 8 3" xfId="14775" xr:uid="{00000000-0005-0000-0000-0000853F0000}"/>
    <cellStyle name="Normal 6 9" xfId="14777" xr:uid="{00000000-0005-0000-0000-0000863F0000}"/>
    <cellStyle name="Normal 6 9 2" xfId="14778" xr:uid="{00000000-0005-0000-0000-0000873F0000}"/>
    <cellStyle name="Normal 6_Dívida - Eletrobrás - contrato genérico v2" xfId="14779" xr:uid="{00000000-0005-0000-0000-0000883F0000}"/>
    <cellStyle name="Normal 60" xfId="402" xr:uid="{00000000-0005-0000-0000-0000893F0000}"/>
    <cellStyle name="Normal 60 2" xfId="403" xr:uid="{00000000-0005-0000-0000-00008A3F0000}"/>
    <cellStyle name="Normal 61" xfId="404" xr:uid="{00000000-0005-0000-0000-00008B3F0000}"/>
    <cellStyle name="Normal 61 2" xfId="405" xr:uid="{00000000-0005-0000-0000-00008C3F0000}"/>
    <cellStyle name="Normal 62" xfId="406" xr:uid="{00000000-0005-0000-0000-00008D3F0000}"/>
    <cellStyle name="Normal 62 2" xfId="407" xr:uid="{00000000-0005-0000-0000-00008E3F0000}"/>
    <cellStyle name="Normal 63" xfId="408" xr:uid="{00000000-0005-0000-0000-00008F3F0000}"/>
    <cellStyle name="Normal 63 2" xfId="409" xr:uid="{00000000-0005-0000-0000-0000903F0000}"/>
    <cellStyle name="Normal 64" xfId="410" xr:uid="{00000000-0005-0000-0000-0000913F0000}"/>
    <cellStyle name="Normal 64 2" xfId="411" xr:uid="{00000000-0005-0000-0000-0000923F0000}"/>
    <cellStyle name="Normal 65" xfId="412" xr:uid="{00000000-0005-0000-0000-0000933F0000}"/>
    <cellStyle name="Normal 65 2" xfId="413" xr:uid="{00000000-0005-0000-0000-0000943F0000}"/>
    <cellStyle name="Normal 66" xfId="414" xr:uid="{00000000-0005-0000-0000-0000953F0000}"/>
    <cellStyle name="Normal 66 2" xfId="415" xr:uid="{00000000-0005-0000-0000-0000963F0000}"/>
    <cellStyle name="Normal 67" xfId="416" xr:uid="{00000000-0005-0000-0000-0000973F0000}"/>
    <cellStyle name="Normal 68" xfId="417" xr:uid="{00000000-0005-0000-0000-0000983F0000}"/>
    <cellStyle name="Normal 69" xfId="418" xr:uid="{00000000-0005-0000-0000-0000993F0000}"/>
    <cellStyle name="Normal 7" xfId="419" xr:uid="{00000000-0005-0000-0000-00009A3F0000}"/>
    <cellStyle name="Normal 7 10" xfId="14781" xr:uid="{00000000-0005-0000-0000-00009B3F0000}"/>
    <cellStyle name="Normal 7 10 2" xfId="14782" xr:uid="{00000000-0005-0000-0000-00009C3F0000}"/>
    <cellStyle name="Normal 7 10 3" xfId="14783" xr:uid="{00000000-0005-0000-0000-00009D3F0000}"/>
    <cellStyle name="Normal 7 11" xfId="14784" xr:uid="{00000000-0005-0000-0000-00009E3F0000}"/>
    <cellStyle name="Normal 7 11 2" xfId="14785" xr:uid="{00000000-0005-0000-0000-00009F3F0000}"/>
    <cellStyle name="Normal 7 11 3" xfId="14786" xr:uid="{00000000-0005-0000-0000-0000A03F0000}"/>
    <cellStyle name="Normal 7 12" xfId="14787" xr:uid="{00000000-0005-0000-0000-0000A13F0000}"/>
    <cellStyle name="Normal 7 12 2" xfId="14788" xr:uid="{00000000-0005-0000-0000-0000A23F0000}"/>
    <cellStyle name="Normal 7 12 3" xfId="14789" xr:uid="{00000000-0005-0000-0000-0000A33F0000}"/>
    <cellStyle name="Normal 7 13" xfId="14790" xr:uid="{00000000-0005-0000-0000-0000A43F0000}"/>
    <cellStyle name="Normal 7 13 2" xfId="14791" xr:uid="{00000000-0005-0000-0000-0000A53F0000}"/>
    <cellStyle name="Normal 7 13 3" xfId="14792" xr:uid="{00000000-0005-0000-0000-0000A63F0000}"/>
    <cellStyle name="Normal 7 14" xfId="14793" xr:uid="{00000000-0005-0000-0000-0000A73F0000}"/>
    <cellStyle name="Normal 7 14 2" xfId="14794" xr:uid="{00000000-0005-0000-0000-0000A83F0000}"/>
    <cellStyle name="Normal 7 14 3" xfId="14795" xr:uid="{00000000-0005-0000-0000-0000A93F0000}"/>
    <cellStyle name="Normal 7 15" xfId="14796" xr:uid="{00000000-0005-0000-0000-0000AA3F0000}"/>
    <cellStyle name="Normal 7 15 2" xfId="14797" xr:uid="{00000000-0005-0000-0000-0000AB3F0000}"/>
    <cellStyle name="Normal 7 15 3" xfId="14798" xr:uid="{00000000-0005-0000-0000-0000AC3F0000}"/>
    <cellStyle name="Normal 7 16" xfId="14799" xr:uid="{00000000-0005-0000-0000-0000AD3F0000}"/>
    <cellStyle name="Normal 7 16 2" xfId="14800" xr:uid="{00000000-0005-0000-0000-0000AE3F0000}"/>
    <cellStyle name="Normal 7 16 3" xfId="14801" xr:uid="{00000000-0005-0000-0000-0000AF3F0000}"/>
    <cellStyle name="Normal 7 17" xfId="14802" xr:uid="{00000000-0005-0000-0000-0000B03F0000}"/>
    <cellStyle name="Normal 7 17 2" xfId="14803" xr:uid="{00000000-0005-0000-0000-0000B13F0000}"/>
    <cellStyle name="Normal 7 17 3" xfId="14804" xr:uid="{00000000-0005-0000-0000-0000B23F0000}"/>
    <cellStyle name="Normal 7 18" xfId="14805" xr:uid="{00000000-0005-0000-0000-0000B33F0000}"/>
    <cellStyle name="Normal 7 18 2" xfId="14806" xr:uid="{00000000-0005-0000-0000-0000B43F0000}"/>
    <cellStyle name="Normal 7 18 3" xfId="14807" xr:uid="{00000000-0005-0000-0000-0000B53F0000}"/>
    <cellStyle name="Normal 7 19" xfId="14808" xr:uid="{00000000-0005-0000-0000-0000B63F0000}"/>
    <cellStyle name="Normal 7 19 2" xfId="14809" xr:uid="{00000000-0005-0000-0000-0000B73F0000}"/>
    <cellStyle name="Normal 7 19 3" xfId="14810" xr:uid="{00000000-0005-0000-0000-0000B83F0000}"/>
    <cellStyle name="Normal 7 2" xfId="420" xr:uid="{00000000-0005-0000-0000-0000B93F0000}"/>
    <cellStyle name="Normal 7 2 10" xfId="14812" xr:uid="{00000000-0005-0000-0000-0000BA3F0000}"/>
    <cellStyle name="Normal 7 2 11" xfId="14813" xr:uid="{00000000-0005-0000-0000-0000BB3F0000}"/>
    <cellStyle name="Normal 7 2 12" xfId="14814" xr:uid="{00000000-0005-0000-0000-0000BC3F0000}"/>
    <cellStyle name="Normal 7 2 13" xfId="14815" xr:uid="{00000000-0005-0000-0000-0000BD3F0000}"/>
    <cellStyle name="Normal 7 2 14" xfId="14816" xr:uid="{00000000-0005-0000-0000-0000BE3F0000}"/>
    <cellStyle name="Normal 7 2 15" xfId="14817" xr:uid="{00000000-0005-0000-0000-0000BF3F0000}"/>
    <cellStyle name="Normal 7 2 16" xfId="14818" xr:uid="{00000000-0005-0000-0000-0000C03F0000}"/>
    <cellStyle name="Normal 7 2 17" xfId="14811" xr:uid="{00000000-0005-0000-0000-0000C13F0000}"/>
    <cellStyle name="Normal 7 2 2" xfId="421" xr:uid="{00000000-0005-0000-0000-0000C23F0000}"/>
    <cellStyle name="Normal 7 2 2 2" xfId="422" xr:uid="{00000000-0005-0000-0000-0000C33F0000}"/>
    <cellStyle name="Normal 7 2 2 2 2" xfId="14819" xr:uid="{00000000-0005-0000-0000-0000C43F0000}"/>
    <cellStyle name="Normal 7 2 2 3" xfId="14820" xr:uid="{00000000-0005-0000-0000-0000C53F0000}"/>
    <cellStyle name="Normal 7 2 3" xfId="423" xr:uid="{00000000-0005-0000-0000-0000C63F0000}"/>
    <cellStyle name="Normal 7 2 3 2" xfId="14821" xr:uid="{00000000-0005-0000-0000-0000C73F0000}"/>
    <cellStyle name="Normal 7 2 4" xfId="14822" xr:uid="{00000000-0005-0000-0000-0000C83F0000}"/>
    <cellStyle name="Normal 7 2 5" xfId="14823" xr:uid="{00000000-0005-0000-0000-0000C93F0000}"/>
    <cellStyle name="Normal 7 2 6" xfId="14824" xr:uid="{00000000-0005-0000-0000-0000CA3F0000}"/>
    <cellStyle name="Normal 7 2 7" xfId="14825" xr:uid="{00000000-0005-0000-0000-0000CB3F0000}"/>
    <cellStyle name="Normal 7 2 8" xfId="14826" xr:uid="{00000000-0005-0000-0000-0000CC3F0000}"/>
    <cellStyle name="Normal 7 2 9" xfId="14827" xr:uid="{00000000-0005-0000-0000-0000CD3F0000}"/>
    <cellStyle name="Normal 7 20" xfId="14828" xr:uid="{00000000-0005-0000-0000-0000CE3F0000}"/>
    <cellStyle name="Normal 7 21" xfId="14829" xr:uid="{00000000-0005-0000-0000-0000CF3F0000}"/>
    <cellStyle name="Normal 7 22" xfId="14830" xr:uid="{00000000-0005-0000-0000-0000D03F0000}"/>
    <cellStyle name="Normal 7 23" xfId="14831" xr:uid="{00000000-0005-0000-0000-0000D13F0000}"/>
    <cellStyle name="Normal 7 24" xfId="14832" xr:uid="{00000000-0005-0000-0000-0000D23F0000}"/>
    <cellStyle name="Normal 7 25" xfId="14833" xr:uid="{00000000-0005-0000-0000-0000D33F0000}"/>
    <cellStyle name="Normal 7 26" xfId="14834" xr:uid="{00000000-0005-0000-0000-0000D43F0000}"/>
    <cellStyle name="Normal 7 27" xfId="14835" xr:uid="{00000000-0005-0000-0000-0000D53F0000}"/>
    <cellStyle name="Normal 7 28" xfId="14836" xr:uid="{00000000-0005-0000-0000-0000D63F0000}"/>
    <cellStyle name="Normal 7 29" xfId="14837" xr:uid="{00000000-0005-0000-0000-0000D73F0000}"/>
    <cellStyle name="Normal 7 3" xfId="424" xr:uid="{00000000-0005-0000-0000-0000D83F0000}"/>
    <cellStyle name="Normal 7 3 2" xfId="425" xr:uid="{00000000-0005-0000-0000-0000D93F0000}"/>
    <cellStyle name="Normal 7 3 2 2" xfId="426" xr:uid="{00000000-0005-0000-0000-0000DA3F0000}"/>
    <cellStyle name="Normal 7 3 2 3" xfId="14839" xr:uid="{00000000-0005-0000-0000-0000DB3F0000}"/>
    <cellStyle name="Normal 7 3 3" xfId="427" xr:uid="{00000000-0005-0000-0000-0000DC3F0000}"/>
    <cellStyle name="Normal 7 3 4" xfId="14840" xr:uid="{00000000-0005-0000-0000-0000DD3F0000}"/>
    <cellStyle name="Normal 7 3 5" xfId="14841" xr:uid="{00000000-0005-0000-0000-0000DE3F0000}"/>
    <cellStyle name="Normal 7 3 6" xfId="14838" xr:uid="{00000000-0005-0000-0000-0000DF3F0000}"/>
    <cellStyle name="Normal 7 30" xfId="14842" xr:uid="{00000000-0005-0000-0000-0000E03F0000}"/>
    <cellStyle name="Normal 7 31" xfId="14843" xr:uid="{00000000-0005-0000-0000-0000E13F0000}"/>
    <cellStyle name="Normal 7 32" xfId="14844" xr:uid="{00000000-0005-0000-0000-0000E23F0000}"/>
    <cellStyle name="Normal 7 33" xfId="14845" xr:uid="{00000000-0005-0000-0000-0000E33F0000}"/>
    <cellStyle name="Normal 7 34" xfId="14846" xr:uid="{00000000-0005-0000-0000-0000E43F0000}"/>
    <cellStyle name="Normal 7 35" xfId="14847" xr:uid="{00000000-0005-0000-0000-0000E53F0000}"/>
    <cellStyle name="Normal 7 36" xfId="14848" xr:uid="{00000000-0005-0000-0000-0000E63F0000}"/>
    <cellStyle name="Normal 7 37" xfId="14849" xr:uid="{00000000-0005-0000-0000-0000E73F0000}"/>
    <cellStyle name="Normal 7 38" xfId="14850" xr:uid="{00000000-0005-0000-0000-0000E83F0000}"/>
    <cellStyle name="Normal 7 39" xfId="14851" xr:uid="{00000000-0005-0000-0000-0000E93F0000}"/>
    <cellStyle name="Normal 7 4" xfId="428" xr:uid="{00000000-0005-0000-0000-0000EA3F0000}"/>
    <cellStyle name="Normal 7 4 2" xfId="429" xr:uid="{00000000-0005-0000-0000-0000EB3F0000}"/>
    <cellStyle name="Normal 7 4 2 2" xfId="430" xr:uid="{00000000-0005-0000-0000-0000EC3F0000}"/>
    <cellStyle name="Normal 7 4 3" xfId="431" xr:uid="{00000000-0005-0000-0000-0000ED3F0000}"/>
    <cellStyle name="Normal 7 4 4" xfId="14853" xr:uid="{00000000-0005-0000-0000-0000EE3F0000}"/>
    <cellStyle name="Normal 7 4 5" xfId="14852" xr:uid="{00000000-0005-0000-0000-0000EF3F0000}"/>
    <cellStyle name="Normal 7 4 6" xfId="27110" xr:uid="{00000000-0005-0000-0000-0000F03F0000}"/>
    <cellStyle name="Normal 7 40" xfId="14780" xr:uid="{00000000-0005-0000-0000-0000F13F0000}"/>
    <cellStyle name="Normal 7 5" xfId="432" xr:uid="{00000000-0005-0000-0000-0000F23F0000}"/>
    <cellStyle name="Normal 7 5 10" xfId="14855" xr:uid="{00000000-0005-0000-0000-0000F33F0000}"/>
    <cellStyle name="Normal 7 5 10 2" xfId="14856" xr:uid="{00000000-0005-0000-0000-0000F43F0000}"/>
    <cellStyle name="Normal 7 5 11" xfId="14857" xr:uid="{00000000-0005-0000-0000-0000F53F0000}"/>
    <cellStyle name="Normal 7 5 11 2" xfId="14858" xr:uid="{00000000-0005-0000-0000-0000F63F0000}"/>
    <cellStyle name="Normal 7 5 12" xfId="14859" xr:uid="{00000000-0005-0000-0000-0000F73F0000}"/>
    <cellStyle name="Normal 7 5 12 2" xfId="14860" xr:uid="{00000000-0005-0000-0000-0000F83F0000}"/>
    <cellStyle name="Normal 7 5 13" xfId="14854" xr:uid="{00000000-0005-0000-0000-0000F93F0000}"/>
    <cellStyle name="Normal 7 5 2" xfId="433" xr:uid="{00000000-0005-0000-0000-0000FA3F0000}"/>
    <cellStyle name="Normal 7 5 2 10" xfId="14861" xr:uid="{00000000-0005-0000-0000-0000FB3F0000}"/>
    <cellStyle name="Normal 7 5 2 11" xfId="14862" xr:uid="{00000000-0005-0000-0000-0000FC3F0000}"/>
    <cellStyle name="Normal 7 5 2 2" xfId="14863" xr:uid="{00000000-0005-0000-0000-0000FD3F0000}"/>
    <cellStyle name="Normal 7 5 2 3" xfId="14864" xr:uid="{00000000-0005-0000-0000-0000FE3F0000}"/>
    <cellStyle name="Normal 7 5 2 4" xfId="14865" xr:uid="{00000000-0005-0000-0000-0000FF3F0000}"/>
    <cellStyle name="Normal 7 5 2 5" xfId="14866" xr:uid="{00000000-0005-0000-0000-000000400000}"/>
    <cellStyle name="Normal 7 5 2 6" xfId="14867" xr:uid="{00000000-0005-0000-0000-000001400000}"/>
    <cellStyle name="Normal 7 5 2 7" xfId="14868" xr:uid="{00000000-0005-0000-0000-000002400000}"/>
    <cellStyle name="Normal 7 5 2 8" xfId="14869" xr:uid="{00000000-0005-0000-0000-000003400000}"/>
    <cellStyle name="Normal 7 5 2 9" xfId="14870" xr:uid="{00000000-0005-0000-0000-000004400000}"/>
    <cellStyle name="Normal 7 5 3" xfId="14871" xr:uid="{00000000-0005-0000-0000-000005400000}"/>
    <cellStyle name="Normal 7 5 4" xfId="14872" xr:uid="{00000000-0005-0000-0000-000006400000}"/>
    <cellStyle name="Normal 7 5 5" xfId="14873" xr:uid="{00000000-0005-0000-0000-000007400000}"/>
    <cellStyle name="Normal 7 5 5 2" xfId="14874" xr:uid="{00000000-0005-0000-0000-000008400000}"/>
    <cellStyle name="Normal 7 5 6" xfId="14875" xr:uid="{00000000-0005-0000-0000-000009400000}"/>
    <cellStyle name="Normal 7 5 6 2" xfId="14876" xr:uid="{00000000-0005-0000-0000-00000A400000}"/>
    <cellStyle name="Normal 7 5 7" xfId="14877" xr:uid="{00000000-0005-0000-0000-00000B400000}"/>
    <cellStyle name="Normal 7 5 7 2" xfId="14878" xr:uid="{00000000-0005-0000-0000-00000C400000}"/>
    <cellStyle name="Normal 7 5 8" xfId="14879" xr:uid="{00000000-0005-0000-0000-00000D400000}"/>
    <cellStyle name="Normal 7 5 8 2" xfId="14880" xr:uid="{00000000-0005-0000-0000-00000E400000}"/>
    <cellStyle name="Normal 7 5 9" xfId="14881" xr:uid="{00000000-0005-0000-0000-00000F400000}"/>
    <cellStyle name="Normal 7 5 9 2" xfId="14882" xr:uid="{00000000-0005-0000-0000-000010400000}"/>
    <cellStyle name="Normal 7 6" xfId="434" xr:uid="{00000000-0005-0000-0000-000011400000}"/>
    <cellStyle name="Normal 7 6 2" xfId="14884" xr:uid="{00000000-0005-0000-0000-000012400000}"/>
    <cellStyle name="Normal 7 6 3" xfId="14885" xr:uid="{00000000-0005-0000-0000-000013400000}"/>
    <cellStyle name="Normal 7 6 4" xfId="14883" xr:uid="{00000000-0005-0000-0000-000014400000}"/>
    <cellStyle name="Normal 7 7" xfId="435" xr:uid="{00000000-0005-0000-0000-000015400000}"/>
    <cellStyle name="Normal 7 7 2" xfId="14887" xr:uid="{00000000-0005-0000-0000-000016400000}"/>
    <cellStyle name="Normal 7 7 2 2" xfId="14888" xr:uid="{00000000-0005-0000-0000-000017400000}"/>
    <cellStyle name="Normal 7 7 3" xfId="14889" xr:uid="{00000000-0005-0000-0000-000018400000}"/>
    <cellStyle name="Normal 7 7 3 2" xfId="14890" xr:uid="{00000000-0005-0000-0000-000019400000}"/>
    <cellStyle name="Normal 7 7 4" xfId="14891" xr:uid="{00000000-0005-0000-0000-00001A400000}"/>
    <cellStyle name="Normal 7 7 4 2" xfId="14892" xr:uid="{00000000-0005-0000-0000-00001B400000}"/>
    <cellStyle name="Normal 7 7 5" xfId="14893" xr:uid="{00000000-0005-0000-0000-00001C400000}"/>
    <cellStyle name="Normal 7 7 5 2" xfId="14894" xr:uid="{00000000-0005-0000-0000-00001D400000}"/>
    <cellStyle name="Normal 7 7 6" xfId="14895" xr:uid="{00000000-0005-0000-0000-00001E400000}"/>
    <cellStyle name="Normal 7 7 7" xfId="14886" xr:uid="{00000000-0005-0000-0000-00001F400000}"/>
    <cellStyle name="Normal 7 8" xfId="14896" xr:uid="{00000000-0005-0000-0000-000020400000}"/>
    <cellStyle name="Normal 7 8 2" xfId="14897" xr:uid="{00000000-0005-0000-0000-000021400000}"/>
    <cellStyle name="Normal 7 8 2 2" xfId="14898" xr:uid="{00000000-0005-0000-0000-000022400000}"/>
    <cellStyle name="Normal 7 8 3" xfId="14899" xr:uid="{00000000-0005-0000-0000-000023400000}"/>
    <cellStyle name="Normal 7 8 3 2" xfId="14900" xr:uid="{00000000-0005-0000-0000-000024400000}"/>
    <cellStyle name="Normal 7 8 4" xfId="14901" xr:uid="{00000000-0005-0000-0000-000025400000}"/>
    <cellStyle name="Normal 7 8 4 2" xfId="14902" xr:uid="{00000000-0005-0000-0000-000026400000}"/>
    <cellStyle name="Normal 7 8 5" xfId="14903" xr:uid="{00000000-0005-0000-0000-000027400000}"/>
    <cellStyle name="Normal 7 8 5 2" xfId="14904" xr:uid="{00000000-0005-0000-0000-000028400000}"/>
    <cellStyle name="Normal 7 8 6" xfId="14905" xr:uid="{00000000-0005-0000-0000-000029400000}"/>
    <cellStyle name="Normal 7 9" xfId="14906" xr:uid="{00000000-0005-0000-0000-00002A400000}"/>
    <cellStyle name="Normal 7 9 2" xfId="14907" xr:uid="{00000000-0005-0000-0000-00002B400000}"/>
    <cellStyle name="Normal 7 9 3" xfId="14908" xr:uid="{00000000-0005-0000-0000-00002C400000}"/>
    <cellStyle name="Normal 7_Dívida - Eletrobrás - contrato genérico v2" xfId="14909" xr:uid="{00000000-0005-0000-0000-00002D400000}"/>
    <cellStyle name="Normal 70" xfId="436" xr:uid="{00000000-0005-0000-0000-00002E400000}"/>
    <cellStyle name="Normal 71" xfId="437" xr:uid="{00000000-0005-0000-0000-00002F400000}"/>
    <cellStyle name="Normal 72" xfId="438" xr:uid="{00000000-0005-0000-0000-000030400000}"/>
    <cellStyle name="Normal 73" xfId="439" xr:uid="{00000000-0005-0000-0000-000031400000}"/>
    <cellStyle name="Normal 74" xfId="440" xr:uid="{00000000-0005-0000-0000-000032400000}"/>
    <cellStyle name="Normal 75" xfId="441" xr:uid="{00000000-0005-0000-0000-000033400000}"/>
    <cellStyle name="Normal 76" xfId="442" xr:uid="{00000000-0005-0000-0000-000034400000}"/>
    <cellStyle name="Normal 77" xfId="443" xr:uid="{00000000-0005-0000-0000-000035400000}"/>
    <cellStyle name="Normal 78" xfId="444" xr:uid="{00000000-0005-0000-0000-000036400000}"/>
    <cellStyle name="Normal 79" xfId="445" xr:uid="{00000000-0005-0000-0000-000037400000}"/>
    <cellStyle name="Normal 8" xfId="446" xr:uid="{00000000-0005-0000-0000-000038400000}"/>
    <cellStyle name="Normal 8 2" xfId="447" xr:uid="{00000000-0005-0000-0000-000039400000}"/>
    <cellStyle name="Normal 8 2 2" xfId="448" xr:uid="{00000000-0005-0000-0000-00003A400000}"/>
    <cellStyle name="Normal 8 2 2 2" xfId="449" xr:uid="{00000000-0005-0000-0000-00003B400000}"/>
    <cellStyle name="Normal 8 2 2 3" xfId="14910" xr:uid="{00000000-0005-0000-0000-00003C400000}"/>
    <cellStyle name="Normal 8 2 3" xfId="450" xr:uid="{00000000-0005-0000-0000-00003D400000}"/>
    <cellStyle name="Normal 8 3" xfId="451" xr:uid="{00000000-0005-0000-0000-00003E400000}"/>
    <cellStyle name="Normal 8 3 10" xfId="14911" xr:uid="{00000000-0005-0000-0000-00003F400000}"/>
    <cellStyle name="Normal 8 3 2" xfId="452" xr:uid="{00000000-0005-0000-0000-000040400000}"/>
    <cellStyle name="Normal 8 3 2 2" xfId="453" xr:uid="{00000000-0005-0000-0000-000041400000}"/>
    <cellStyle name="Normal 8 3 2 3" xfId="14912" xr:uid="{00000000-0005-0000-0000-000042400000}"/>
    <cellStyle name="Normal 8 3 3" xfId="454" xr:uid="{00000000-0005-0000-0000-000043400000}"/>
    <cellStyle name="Normal 8 3 3 2" xfId="14913" xr:uid="{00000000-0005-0000-0000-000044400000}"/>
    <cellStyle name="Normal 8 3 4" xfId="14914" xr:uid="{00000000-0005-0000-0000-000045400000}"/>
    <cellStyle name="Normal 8 3 5" xfId="14915" xr:uid="{00000000-0005-0000-0000-000046400000}"/>
    <cellStyle name="Normal 8 3 5 2" xfId="14916" xr:uid="{00000000-0005-0000-0000-000047400000}"/>
    <cellStyle name="Normal 8 3 6" xfId="14917" xr:uid="{00000000-0005-0000-0000-000048400000}"/>
    <cellStyle name="Normal 8 3 6 2" xfId="14918" xr:uid="{00000000-0005-0000-0000-000049400000}"/>
    <cellStyle name="Normal 8 3 7" xfId="14919" xr:uid="{00000000-0005-0000-0000-00004A400000}"/>
    <cellStyle name="Normal 8 3 7 2" xfId="14920" xr:uid="{00000000-0005-0000-0000-00004B400000}"/>
    <cellStyle name="Normal 8 3 8" xfId="14921" xr:uid="{00000000-0005-0000-0000-00004C400000}"/>
    <cellStyle name="Normal 8 3 8 2" xfId="14922" xr:uid="{00000000-0005-0000-0000-00004D400000}"/>
    <cellStyle name="Normal 8 3 9" xfId="14923" xr:uid="{00000000-0005-0000-0000-00004E400000}"/>
    <cellStyle name="Normal 8 4" xfId="455" xr:uid="{00000000-0005-0000-0000-00004F400000}"/>
    <cellStyle name="Normal 8 4 2" xfId="456" xr:uid="{00000000-0005-0000-0000-000050400000}"/>
    <cellStyle name="Normal 8 4 3" xfId="14924" xr:uid="{00000000-0005-0000-0000-000051400000}"/>
    <cellStyle name="Normal 8 5" xfId="457" xr:uid="{00000000-0005-0000-0000-000052400000}"/>
    <cellStyle name="Normal 8 5 2" xfId="14926" xr:uid="{00000000-0005-0000-0000-000053400000}"/>
    <cellStyle name="Normal 8 5 2 2" xfId="14927" xr:uid="{00000000-0005-0000-0000-000054400000}"/>
    <cellStyle name="Normal 8 5 3" xfId="14928" xr:uid="{00000000-0005-0000-0000-000055400000}"/>
    <cellStyle name="Normal 8 5 3 2" xfId="14929" xr:uid="{00000000-0005-0000-0000-000056400000}"/>
    <cellStyle name="Normal 8 5 4" xfId="14930" xr:uid="{00000000-0005-0000-0000-000057400000}"/>
    <cellStyle name="Normal 8 5 4 2" xfId="14931" xr:uid="{00000000-0005-0000-0000-000058400000}"/>
    <cellStyle name="Normal 8 5 5" xfId="14932" xr:uid="{00000000-0005-0000-0000-000059400000}"/>
    <cellStyle name="Normal 8 5 5 2" xfId="14933" xr:uid="{00000000-0005-0000-0000-00005A400000}"/>
    <cellStyle name="Normal 8 5 6" xfId="14934" xr:uid="{00000000-0005-0000-0000-00005B400000}"/>
    <cellStyle name="Normal 8 5 7" xfId="14925" xr:uid="{00000000-0005-0000-0000-00005C400000}"/>
    <cellStyle name="Normal 8 6" xfId="458" xr:uid="{00000000-0005-0000-0000-00005D400000}"/>
    <cellStyle name="Normal 8 6 2" xfId="14936" xr:uid="{00000000-0005-0000-0000-00005E400000}"/>
    <cellStyle name="Normal 8 6 2 2" xfId="14937" xr:uid="{00000000-0005-0000-0000-00005F400000}"/>
    <cellStyle name="Normal 8 6 3" xfId="14938" xr:uid="{00000000-0005-0000-0000-000060400000}"/>
    <cellStyle name="Normal 8 6 3 2" xfId="14939" xr:uid="{00000000-0005-0000-0000-000061400000}"/>
    <cellStyle name="Normal 8 6 4" xfId="14940" xr:uid="{00000000-0005-0000-0000-000062400000}"/>
    <cellStyle name="Normal 8 6 4 2" xfId="14941" xr:uid="{00000000-0005-0000-0000-000063400000}"/>
    <cellStyle name="Normal 8 6 5" xfId="14942" xr:uid="{00000000-0005-0000-0000-000064400000}"/>
    <cellStyle name="Normal 8 6 5 2" xfId="14943" xr:uid="{00000000-0005-0000-0000-000065400000}"/>
    <cellStyle name="Normal 8 6 6" xfId="14944" xr:uid="{00000000-0005-0000-0000-000066400000}"/>
    <cellStyle name="Normal 8 6 7" xfId="14935" xr:uid="{00000000-0005-0000-0000-000067400000}"/>
    <cellStyle name="Normal 8_Recurso Jan a Mar 09 DEF" xfId="14945" xr:uid="{00000000-0005-0000-0000-000068400000}"/>
    <cellStyle name="Normal 80" xfId="459" xr:uid="{00000000-0005-0000-0000-000069400000}"/>
    <cellStyle name="Normal 81" xfId="460" xr:uid="{00000000-0005-0000-0000-00006A400000}"/>
    <cellStyle name="Normal 82" xfId="461" xr:uid="{00000000-0005-0000-0000-00006B400000}"/>
    <cellStyle name="Normal 83" xfId="462" xr:uid="{00000000-0005-0000-0000-00006C400000}"/>
    <cellStyle name="Normal 84" xfId="463" xr:uid="{00000000-0005-0000-0000-00006D400000}"/>
    <cellStyle name="Normal 85" xfId="464" xr:uid="{00000000-0005-0000-0000-00006E400000}"/>
    <cellStyle name="Normal 86" xfId="465" xr:uid="{00000000-0005-0000-0000-00006F400000}"/>
    <cellStyle name="Normal 87" xfId="466" xr:uid="{00000000-0005-0000-0000-000070400000}"/>
    <cellStyle name="Normal 88" xfId="467" xr:uid="{00000000-0005-0000-0000-000071400000}"/>
    <cellStyle name="Normal 89" xfId="468" xr:uid="{00000000-0005-0000-0000-000072400000}"/>
    <cellStyle name="Normal 9" xfId="469" xr:uid="{00000000-0005-0000-0000-000073400000}"/>
    <cellStyle name="Normal 9 10" xfId="14947" xr:uid="{00000000-0005-0000-0000-000074400000}"/>
    <cellStyle name="Normal 9 11" xfId="14948" xr:uid="{00000000-0005-0000-0000-000075400000}"/>
    <cellStyle name="Normal 9 12" xfId="14949" xr:uid="{00000000-0005-0000-0000-000076400000}"/>
    <cellStyle name="Normal 9 12 2" xfId="14950" xr:uid="{00000000-0005-0000-0000-000077400000}"/>
    <cellStyle name="Normal 9 12 3" xfId="14951" xr:uid="{00000000-0005-0000-0000-000078400000}"/>
    <cellStyle name="Normal 9 12 4" xfId="14952" xr:uid="{00000000-0005-0000-0000-000079400000}"/>
    <cellStyle name="Normal 9 13" xfId="14953" xr:uid="{00000000-0005-0000-0000-00007A400000}"/>
    <cellStyle name="Normal 9 13 10" xfId="14954" xr:uid="{00000000-0005-0000-0000-00007B400000}"/>
    <cellStyle name="Normal 9 13 11" xfId="14955" xr:uid="{00000000-0005-0000-0000-00007C400000}"/>
    <cellStyle name="Normal 9 13 12" xfId="14956" xr:uid="{00000000-0005-0000-0000-00007D400000}"/>
    <cellStyle name="Normal 9 13 13" xfId="14957" xr:uid="{00000000-0005-0000-0000-00007E400000}"/>
    <cellStyle name="Normal 9 13 14" xfId="14958" xr:uid="{00000000-0005-0000-0000-00007F400000}"/>
    <cellStyle name="Normal 9 13 15" xfId="14959" xr:uid="{00000000-0005-0000-0000-000080400000}"/>
    <cellStyle name="Normal 9 13 16" xfId="14960" xr:uid="{00000000-0005-0000-0000-000081400000}"/>
    <cellStyle name="Normal 9 13 17" xfId="14961" xr:uid="{00000000-0005-0000-0000-000082400000}"/>
    <cellStyle name="Normal 9 13 18" xfId="14962" xr:uid="{00000000-0005-0000-0000-000083400000}"/>
    <cellStyle name="Normal 9 13 19" xfId="14963" xr:uid="{00000000-0005-0000-0000-000084400000}"/>
    <cellStyle name="Normal 9 13 2" xfId="14964" xr:uid="{00000000-0005-0000-0000-000085400000}"/>
    <cellStyle name="Normal 9 13 2 10" xfId="14965" xr:uid="{00000000-0005-0000-0000-000086400000}"/>
    <cellStyle name="Normal 9 13 2 11" xfId="14966" xr:uid="{00000000-0005-0000-0000-000087400000}"/>
    <cellStyle name="Normal 9 13 2 12" xfId="14967" xr:uid="{00000000-0005-0000-0000-000088400000}"/>
    <cellStyle name="Normal 9 13 2 13" xfId="14968" xr:uid="{00000000-0005-0000-0000-000089400000}"/>
    <cellStyle name="Normal 9 13 2 14" xfId="14969" xr:uid="{00000000-0005-0000-0000-00008A400000}"/>
    <cellStyle name="Normal 9 13 2 15" xfId="14970" xr:uid="{00000000-0005-0000-0000-00008B400000}"/>
    <cellStyle name="Normal 9 13 2 16" xfId="14971" xr:uid="{00000000-0005-0000-0000-00008C400000}"/>
    <cellStyle name="Normal 9 13 2 17" xfId="14972" xr:uid="{00000000-0005-0000-0000-00008D400000}"/>
    <cellStyle name="Normal 9 13 2 18" xfId="14973" xr:uid="{00000000-0005-0000-0000-00008E400000}"/>
    <cellStyle name="Normal 9 13 2 19" xfId="14974" xr:uid="{00000000-0005-0000-0000-00008F400000}"/>
    <cellStyle name="Normal 9 13 2 2" xfId="14975" xr:uid="{00000000-0005-0000-0000-000090400000}"/>
    <cellStyle name="Normal 9 13 2 20" xfId="14976" xr:uid="{00000000-0005-0000-0000-000091400000}"/>
    <cellStyle name="Normal 9 13 2 21" xfId="14977" xr:uid="{00000000-0005-0000-0000-000092400000}"/>
    <cellStyle name="Normal 9 13 2 3" xfId="14978" xr:uid="{00000000-0005-0000-0000-000093400000}"/>
    <cellStyle name="Normal 9 13 2 4" xfId="14979" xr:uid="{00000000-0005-0000-0000-000094400000}"/>
    <cellStyle name="Normal 9 13 2 5" xfId="14980" xr:uid="{00000000-0005-0000-0000-000095400000}"/>
    <cellStyle name="Normal 9 13 2 6" xfId="14981" xr:uid="{00000000-0005-0000-0000-000096400000}"/>
    <cellStyle name="Normal 9 13 2 7" xfId="14982" xr:uid="{00000000-0005-0000-0000-000097400000}"/>
    <cellStyle name="Normal 9 13 2 8" xfId="14983" xr:uid="{00000000-0005-0000-0000-000098400000}"/>
    <cellStyle name="Normal 9 13 2 9" xfId="14984" xr:uid="{00000000-0005-0000-0000-000099400000}"/>
    <cellStyle name="Normal 9 13 20" xfId="14985" xr:uid="{00000000-0005-0000-0000-00009A400000}"/>
    <cellStyle name="Normal 9 13 21" xfId="14986" xr:uid="{00000000-0005-0000-0000-00009B400000}"/>
    <cellStyle name="Normal 9 13 22" xfId="14987" xr:uid="{00000000-0005-0000-0000-00009C400000}"/>
    <cellStyle name="Normal 9 13 23" xfId="14988" xr:uid="{00000000-0005-0000-0000-00009D400000}"/>
    <cellStyle name="Normal 9 13 24" xfId="14989" xr:uid="{00000000-0005-0000-0000-00009E400000}"/>
    <cellStyle name="Normal 9 13 25" xfId="14990" xr:uid="{00000000-0005-0000-0000-00009F400000}"/>
    <cellStyle name="Normal 9 13 26" xfId="14991" xr:uid="{00000000-0005-0000-0000-0000A0400000}"/>
    <cellStyle name="Normal 9 13 27" xfId="14992" xr:uid="{00000000-0005-0000-0000-0000A1400000}"/>
    <cellStyle name="Normal 9 13 28" xfId="14993" xr:uid="{00000000-0005-0000-0000-0000A2400000}"/>
    <cellStyle name="Normal 9 13 29" xfId="14994" xr:uid="{00000000-0005-0000-0000-0000A3400000}"/>
    <cellStyle name="Normal 9 13 3" xfId="14995" xr:uid="{00000000-0005-0000-0000-0000A4400000}"/>
    <cellStyle name="Normal 9 13 30" xfId="14996" xr:uid="{00000000-0005-0000-0000-0000A5400000}"/>
    <cellStyle name="Normal 9 13 31" xfId="14997" xr:uid="{00000000-0005-0000-0000-0000A6400000}"/>
    <cellStyle name="Normal 9 13 32" xfId="14998" xr:uid="{00000000-0005-0000-0000-0000A7400000}"/>
    <cellStyle name="Normal 9 13 33" xfId="14999" xr:uid="{00000000-0005-0000-0000-0000A8400000}"/>
    <cellStyle name="Normal 9 13 34" xfId="15000" xr:uid="{00000000-0005-0000-0000-0000A9400000}"/>
    <cellStyle name="Normal 9 13 4" xfId="15001" xr:uid="{00000000-0005-0000-0000-0000AA400000}"/>
    <cellStyle name="Normal 9 13 4 2" xfId="15002" xr:uid="{00000000-0005-0000-0000-0000AB400000}"/>
    <cellStyle name="Normal 9 13 4 3" xfId="15003" xr:uid="{00000000-0005-0000-0000-0000AC400000}"/>
    <cellStyle name="Normal 9 13 4 4" xfId="15004" xr:uid="{00000000-0005-0000-0000-0000AD400000}"/>
    <cellStyle name="Normal 9 13 5" xfId="15005" xr:uid="{00000000-0005-0000-0000-0000AE400000}"/>
    <cellStyle name="Normal 9 13 6" xfId="15006" xr:uid="{00000000-0005-0000-0000-0000AF400000}"/>
    <cellStyle name="Normal 9 13 7" xfId="15007" xr:uid="{00000000-0005-0000-0000-0000B0400000}"/>
    <cellStyle name="Normal 9 13 8" xfId="15008" xr:uid="{00000000-0005-0000-0000-0000B1400000}"/>
    <cellStyle name="Normal 9 13 9" xfId="15009" xr:uid="{00000000-0005-0000-0000-0000B2400000}"/>
    <cellStyle name="Normal 9 14" xfId="15010" xr:uid="{00000000-0005-0000-0000-0000B3400000}"/>
    <cellStyle name="Normal 9 15" xfId="15011" xr:uid="{00000000-0005-0000-0000-0000B4400000}"/>
    <cellStyle name="Normal 9 16" xfId="15012" xr:uid="{00000000-0005-0000-0000-0000B5400000}"/>
    <cellStyle name="Normal 9 17" xfId="15013" xr:uid="{00000000-0005-0000-0000-0000B6400000}"/>
    <cellStyle name="Normal 9 18" xfId="15014" xr:uid="{00000000-0005-0000-0000-0000B7400000}"/>
    <cellStyle name="Normal 9 19" xfId="15015" xr:uid="{00000000-0005-0000-0000-0000B8400000}"/>
    <cellStyle name="Normal 9 2" xfId="470" xr:uid="{00000000-0005-0000-0000-0000B9400000}"/>
    <cellStyle name="Normal 9 2 2" xfId="471" xr:uid="{00000000-0005-0000-0000-0000BA400000}"/>
    <cellStyle name="Normal 9 2 2 2" xfId="472" xr:uid="{00000000-0005-0000-0000-0000BB400000}"/>
    <cellStyle name="Normal 9 2 2 2 2" xfId="473" xr:uid="{00000000-0005-0000-0000-0000BC400000}"/>
    <cellStyle name="Normal 9 2 2 3" xfId="474" xr:uid="{00000000-0005-0000-0000-0000BD400000}"/>
    <cellStyle name="Normal 9 2 3" xfId="475" xr:uid="{00000000-0005-0000-0000-0000BE400000}"/>
    <cellStyle name="Normal 9 2 3 2" xfId="476" xr:uid="{00000000-0005-0000-0000-0000BF400000}"/>
    <cellStyle name="Normal 9 2 3 2 2" xfId="477" xr:uid="{00000000-0005-0000-0000-0000C0400000}"/>
    <cellStyle name="Normal 9 2 3 3" xfId="478" xr:uid="{00000000-0005-0000-0000-0000C1400000}"/>
    <cellStyle name="Normal 9 2 4" xfId="479" xr:uid="{00000000-0005-0000-0000-0000C2400000}"/>
    <cellStyle name="Normal 9 2 4 2" xfId="480" xr:uid="{00000000-0005-0000-0000-0000C3400000}"/>
    <cellStyle name="Normal 9 2 5" xfId="481" xr:uid="{00000000-0005-0000-0000-0000C4400000}"/>
    <cellStyle name="Normal 9 2 6" xfId="482" xr:uid="{00000000-0005-0000-0000-0000C5400000}"/>
    <cellStyle name="Normal 9 20" xfId="15016" xr:uid="{00000000-0005-0000-0000-0000C6400000}"/>
    <cellStyle name="Normal 9 21" xfId="15017" xr:uid="{00000000-0005-0000-0000-0000C7400000}"/>
    <cellStyle name="Normal 9 22" xfId="15018" xr:uid="{00000000-0005-0000-0000-0000C8400000}"/>
    <cellStyle name="Normal 9 23" xfId="15019" xr:uid="{00000000-0005-0000-0000-0000C9400000}"/>
    <cellStyle name="Normal 9 24" xfId="15020" xr:uid="{00000000-0005-0000-0000-0000CA400000}"/>
    <cellStyle name="Normal 9 25" xfId="15021" xr:uid="{00000000-0005-0000-0000-0000CB400000}"/>
    <cellStyle name="Normal 9 26" xfId="15022" xr:uid="{00000000-0005-0000-0000-0000CC400000}"/>
    <cellStyle name="Normal 9 27" xfId="15023" xr:uid="{00000000-0005-0000-0000-0000CD400000}"/>
    <cellStyle name="Normal 9 28" xfId="15024" xr:uid="{00000000-0005-0000-0000-0000CE400000}"/>
    <cellStyle name="Normal 9 29" xfId="15025" xr:uid="{00000000-0005-0000-0000-0000CF400000}"/>
    <cellStyle name="Normal 9 3" xfId="483" xr:uid="{00000000-0005-0000-0000-0000D0400000}"/>
    <cellStyle name="Normal 9 3 2" xfId="484" xr:uid="{00000000-0005-0000-0000-0000D1400000}"/>
    <cellStyle name="Normal 9 3 2 2" xfId="485" xr:uid="{00000000-0005-0000-0000-0000D2400000}"/>
    <cellStyle name="Normal 9 3 2 2 2" xfId="486" xr:uid="{00000000-0005-0000-0000-0000D3400000}"/>
    <cellStyle name="Normal 9 3 2 3" xfId="487" xr:uid="{00000000-0005-0000-0000-0000D4400000}"/>
    <cellStyle name="Normal 9 3 3" xfId="488" xr:uid="{00000000-0005-0000-0000-0000D5400000}"/>
    <cellStyle name="Normal 9 3 3 2" xfId="489" xr:uid="{00000000-0005-0000-0000-0000D6400000}"/>
    <cellStyle name="Normal 9 3 4" xfId="490" xr:uid="{00000000-0005-0000-0000-0000D7400000}"/>
    <cellStyle name="Normal 9 30" xfId="14946" xr:uid="{00000000-0005-0000-0000-0000D8400000}"/>
    <cellStyle name="Normal 9 4" xfId="491" xr:uid="{00000000-0005-0000-0000-0000D9400000}"/>
    <cellStyle name="Normal 9 4 2" xfId="492" xr:uid="{00000000-0005-0000-0000-0000DA400000}"/>
    <cellStyle name="Normal 9 4 2 2" xfId="493" xr:uid="{00000000-0005-0000-0000-0000DB400000}"/>
    <cellStyle name="Normal 9 4 2 3" xfId="15026" xr:uid="{00000000-0005-0000-0000-0000DC400000}"/>
    <cellStyle name="Normal 9 4 3" xfId="494" xr:uid="{00000000-0005-0000-0000-0000DD400000}"/>
    <cellStyle name="Normal 9 4 4" xfId="15027" xr:uid="{00000000-0005-0000-0000-0000DE400000}"/>
    <cellStyle name="Normal 9 5" xfId="495" xr:uid="{00000000-0005-0000-0000-0000DF400000}"/>
    <cellStyle name="Normal 9 5 2" xfId="496" xr:uid="{00000000-0005-0000-0000-0000E0400000}"/>
    <cellStyle name="Normal 9 5 2 2" xfId="497" xr:uid="{00000000-0005-0000-0000-0000E1400000}"/>
    <cellStyle name="Normal 9 5 3" xfId="498" xr:uid="{00000000-0005-0000-0000-0000E2400000}"/>
    <cellStyle name="Normal 9 6" xfId="499" xr:uid="{00000000-0005-0000-0000-0000E3400000}"/>
    <cellStyle name="Normal 9 6 2" xfId="500" xr:uid="{00000000-0005-0000-0000-0000E4400000}"/>
    <cellStyle name="Normal 9 6 2 2" xfId="501" xr:uid="{00000000-0005-0000-0000-0000E5400000}"/>
    <cellStyle name="Normal 9 6 3" xfId="502" xr:uid="{00000000-0005-0000-0000-0000E6400000}"/>
    <cellStyle name="Normal 9 6 4" xfId="15028" xr:uid="{00000000-0005-0000-0000-0000E7400000}"/>
    <cellStyle name="Normal 9 7" xfId="503" xr:uid="{00000000-0005-0000-0000-0000E8400000}"/>
    <cellStyle name="Normal 9 7 2" xfId="504" xr:uid="{00000000-0005-0000-0000-0000E9400000}"/>
    <cellStyle name="Normal 9 8" xfId="505" xr:uid="{00000000-0005-0000-0000-0000EA400000}"/>
    <cellStyle name="Normal 9 9" xfId="15029" xr:uid="{00000000-0005-0000-0000-0000EB400000}"/>
    <cellStyle name="Normal 90" xfId="506" xr:uid="{00000000-0005-0000-0000-0000EC400000}"/>
    <cellStyle name="Normal 91" xfId="507" xr:uid="{00000000-0005-0000-0000-0000ED400000}"/>
    <cellStyle name="Normal 92" xfId="508" xr:uid="{00000000-0005-0000-0000-0000EE400000}"/>
    <cellStyle name="Normal 93" xfId="509" xr:uid="{00000000-0005-0000-0000-0000EF400000}"/>
    <cellStyle name="Normal 94" xfId="510" xr:uid="{00000000-0005-0000-0000-0000F0400000}"/>
    <cellStyle name="Normal 95" xfId="511" xr:uid="{00000000-0005-0000-0000-0000F1400000}"/>
    <cellStyle name="Normal 96" xfId="512" xr:uid="{00000000-0005-0000-0000-0000F2400000}"/>
    <cellStyle name="Normal 97" xfId="513" xr:uid="{00000000-0005-0000-0000-0000F3400000}"/>
    <cellStyle name="Normal 98" xfId="514" xr:uid="{00000000-0005-0000-0000-0000F4400000}"/>
    <cellStyle name="Normal 99" xfId="975" xr:uid="{00000000-0005-0000-0000-0000F5400000}"/>
    <cellStyle name="Normal 99 2" xfId="28187" xr:uid="{4B4654E0-5D86-4584-A0CA-EA77EF7C472B}"/>
    <cellStyle name="normální_Business Plan MCE" xfId="15030" xr:uid="{00000000-0005-0000-0000-0000F6400000}"/>
    <cellStyle name="Nota" xfId="515" builtinId="10" customBuiltin="1"/>
    <cellStyle name="Nota 10" xfId="15031" xr:uid="{00000000-0005-0000-0000-0000F8400000}"/>
    <cellStyle name="Nota 10 2" xfId="25875" xr:uid="{00000000-0005-0000-0000-0000F9400000}"/>
    <cellStyle name="Nota 10 2 2" xfId="25876" xr:uid="{00000000-0005-0000-0000-0000FA400000}"/>
    <cellStyle name="Nota 10 2 2 2" xfId="25877" xr:uid="{00000000-0005-0000-0000-0000FB400000}"/>
    <cellStyle name="Nota 10 2 3" xfId="25878" xr:uid="{00000000-0005-0000-0000-0000FC400000}"/>
    <cellStyle name="Nota 10 3" xfId="25879" xr:uid="{00000000-0005-0000-0000-0000FD400000}"/>
    <cellStyle name="Nota 10 3 2" xfId="25880" xr:uid="{00000000-0005-0000-0000-0000FE400000}"/>
    <cellStyle name="Nota 10 4" xfId="25881" xr:uid="{00000000-0005-0000-0000-0000FF400000}"/>
    <cellStyle name="Nota 11" xfId="15032" xr:uid="{00000000-0005-0000-0000-000000410000}"/>
    <cellStyle name="Nota 11 2" xfId="25882" xr:uid="{00000000-0005-0000-0000-000001410000}"/>
    <cellStyle name="Nota 11 2 2" xfId="25883" xr:uid="{00000000-0005-0000-0000-000002410000}"/>
    <cellStyle name="Nota 11 3" xfId="25884" xr:uid="{00000000-0005-0000-0000-000003410000}"/>
    <cellStyle name="Nota 12" xfId="15033" xr:uid="{00000000-0005-0000-0000-000004410000}"/>
    <cellStyle name="Nota 12 2" xfId="25885" xr:uid="{00000000-0005-0000-0000-000005410000}"/>
    <cellStyle name="Nota 12 2 2" xfId="25886" xr:uid="{00000000-0005-0000-0000-000006410000}"/>
    <cellStyle name="Nota 12 3" xfId="25887" xr:uid="{00000000-0005-0000-0000-000007410000}"/>
    <cellStyle name="Nota 13" xfId="15034" xr:uid="{00000000-0005-0000-0000-000008410000}"/>
    <cellStyle name="Nota 13 2" xfId="25889" xr:uid="{00000000-0005-0000-0000-000009410000}"/>
    <cellStyle name="Nota 13 2 2" xfId="27302" xr:uid="{00000000-0005-0000-0000-00000A410000}"/>
    <cellStyle name="Nota 13 2 2 2" xfId="33141" xr:uid="{96719B95-8A35-4FB6-818A-4DB6442ED71C}"/>
    <cellStyle name="Nota 13 3" xfId="25888" xr:uid="{00000000-0005-0000-0000-00000B410000}"/>
    <cellStyle name="Nota 13 4" xfId="27301" xr:uid="{00000000-0005-0000-0000-00000C410000}"/>
    <cellStyle name="Nota 13 4 2" xfId="33140" xr:uid="{6AE04430-44EC-4085-BA92-5B9C8D1E5DDF}"/>
    <cellStyle name="Nota 14" xfId="15035" xr:uid="{00000000-0005-0000-0000-00000D410000}"/>
    <cellStyle name="Nota 14 2" xfId="26108" xr:uid="{00000000-0005-0000-0000-00000E410000}"/>
    <cellStyle name="Nota 2" xfId="516" xr:uid="{00000000-0005-0000-0000-00000F410000}"/>
    <cellStyle name="Nota 2 10" xfId="15037" xr:uid="{00000000-0005-0000-0000-000010410000}"/>
    <cellStyle name="Nota 2 10 2" xfId="15038" xr:uid="{00000000-0005-0000-0000-000011410000}"/>
    <cellStyle name="Nota 2 10 2 2" xfId="24644" xr:uid="{00000000-0005-0000-0000-000012410000}"/>
    <cellStyle name="Nota 2 10 2 2 2" xfId="32653" xr:uid="{609C4DD5-569F-4422-9CC1-0ECA3483083D}"/>
    <cellStyle name="Nota 2 10 3" xfId="24643" xr:uid="{00000000-0005-0000-0000-000013410000}"/>
    <cellStyle name="Nota 2 10 3 2" xfId="32652" xr:uid="{D5E6AF8E-206F-4D6C-9E1E-0567FE680456}"/>
    <cellStyle name="Nota 2 11" xfId="15039" xr:uid="{00000000-0005-0000-0000-000014410000}"/>
    <cellStyle name="Nota 2 11 2" xfId="15040" xr:uid="{00000000-0005-0000-0000-000015410000}"/>
    <cellStyle name="Nota 2 11 2 2" xfId="24646" xr:uid="{00000000-0005-0000-0000-000016410000}"/>
    <cellStyle name="Nota 2 11 2 2 2" xfId="32655" xr:uid="{CB102524-17D9-440D-B965-9429F09BE21E}"/>
    <cellStyle name="Nota 2 11 3" xfId="24645" xr:uid="{00000000-0005-0000-0000-000017410000}"/>
    <cellStyle name="Nota 2 11 3 2" xfId="32654" xr:uid="{547A39BF-D384-4A42-9802-2E6B05035DAF}"/>
    <cellStyle name="Nota 2 12" xfId="15041" xr:uid="{00000000-0005-0000-0000-000018410000}"/>
    <cellStyle name="Nota 2 12 2" xfId="15042" xr:uid="{00000000-0005-0000-0000-000019410000}"/>
    <cellStyle name="Nota 2 12 2 2" xfId="24648" xr:uid="{00000000-0005-0000-0000-00001A410000}"/>
    <cellStyle name="Nota 2 12 2 2 2" xfId="32657" xr:uid="{36FDB934-7E85-4C30-A5BC-97B9241A2EAE}"/>
    <cellStyle name="Nota 2 12 3" xfId="24647" xr:uid="{00000000-0005-0000-0000-00001B410000}"/>
    <cellStyle name="Nota 2 12 3 2" xfId="32656" xr:uid="{77D4C358-B646-4FF1-8A36-5FA912326D4C}"/>
    <cellStyle name="Nota 2 13" xfId="15043" xr:uid="{00000000-0005-0000-0000-00001C410000}"/>
    <cellStyle name="Nota 2 13 2" xfId="24649" xr:uid="{00000000-0005-0000-0000-00001D410000}"/>
    <cellStyle name="Nota 2 13 2 2" xfId="32658" xr:uid="{1E4112CE-6B8E-43CF-ACC6-E456965F02E5}"/>
    <cellStyle name="Nota 2 14" xfId="15036" xr:uid="{00000000-0005-0000-0000-00001E410000}"/>
    <cellStyle name="Nota 2 15" xfId="24642" xr:uid="{00000000-0005-0000-0000-00001F410000}"/>
    <cellStyle name="Nota 2 15 2" xfId="32651" xr:uid="{BD6E5FDC-D47D-4C45-B4B6-5E7B2EFF4CEF}"/>
    <cellStyle name="Nota 2 2" xfId="517" xr:uid="{00000000-0005-0000-0000-000020410000}"/>
    <cellStyle name="Nota 2 2 2" xfId="15045" xr:uid="{00000000-0005-0000-0000-000021410000}"/>
    <cellStyle name="Nota 2 2 2 2" xfId="24651" xr:uid="{00000000-0005-0000-0000-000022410000}"/>
    <cellStyle name="Nota 2 2 2 2 2" xfId="25893" xr:uid="{00000000-0005-0000-0000-000023410000}"/>
    <cellStyle name="Nota 2 2 2 2 3" xfId="25892" xr:uid="{00000000-0005-0000-0000-000024410000}"/>
    <cellStyle name="Nota 2 2 2 2 4" xfId="32660" xr:uid="{2EC8C129-CE5B-4DD2-9088-1ADDFB3F6520}"/>
    <cellStyle name="Nota 2 2 2 3" xfId="25894" xr:uid="{00000000-0005-0000-0000-000025410000}"/>
    <cellStyle name="Nota 2 2 2 4" xfId="25891" xr:uid="{00000000-0005-0000-0000-000026410000}"/>
    <cellStyle name="Nota 2 2 3" xfId="15044" xr:uid="{00000000-0005-0000-0000-000027410000}"/>
    <cellStyle name="Nota 2 2 3 2" xfId="27111" xr:uid="{00000000-0005-0000-0000-000028410000}"/>
    <cellStyle name="Nota 2 2 3 3" xfId="25895" xr:uid="{00000000-0005-0000-0000-000029410000}"/>
    <cellStyle name="Nota 2 2 4" xfId="24650" xr:uid="{00000000-0005-0000-0000-00002A410000}"/>
    <cellStyle name="Nota 2 2 4 2" xfId="25896" xr:uid="{00000000-0005-0000-0000-00002B410000}"/>
    <cellStyle name="Nota 2 2 4 3" xfId="32659" xr:uid="{73660FE0-DAEB-4A05-AE28-C746F16A7220}"/>
    <cellStyle name="Nota 2 2 5" xfId="25897" xr:uid="{00000000-0005-0000-0000-00002C410000}"/>
    <cellStyle name="Nota 2 2 5 2" xfId="27112" xr:uid="{00000000-0005-0000-0000-00002D410000}"/>
    <cellStyle name="Nota 2 2 6" xfId="25890" xr:uid="{00000000-0005-0000-0000-00002E410000}"/>
    <cellStyle name="Nota 2 3" xfId="15046" xr:uid="{00000000-0005-0000-0000-00002F410000}"/>
    <cellStyle name="Nota 2 3 10" xfId="15047" xr:uid="{00000000-0005-0000-0000-000030410000}"/>
    <cellStyle name="Nota 2 3 11" xfId="15048" xr:uid="{00000000-0005-0000-0000-000031410000}"/>
    <cellStyle name="Nota 2 3 12" xfId="15049" xr:uid="{00000000-0005-0000-0000-000032410000}"/>
    <cellStyle name="Nota 2 3 13" xfId="15050" xr:uid="{00000000-0005-0000-0000-000033410000}"/>
    <cellStyle name="Nota 2 3 13 2" xfId="24653" xr:uid="{00000000-0005-0000-0000-000034410000}"/>
    <cellStyle name="Nota 2 3 13 2 2" xfId="32662" xr:uid="{2B55CDDA-B6DE-46DE-9104-B29B8096C459}"/>
    <cellStyle name="Nota 2 3 14" xfId="24652" xr:uid="{00000000-0005-0000-0000-000035410000}"/>
    <cellStyle name="Nota 2 3 14 2" xfId="32661" xr:uid="{40BD73ED-A776-41B1-ABD6-7E2D5ACB430F}"/>
    <cellStyle name="Nota 2 3 15" xfId="25898" xr:uid="{00000000-0005-0000-0000-000036410000}"/>
    <cellStyle name="Nota 2 3 16" xfId="27300" xr:uid="{00000000-0005-0000-0000-000037410000}"/>
    <cellStyle name="Nota 2 3 16 2" xfId="33139" xr:uid="{48B2B661-3959-4E27-8841-E6EBA6592ED4}"/>
    <cellStyle name="Nota 2 3 2" xfId="15051" xr:uid="{00000000-0005-0000-0000-000038410000}"/>
    <cellStyle name="Nota 2 3 2 10" xfId="15052" xr:uid="{00000000-0005-0000-0000-000039410000}"/>
    <cellStyle name="Nota 2 3 2 10 2" xfId="15053" xr:uid="{00000000-0005-0000-0000-00003A410000}"/>
    <cellStyle name="Nota 2 3 2 10 2 2" xfId="24656" xr:uid="{00000000-0005-0000-0000-00003B410000}"/>
    <cellStyle name="Nota 2 3 2 10 2 2 2" xfId="32665" xr:uid="{058EF34F-B7D7-44FB-A688-F375D8218938}"/>
    <cellStyle name="Nota 2 3 2 10 3" xfId="24655" xr:uid="{00000000-0005-0000-0000-00003C410000}"/>
    <cellStyle name="Nota 2 3 2 10 3 2" xfId="32664" xr:uid="{D5D3B70B-0C7F-4232-A848-3DEE122E4A30}"/>
    <cellStyle name="Nota 2 3 2 11" xfId="24654" xr:uid="{00000000-0005-0000-0000-00003D410000}"/>
    <cellStyle name="Nota 2 3 2 11 2" xfId="32663" xr:uid="{832770AD-3094-457B-945F-715A9E341BBC}"/>
    <cellStyle name="Nota 2 3 2 12" xfId="25899" xr:uid="{00000000-0005-0000-0000-00003E410000}"/>
    <cellStyle name="Nota 2 3 2 2" xfId="15054" xr:uid="{00000000-0005-0000-0000-00003F410000}"/>
    <cellStyle name="Nota 2 3 2 2 2" xfId="15055" xr:uid="{00000000-0005-0000-0000-000040410000}"/>
    <cellStyle name="Nota 2 3 2 2 2 2" xfId="24658" xr:uid="{00000000-0005-0000-0000-000041410000}"/>
    <cellStyle name="Nota 2 3 2 2 2 2 2" xfId="32667" xr:uid="{228F0F3B-EA9C-4D6E-B8EA-4054AB6309B2}"/>
    <cellStyle name="Nota 2 3 2 2 3" xfId="24657" xr:uid="{00000000-0005-0000-0000-000042410000}"/>
    <cellStyle name="Nota 2 3 2 2 3 2" xfId="32666" xr:uid="{CC098C76-9FD4-44E9-90D8-40A569009BB3}"/>
    <cellStyle name="Nota 2 3 2 2 4" xfId="27114" xr:uid="{00000000-0005-0000-0000-000043410000}"/>
    <cellStyle name="Nota 2 3 2 3" xfId="15056" xr:uid="{00000000-0005-0000-0000-000044410000}"/>
    <cellStyle name="Nota 2 3 2 3 2" xfId="15057" xr:uid="{00000000-0005-0000-0000-000045410000}"/>
    <cellStyle name="Nota 2 3 2 3 2 2" xfId="24660" xr:uid="{00000000-0005-0000-0000-000046410000}"/>
    <cellStyle name="Nota 2 3 2 3 2 2 2" xfId="32669" xr:uid="{E55BF290-D47C-4300-8F08-B0590D186565}"/>
    <cellStyle name="Nota 2 3 2 3 3" xfId="24659" xr:uid="{00000000-0005-0000-0000-000047410000}"/>
    <cellStyle name="Nota 2 3 2 3 3 2" xfId="32668" xr:uid="{C803C134-F455-4521-B7FE-9E60951CAB10}"/>
    <cellStyle name="Nota 2 3 2 4" xfId="15058" xr:uid="{00000000-0005-0000-0000-000048410000}"/>
    <cellStyle name="Nota 2 3 2 4 2" xfId="15059" xr:uid="{00000000-0005-0000-0000-000049410000}"/>
    <cellStyle name="Nota 2 3 2 4 2 2" xfId="24662" xr:uid="{00000000-0005-0000-0000-00004A410000}"/>
    <cellStyle name="Nota 2 3 2 4 2 2 2" xfId="32671" xr:uid="{A067DA22-FAFF-4B53-888F-6900841FE6CA}"/>
    <cellStyle name="Nota 2 3 2 4 3" xfId="24661" xr:uid="{00000000-0005-0000-0000-00004B410000}"/>
    <cellStyle name="Nota 2 3 2 4 3 2" xfId="32670" xr:uid="{6B2EFCF3-C495-49F5-A801-9ABA2D23360B}"/>
    <cellStyle name="Nota 2 3 2 5" xfId="15060" xr:uid="{00000000-0005-0000-0000-00004C410000}"/>
    <cellStyle name="Nota 2 3 2 5 2" xfId="15061" xr:uid="{00000000-0005-0000-0000-00004D410000}"/>
    <cellStyle name="Nota 2 3 2 5 2 2" xfId="24664" xr:uid="{00000000-0005-0000-0000-00004E410000}"/>
    <cellStyle name="Nota 2 3 2 5 2 2 2" xfId="32673" xr:uid="{122162D1-36C5-4467-B0F9-4CFBA2075F16}"/>
    <cellStyle name="Nota 2 3 2 5 3" xfId="24663" xr:uid="{00000000-0005-0000-0000-00004F410000}"/>
    <cellStyle name="Nota 2 3 2 5 3 2" xfId="32672" xr:uid="{3FAC95A4-3E64-4702-A4E7-5948FDF9E71B}"/>
    <cellStyle name="Nota 2 3 2 6" xfId="15062" xr:uid="{00000000-0005-0000-0000-000050410000}"/>
    <cellStyle name="Nota 2 3 2 6 2" xfId="15063" xr:uid="{00000000-0005-0000-0000-000051410000}"/>
    <cellStyle name="Nota 2 3 2 6 2 2" xfId="24666" xr:uid="{00000000-0005-0000-0000-000052410000}"/>
    <cellStyle name="Nota 2 3 2 6 2 2 2" xfId="32675" xr:uid="{E988FADD-6892-4B93-B038-F9815E08098F}"/>
    <cellStyle name="Nota 2 3 2 6 3" xfId="24665" xr:uid="{00000000-0005-0000-0000-000053410000}"/>
    <cellStyle name="Nota 2 3 2 6 3 2" xfId="32674" xr:uid="{00F73779-B7E3-40EF-9CC8-63E0F5F70F39}"/>
    <cellStyle name="Nota 2 3 2 7" xfId="15064" xr:uid="{00000000-0005-0000-0000-000054410000}"/>
    <cellStyle name="Nota 2 3 2 7 2" xfId="15065" xr:uid="{00000000-0005-0000-0000-000055410000}"/>
    <cellStyle name="Nota 2 3 2 7 2 2" xfId="24668" xr:uid="{00000000-0005-0000-0000-000056410000}"/>
    <cellStyle name="Nota 2 3 2 7 2 2 2" xfId="32677" xr:uid="{01C158EF-1EAC-47D0-9A83-CEF66582A6CA}"/>
    <cellStyle name="Nota 2 3 2 7 3" xfId="24667" xr:uid="{00000000-0005-0000-0000-000057410000}"/>
    <cellStyle name="Nota 2 3 2 7 3 2" xfId="32676" xr:uid="{C0A9A08E-187F-4A88-A055-D13717A05528}"/>
    <cellStyle name="Nota 2 3 2 8" xfId="15066" xr:uid="{00000000-0005-0000-0000-000058410000}"/>
    <cellStyle name="Nota 2 3 2 8 2" xfId="15067" xr:uid="{00000000-0005-0000-0000-000059410000}"/>
    <cellStyle name="Nota 2 3 2 8 2 2" xfId="24670" xr:uid="{00000000-0005-0000-0000-00005A410000}"/>
    <cellStyle name="Nota 2 3 2 8 2 2 2" xfId="32679" xr:uid="{1B45FB78-E2B4-4AFC-BC17-D9198E38A95D}"/>
    <cellStyle name="Nota 2 3 2 8 3" xfId="24669" xr:uid="{00000000-0005-0000-0000-00005B410000}"/>
    <cellStyle name="Nota 2 3 2 8 3 2" xfId="32678" xr:uid="{3A86EA38-24C8-4BA5-86A8-58E2FB266C61}"/>
    <cellStyle name="Nota 2 3 2 9" xfId="15068" xr:uid="{00000000-0005-0000-0000-00005C410000}"/>
    <cellStyle name="Nota 2 3 2 9 2" xfId="15069" xr:uid="{00000000-0005-0000-0000-00005D410000}"/>
    <cellStyle name="Nota 2 3 2 9 2 2" xfId="24672" xr:uid="{00000000-0005-0000-0000-00005E410000}"/>
    <cellStyle name="Nota 2 3 2 9 2 2 2" xfId="32681" xr:uid="{9222B92C-B858-4883-A060-E42CDD3C0DC6}"/>
    <cellStyle name="Nota 2 3 2 9 3" xfId="24671" xr:uid="{00000000-0005-0000-0000-00005F410000}"/>
    <cellStyle name="Nota 2 3 2 9 3 2" xfId="32680" xr:uid="{26DB63C0-C881-4055-97E4-FF33B8D22F43}"/>
    <cellStyle name="Nota 2 3 3" xfId="15070" xr:uid="{00000000-0005-0000-0000-000060410000}"/>
    <cellStyle name="Nota 2 3 3 2" xfId="15071" xr:uid="{00000000-0005-0000-0000-000061410000}"/>
    <cellStyle name="Nota 2 3 3 2 2" xfId="24674" xr:uid="{00000000-0005-0000-0000-000062410000}"/>
    <cellStyle name="Nota 2 3 3 2 2 2" xfId="32683" xr:uid="{2B95EEE0-2EC2-4D79-9FA6-186F7F450F09}"/>
    <cellStyle name="Nota 2 3 3 3" xfId="24673" xr:uid="{00000000-0005-0000-0000-000063410000}"/>
    <cellStyle name="Nota 2 3 3 3 2" xfId="32682" xr:uid="{39C3E6F1-4205-4AC2-9B35-B515E1372101}"/>
    <cellStyle name="Nota 2 3 3 4" xfId="27113" xr:uid="{00000000-0005-0000-0000-000064410000}"/>
    <cellStyle name="Nota 2 3 3 5" xfId="27332" xr:uid="{00000000-0005-0000-0000-000065410000}"/>
    <cellStyle name="Nota 2 3 3 5 2" xfId="33169" xr:uid="{42250272-AA6E-4A91-89DD-A7F82D7CF4AD}"/>
    <cellStyle name="Nota 2 3 4" xfId="15072" xr:uid="{00000000-0005-0000-0000-000066410000}"/>
    <cellStyle name="Nota 2 3 4 2" xfId="15073" xr:uid="{00000000-0005-0000-0000-000067410000}"/>
    <cellStyle name="Nota 2 3 4 2 2" xfId="24676" xr:uid="{00000000-0005-0000-0000-000068410000}"/>
    <cellStyle name="Nota 2 3 4 2 2 2" xfId="32685" xr:uid="{E5DA0158-BD42-4F62-8925-B2F082D32945}"/>
    <cellStyle name="Nota 2 3 4 3" xfId="24675" xr:uid="{00000000-0005-0000-0000-000069410000}"/>
    <cellStyle name="Nota 2 3 4 3 2" xfId="32684" xr:uid="{734D6680-CF9F-47DD-94F1-7242B3B70E40}"/>
    <cellStyle name="Nota 2 3 5" xfId="15074" xr:uid="{00000000-0005-0000-0000-00006A410000}"/>
    <cellStyle name="Nota 2 3 6" xfId="15075" xr:uid="{00000000-0005-0000-0000-00006B410000}"/>
    <cellStyle name="Nota 2 3 7" xfId="15076" xr:uid="{00000000-0005-0000-0000-00006C410000}"/>
    <cellStyle name="Nota 2 3 8" xfId="15077" xr:uid="{00000000-0005-0000-0000-00006D410000}"/>
    <cellStyle name="Nota 2 3 9" xfId="15078" xr:uid="{00000000-0005-0000-0000-00006E410000}"/>
    <cellStyle name="Nota 2 4" xfId="15079" xr:uid="{00000000-0005-0000-0000-00006F410000}"/>
    <cellStyle name="Nota 2 4 2" xfId="15080" xr:uid="{00000000-0005-0000-0000-000070410000}"/>
    <cellStyle name="Nota 2 4 2 2" xfId="24678" xr:uid="{00000000-0005-0000-0000-000071410000}"/>
    <cellStyle name="Nota 2 4 2 2 2" xfId="25902" xr:uid="{00000000-0005-0000-0000-000072410000}"/>
    <cellStyle name="Nota 2 4 2 2 3" xfId="32687" xr:uid="{E9551AD1-FFE6-4B3E-9836-60A6499EEF27}"/>
    <cellStyle name="Nota 2 4 2 3" xfId="25901" xr:uid="{00000000-0005-0000-0000-000073410000}"/>
    <cellStyle name="Nota 2 4 3" xfId="24677" xr:uid="{00000000-0005-0000-0000-000074410000}"/>
    <cellStyle name="Nota 2 4 3 2" xfId="25903" xr:uid="{00000000-0005-0000-0000-000075410000}"/>
    <cellStyle name="Nota 2 4 3 3" xfId="32686" xr:uid="{3F2CDB51-3EB7-4635-9135-86228042854A}"/>
    <cellStyle name="Nota 2 4 4" xfId="25900" xr:uid="{00000000-0005-0000-0000-000076410000}"/>
    <cellStyle name="Nota 2 5" xfId="15081" xr:uid="{00000000-0005-0000-0000-000077410000}"/>
    <cellStyle name="Nota 2 5 10" xfId="15082" xr:uid="{00000000-0005-0000-0000-000078410000}"/>
    <cellStyle name="Nota 2 5 11" xfId="15083" xr:uid="{00000000-0005-0000-0000-000079410000}"/>
    <cellStyle name="Nota 2 5 11 2" xfId="24680" xr:uid="{00000000-0005-0000-0000-00007A410000}"/>
    <cellStyle name="Nota 2 5 11 2 2" xfId="32689" xr:uid="{BA3F5BFF-3AEB-4175-B763-E8BDFD100661}"/>
    <cellStyle name="Nota 2 5 12" xfId="24679" xr:uid="{00000000-0005-0000-0000-00007B410000}"/>
    <cellStyle name="Nota 2 5 12 2" xfId="32688" xr:uid="{1FA72702-8059-4BEC-81C2-B48A3767CAE9}"/>
    <cellStyle name="Nota 2 5 2" xfId="15084" xr:uid="{00000000-0005-0000-0000-00007C410000}"/>
    <cellStyle name="Nota 2 5 2 2" xfId="24681" xr:uid="{00000000-0005-0000-0000-00007D410000}"/>
    <cellStyle name="Nota 2 5 2 2 2" xfId="32690" xr:uid="{B33E0EFC-A532-48C5-86FB-768920A52EF4}"/>
    <cellStyle name="Nota 2 5 2 3" xfId="25904" xr:uid="{00000000-0005-0000-0000-00007E410000}"/>
    <cellStyle name="Nota 2 5 3" xfId="15085" xr:uid="{00000000-0005-0000-0000-00007F410000}"/>
    <cellStyle name="Nota 2 5 4" xfId="15086" xr:uid="{00000000-0005-0000-0000-000080410000}"/>
    <cellStyle name="Nota 2 5 5" xfId="15087" xr:uid="{00000000-0005-0000-0000-000081410000}"/>
    <cellStyle name="Nota 2 5 6" xfId="15088" xr:uid="{00000000-0005-0000-0000-000082410000}"/>
    <cellStyle name="Nota 2 5 7" xfId="15089" xr:uid="{00000000-0005-0000-0000-000083410000}"/>
    <cellStyle name="Nota 2 5 8" xfId="15090" xr:uid="{00000000-0005-0000-0000-000084410000}"/>
    <cellStyle name="Nota 2 5 9" xfId="15091" xr:uid="{00000000-0005-0000-0000-000085410000}"/>
    <cellStyle name="Nota 2 6" xfId="15092" xr:uid="{00000000-0005-0000-0000-000086410000}"/>
    <cellStyle name="Nota 2 6 2" xfId="15093" xr:uid="{00000000-0005-0000-0000-000087410000}"/>
    <cellStyle name="Nota 2 6 2 2" xfId="24683" xr:uid="{00000000-0005-0000-0000-000088410000}"/>
    <cellStyle name="Nota 2 6 2 2 2" xfId="32692" xr:uid="{DCBBF39C-D527-4E2A-8629-2F4C2891B742}"/>
    <cellStyle name="Nota 2 6 2 3" xfId="25906" xr:uid="{00000000-0005-0000-0000-000089410000}"/>
    <cellStyle name="Nota 2 6 3" xfId="24682" xr:uid="{00000000-0005-0000-0000-00008A410000}"/>
    <cellStyle name="Nota 2 6 3 2" xfId="32691" xr:uid="{A3215850-CD26-4A59-B4AC-795F91FD8542}"/>
    <cellStyle name="Nota 2 6 4" xfId="25905" xr:uid="{00000000-0005-0000-0000-00008B410000}"/>
    <cellStyle name="Nota 2 7" xfId="15094" xr:uid="{00000000-0005-0000-0000-00008C410000}"/>
    <cellStyle name="Nota 2 7 2" xfId="15095" xr:uid="{00000000-0005-0000-0000-00008D410000}"/>
    <cellStyle name="Nota 2 7 2 2" xfId="24685" xr:uid="{00000000-0005-0000-0000-00008E410000}"/>
    <cellStyle name="Nota 2 7 2 2 2" xfId="32694" xr:uid="{B6399A64-F14E-4724-A087-D35E607901ED}"/>
    <cellStyle name="Nota 2 7 3" xfId="24684" xr:uid="{00000000-0005-0000-0000-00008F410000}"/>
    <cellStyle name="Nota 2 7 3 2" xfId="32693" xr:uid="{2C61F4B1-2FB7-485F-89A1-F9765981B64A}"/>
    <cellStyle name="Nota 2 8" xfId="15096" xr:uid="{00000000-0005-0000-0000-000090410000}"/>
    <cellStyle name="Nota 2 8 2" xfId="15097" xr:uid="{00000000-0005-0000-0000-000091410000}"/>
    <cellStyle name="Nota 2 8 2 2" xfId="24687" xr:uid="{00000000-0005-0000-0000-000092410000}"/>
    <cellStyle name="Nota 2 8 2 2 2" xfId="32696" xr:uid="{6985B25F-9418-4FFD-9AEA-81A299C8309B}"/>
    <cellStyle name="Nota 2 8 3" xfId="24686" xr:uid="{00000000-0005-0000-0000-000093410000}"/>
    <cellStyle name="Nota 2 8 3 2" xfId="32695" xr:uid="{0F838C01-E6A4-43FB-AE55-80007D3EB6A8}"/>
    <cellStyle name="Nota 2 9" xfId="15098" xr:uid="{00000000-0005-0000-0000-000094410000}"/>
    <cellStyle name="Nota 2 9 2" xfId="15099" xr:uid="{00000000-0005-0000-0000-000095410000}"/>
    <cellStyle name="Nota 2 9 2 2" xfId="24689" xr:uid="{00000000-0005-0000-0000-000096410000}"/>
    <cellStyle name="Nota 2 9 2 2 2" xfId="32698" xr:uid="{FD6D107D-9AC0-447B-8764-9C2DCDD36EE0}"/>
    <cellStyle name="Nota 2 9 3" xfId="24688" xr:uid="{00000000-0005-0000-0000-000097410000}"/>
    <cellStyle name="Nota 2 9 3 2" xfId="32697" xr:uid="{F185FEEB-B38D-4D00-95D2-6C5F8E39596E}"/>
    <cellStyle name="Nota 3" xfId="518" xr:uid="{00000000-0005-0000-0000-000098410000}"/>
    <cellStyle name="Nota 3 10" xfId="15101" xr:uid="{00000000-0005-0000-0000-000099410000}"/>
    <cellStyle name="Nota 3 10 2" xfId="15102" xr:uid="{00000000-0005-0000-0000-00009A410000}"/>
    <cellStyle name="Nota 3 10 2 2" xfId="24692" xr:uid="{00000000-0005-0000-0000-00009B410000}"/>
    <cellStyle name="Nota 3 10 2 2 2" xfId="32701" xr:uid="{796B0BDA-E893-4F45-A16B-D4B1EEBC4E53}"/>
    <cellStyle name="Nota 3 10 3" xfId="24691" xr:uid="{00000000-0005-0000-0000-00009C410000}"/>
    <cellStyle name="Nota 3 10 3 2" xfId="32700" xr:uid="{6257C225-999E-4DA5-9C6A-E542AECD4DC9}"/>
    <cellStyle name="Nota 3 11" xfId="15103" xr:uid="{00000000-0005-0000-0000-00009D410000}"/>
    <cellStyle name="Nota 3 11 2" xfId="15104" xr:uid="{00000000-0005-0000-0000-00009E410000}"/>
    <cellStyle name="Nota 3 11 2 2" xfId="24694" xr:uid="{00000000-0005-0000-0000-00009F410000}"/>
    <cellStyle name="Nota 3 11 2 2 2" xfId="32703" xr:uid="{4022D2AB-D431-4CA8-A095-A56186404777}"/>
    <cellStyle name="Nota 3 11 3" xfId="24693" xr:uid="{00000000-0005-0000-0000-0000A0410000}"/>
    <cellStyle name="Nota 3 11 3 2" xfId="32702" xr:uid="{5DFB4834-E22C-4543-9621-BF204132D727}"/>
    <cellStyle name="Nota 3 12" xfId="15105" xr:uid="{00000000-0005-0000-0000-0000A1410000}"/>
    <cellStyle name="Nota 3 12 2" xfId="15106" xr:uid="{00000000-0005-0000-0000-0000A2410000}"/>
    <cellStyle name="Nota 3 12 2 2" xfId="24696" xr:uid="{00000000-0005-0000-0000-0000A3410000}"/>
    <cellStyle name="Nota 3 12 2 2 2" xfId="32705" xr:uid="{8BC4F4C4-D994-4CE5-AEC1-64E383737C4B}"/>
    <cellStyle name="Nota 3 12 3" xfId="24695" xr:uid="{00000000-0005-0000-0000-0000A4410000}"/>
    <cellStyle name="Nota 3 12 3 2" xfId="32704" xr:uid="{80EB7BC6-EE7C-4AF3-9AE3-D4B8DF42BB70}"/>
    <cellStyle name="Nota 3 13" xfId="15107" xr:uid="{00000000-0005-0000-0000-0000A5410000}"/>
    <cellStyle name="Nota 3 13 2" xfId="24697" xr:uid="{00000000-0005-0000-0000-0000A6410000}"/>
    <cellStyle name="Nota 3 13 2 2" xfId="32706" xr:uid="{43F09E7D-90BC-4078-AB57-FCC66686E2DC}"/>
    <cellStyle name="Nota 3 14" xfId="15100" xr:uid="{00000000-0005-0000-0000-0000A7410000}"/>
    <cellStyle name="Nota 3 15" xfId="24690" xr:uid="{00000000-0005-0000-0000-0000A8410000}"/>
    <cellStyle name="Nota 3 15 2" xfId="32699" xr:uid="{17E22FF2-AD1D-4C19-8BD4-E24CDAA55DDB}"/>
    <cellStyle name="Nota 3 16" xfId="25907" xr:uid="{00000000-0005-0000-0000-0000A9410000}"/>
    <cellStyle name="Nota 3 17" xfId="27164" xr:uid="{00000000-0005-0000-0000-0000AA410000}"/>
    <cellStyle name="Nota 3 17 2" xfId="33012" xr:uid="{FF53B508-E2E2-4E57-A219-D8BFBCD0B724}"/>
    <cellStyle name="Nota 3 2" xfId="15108" xr:uid="{00000000-0005-0000-0000-0000AB410000}"/>
    <cellStyle name="Nota 3 2 2" xfId="15109" xr:uid="{00000000-0005-0000-0000-0000AC410000}"/>
    <cellStyle name="Nota 3 2 2 2" xfId="24699" xr:uid="{00000000-0005-0000-0000-0000AD410000}"/>
    <cellStyle name="Nota 3 2 2 2 2" xfId="32708" xr:uid="{1EE7FC64-D8BE-49A4-945B-4D0CC63948B8}"/>
    <cellStyle name="Nota 3 2 2 3" xfId="27116" xr:uid="{00000000-0005-0000-0000-0000AE410000}"/>
    <cellStyle name="Nota 3 2 3" xfId="24698" xr:uid="{00000000-0005-0000-0000-0000AF410000}"/>
    <cellStyle name="Nota 3 2 3 2" xfId="32707" xr:uid="{0A7BED67-D897-44F0-97AE-5B5618F70236}"/>
    <cellStyle name="Nota 3 2 4" xfId="25908" xr:uid="{00000000-0005-0000-0000-0000B0410000}"/>
    <cellStyle name="Nota 3 3" xfId="15110" xr:uid="{00000000-0005-0000-0000-0000B1410000}"/>
    <cellStyle name="Nota 3 3 10" xfId="15111" xr:uid="{00000000-0005-0000-0000-0000B2410000}"/>
    <cellStyle name="Nota 3 3 11" xfId="15112" xr:uid="{00000000-0005-0000-0000-0000B3410000}"/>
    <cellStyle name="Nota 3 3 12" xfId="15113" xr:uid="{00000000-0005-0000-0000-0000B4410000}"/>
    <cellStyle name="Nota 3 3 13" xfId="15114" xr:uid="{00000000-0005-0000-0000-0000B5410000}"/>
    <cellStyle name="Nota 3 3 13 2" xfId="24701" xr:uid="{00000000-0005-0000-0000-0000B6410000}"/>
    <cellStyle name="Nota 3 3 13 2 2" xfId="32710" xr:uid="{82DD1659-85CF-481C-8A1F-6CD61CC6E41D}"/>
    <cellStyle name="Nota 3 3 14" xfId="24700" xr:uid="{00000000-0005-0000-0000-0000B7410000}"/>
    <cellStyle name="Nota 3 3 14 2" xfId="32709" xr:uid="{459F65B7-A8E5-4EC3-8ADF-CB0D31F3299F}"/>
    <cellStyle name="Nota 3 3 2" xfId="15115" xr:uid="{00000000-0005-0000-0000-0000B8410000}"/>
    <cellStyle name="Nota 3 3 2 10" xfId="15116" xr:uid="{00000000-0005-0000-0000-0000B9410000}"/>
    <cellStyle name="Nota 3 3 2 10 2" xfId="15117" xr:uid="{00000000-0005-0000-0000-0000BA410000}"/>
    <cellStyle name="Nota 3 3 2 10 2 2" xfId="24703" xr:uid="{00000000-0005-0000-0000-0000BB410000}"/>
    <cellStyle name="Nota 3 3 2 10 2 2 2" xfId="32712" xr:uid="{CCB433BC-8C54-4D4E-B097-6C95F68E941D}"/>
    <cellStyle name="Nota 3 3 2 10 3" xfId="24702" xr:uid="{00000000-0005-0000-0000-0000BC410000}"/>
    <cellStyle name="Nota 3 3 2 10 3 2" xfId="32711" xr:uid="{FFFD7FE0-685E-4BCB-B750-D543B66420A4}"/>
    <cellStyle name="Nota 3 3 2 2" xfId="15118" xr:uid="{00000000-0005-0000-0000-0000BD410000}"/>
    <cellStyle name="Nota 3 3 2 2 2" xfId="15119" xr:uid="{00000000-0005-0000-0000-0000BE410000}"/>
    <cellStyle name="Nota 3 3 2 2 2 2" xfId="24705" xr:uid="{00000000-0005-0000-0000-0000BF410000}"/>
    <cellStyle name="Nota 3 3 2 2 2 2 2" xfId="32714" xr:uid="{DB3DA408-219F-4A39-90AE-A758C9E660DB}"/>
    <cellStyle name="Nota 3 3 2 2 3" xfId="24704" xr:uid="{00000000-0005-0000-0000-0000C0410000}"/>
    <cellStyle name="Nota 3 3 2 2 3 2" xfId="32713" xr:uid="{F2822242-F629-42CF-A833-5189B181E542}"/>
    <cellStyle name="Nota 3 3 2 3" xfId="15120" xr:uid="{00000000-0005-0000-0000-0000C1410000}"/>
    <cellStyle name="Nota 3 3 2 3 2" xfId="15121" xr:uid="{00000000-0005-0000-0000-0000C2410000}"/>
    <cellStyle name="Nota 3 3 2 3 2 2" xfId="24707" xr:uid="{00000000-0005-0000-0000-0000C3410000}"/>
    <cellStyle name="Nota 3 3 2 3 2 2 2" xfId="32716" xr:uid="{243DD209-982C-4E9A-909D-F7986DAD5E1B}"/>
    <cellStyle name="Nota 3 3 2 3 3" xfId="24706" xr:uid="{00000000-0005-0000-0000-0000C4410000}"/>
    <cellStyle name="Nota 3 3 2 3 3 2" xfId="32715" xr:uid="{808F6B8C-A1AC-47ED-88D0-9EC3F4813537}"/>
    <cellStyle name="Nota 3 3 2 4" xfId="15122" xr:uid="{00000000-0005-0000-0000-0000C5410000}"/>
    <cellStyle name="Nota 3 3 2 4 2" xfId="15123" xr:uid="{00000000-0005-0000-0000-0000C6410000}"/>
    <cellStyle name="Nota 3 3 2 4 2 2" xfId="24709" xr:uid="{00000000-0005-0000-0000-0000C7410000}"/>
    <cellStyle name="Nota 3 3 2 4 2 2 2" xfId="32718" xr:uid="{671A1FC8-E587-4F4E-BE21-DA7A3916A144}"/>
    <cellStyle name="Nota 3 3 2 4 3" xfId="24708" xr:uid="{00000000-0005-0000-0000-0000C8410000}"/>
    <cellStyle name="Nota 3 3 2 4 3 2" xfId="32717" xr:uid="{91B7D93E-0DA7-42D2-ADF5-E767995F5462}"/>
    <cellStyle name="Nota 3 3 2 5" xfId="15124" xr:uid="{00000000-0005-0000-0000-0000C9410000}"/>
    <cellStyle name="Nota 3 3 2 5 2" xfId="15125" xr:uid="{00000000-0005-0000-0000-0000CA410000}"/>
    <cellStyle name="Nota 3 3 2 5 2 2" xfId="24711" xr:uid="{00000000-0005-0000-0000-0000CB410000}"/>
    <cellStyle name="Nota 3 3 2 5 2 2 2" xfId="32720" xr:uid="{2FC4A154-913F-449D-8495-99C47345167D}"/>
    <cellStyle name="Nota 3 3 2 5 3" xfId="24710" xr:uid="{00000000-0005-0000-0000-0000CC410000}"/>
    <cellStyle name="Nota 3 3 2 5 3 2" xfId="32719" xr:uid="{5D668118-FBF3-439D-B65D-48CB7DCEB415}"/>
    <cellStyle name="Nota 3 3 2 6" xfId="15126" xr:uid="{00000000-0005-0000-0000-0000CD410000}"/>
    <cellStyle name="Nota 3 3 2 6 2" xfId="15127" xr:uid="{00000000-0005-0000-0000-0000CE410000}"/>
    <cellStyle name="Nota 3 3 2 6 2 2" xfId="24713" xr:uid="{00000000-0005-0000-0000-0000CF410000}"/>
    <cellStyle name="Nota 3 3 2 6 2 2 2" xfId="32722" xr:uid="{DBFB66F0-535D-4110-BEE9-5E869D61E87D}"/>
    <cellStyle name="Nota 3 3 2 6 3" xfId="24712" xr:uid="{00000000-0005-0000-0000-0000D0410000}"/>
    <cellStyle name="Nota 3 3 2 6 3 2" xfId="32721" xr:uid="{693767AA-C883-4D7F-999A-10B1B37C10BC}"/>
    <cellStyle name="Nota 3 3 2 7" xfId="15128" xr:uid="{00000000-0005-0000-0000-0000D1410000}"/>
    <cellStyle name="Nota 3 3 2 7 2" xfId="15129" xr:uid="{00000000-0005-0000-0000-0000D2410000}"/>
    <cellStyle name="Nota 3 3 2 7 2 2" xfId="24715" xr:uid="{00000000-0005-0000-0000-0000D3410000}"/>
    <cellStyle name="Nota 3 3 2 7 2 2 2" xfId="32724" xr:uid="{3C7905A1-41EF-442F-810B-EC6062F02211}"/>
    <cellStyle name="Nota 3 3 2 7 3" xfId="24714" xr:uid="{00000000-0005-0000-0000-0000D4410000}"/>
    <cellStyle name="Nota 3 3 2 7 3 2" xfId="32723" xr:uid="{9EF39761-A69B-4DD7-BF15-0152807F22CB}"/>
    <cellStyle name="Nota 3 3 2 8" xfId="15130" xr:uid="{00000000-0005-0000-0000-0000D5410000}"/>
    <cellStyle name="Nota 3 3 2 8 2" xfId="15131" xr:uid="{00000000-0005-0000-0000-0000D6410000}"/>
    <cellStyle name="Nota 3 3 2 8 2 2" xfId="24717" xr:uid="{00000000-0005-0000-0000-0000D7410000}"/>
    <cellStyle name="Nota 3 3 2 8 2 2 2" xfId="32726" xr:uid="{3D616FDF-D82C-487C-B893-456FB0122A27}"/>
    <cellStyle name="Nota 3 3 2 8 3" xfId="24716" xr:uid="{00000000-0005-0000-0000-0000D8410000}"/>
    <cellStyle name="Nota 3 3 2 8 3 2" xfId="32725" xr:uid="{81377E21-3003-467B-8DF1-ED836AB05C03}"/>
    <cellStyle name="Nota 3 3 2 9" xfId="15132" xr:uid="{00000000-0005-0000-0000-0000D9410000}"/>
    <cellStyle name="Nota 3 3 2 9 2" xfId="15133" xr:uid="{00000000-0005-0000-0000-0000DA410000}"/>
    <cellStyle name="Nota 3 3 2 9 2 2" xfId="24719" xr:uid="{00000000-0005-0000-0000-0000DB410000}"/>
    <cellStyle name="Nota 3 3 2 9 2 2 2" xfId="32728" xr:uid="{3939640C-B3FC-47E8-B4B4-94652A5E252E}"/>
    <cellStyle name="Nota 3 3 2 9 3" xfId="24718" xr:uid="{00000000-0005-0000-0000-0000DC410000}"/>
    <cellStyle name="Nota 3 3 2 9 3 2" xfId="32727" xr:uid="{3C8439F8-A6C0-4200-BC16-45B267E8D27F}"/>
    <cellStyle name="Nota 3 3 3" xfId="15134" xr:uid="{00000000-0005-0000-0000-0000DD410000}"/>
    <cellStyle name="Nota 3 3 3 2" xfId="15135" xr:uid="{00000000-0005-0000-0000-0000DE410000}"/>
    <cellStyle name="Nota 3 3 3 2 2" xfId="24721" xr:uid="{00000000-0005-0000-0000-0000DF410000}"/>
    <cellStyle name="Nota 3 3 3 2 2 2" xfId="32730" xr:uid="{9A0DEBCD-1DCB-424C-B482-1DD70D984CA4}"/>
    <cellStyle name="Nota 3 3 3 3" xfId="24720" xr:uid="{00000000-0005-0000-0000-0000E0410000}"/>
    <cellStyle name="Nota 3 3 3 3 2" xfId="32729" xr:uid="{7472E029-0584-4DEC-AB9C-ECC09B2468E2}"/>
    <cellStyle name="Nota 3 3 4" xfId="15136" xr:uid="{00000000-0005-0000-0000-0000E1410000}"/>
    <cellStyle name="Nota 3 3 4 2" xfId="15137" xr:uid="{00000000-0005-0000-0000-0000E2410000}"/>
    <cellStyle name="Nota 3 3 4 2 2" xfId="24723" xr:uid="{00000000-0005-0000-0000-0000E3410000}"/>
    <cellStyle name="Nota 3 3 4 2 2 2" xfId="32732" xr:uid="{CEBAE363-764F-4A16-B83E-83F8991EBF5F}"/>
    <cellStyle name="Nota 3 3 4 3" xfId="24722" xr:uid="{00000000-0005-0000-0000-0000E4410000}"/>
    <cellStyle name="Nota 3 3 4 3 2" xfId="32731" xr:uid="{ADB0DC1C-D388-478F-AB25-2AEF997494D7}"/>
    <cellStyle name="Nota 3 3 5" xfId="15138" xr:uid="{00000000-0005-0000-0000-0000E5410000}"/>
    <cellStyle name="Nota 3 3 6" xfId="15139" xr:uid="{00000000-0005-0000-0000-0000E6410000}"/>
    <cellStyle name="Nota 3 3 7" xfId="15140" xr:uid="{00000000-0005-0000-0000-0000E7410000}"/>
    <cellStyle name="Nota 3 3 8" xfId="15141" xr:uid="{00000000-0005-0000-0000-0000E8410000}"/>
    <cellStyle name="Nota 3 3 9" xfId="15142" xr:uid="{00000000-0005-0000-0000-0000E9410000}"/>
    <cellStyle name="Nota 3 4" xfId="15143" xr:uid="{00000000-0005-0000-0000-0000EA410000}"/>
    <cellStyle name="Nota 3 4 2" xfId="15144" xr:uid="{00000000-0005-0000-0000-0000EB410000}"/>
    <cellStyle name="Nota 3 4 2 2" xfId="24725" xr:uid="{00000000-0005-0000-0000-0000EC410000}"/>
    <cellStyle name="Nota 3 4 2 2 2" xfId="25911" xr:uid="{00000000-0005-0000-0000-0000ED410000}"/>
    <cellStyle name="Nota 3 4 2 2 3" xfId="32734" xr:uid="{C9B7C539-8C3C-4A06-BCCC-06A0ED182FDC}"/>
    <cellStyle name="Nota 3 4 2 3" xfId="25910" xr:uid="{00000000-0005-0000-0000-0000EE410000}"/>
    <cellStyle name="Nota 3 4 3" xfId="24724" xr:uid="{00000000-0005-0000-0000-0000EF410000}"/>
    <cellStyle name="Nota 3 4 3 2" xfId="25912" xr:uid="{00000000-0005-0000-0000-0000F0410000}"/>
    <cellStyle name="Nota 3 4 3 3" xfId="32733" xr:uid="{27A74E62-6C96-4E72-9308-D49FA33EB2F9}"/>
    <cellStyle name="Nota 3 4 4" xfId="25909" xr:uid="{00000000-0005-0000-0000-0000F1410000}"/>
    <cellStyle name="Nota 3 5" xfId="15145" xr:uid="{00000000-0005-0000-0000-0000F2410000}"/>
    <cellStyle name="Nota 3 5 10" xfId="15146" xr:uid="{00000000-0005-0000-0000-0000F3410000}"/>
    <cellStyle name="Nota 3 5 11" xfId="15147" xr:uid="{00000000-0005-0000-0000-0000F4410000}"/>
    <cellStyle name="Nota 3 5 11 2" xfId="24727" xr:uid="{00000000-0005-0000-0000-0000F5410000}"/>
    <cellStyle name="Nota 3 5 11 2 2" xfId="32736" xr:uid="{E39823BC-EC16-4348-B5C7-30BDFF3AEEB0}"/>
    <cellStyle name="Nota 3 5 12" xfId="24726" xr:uid="{00000000-0005-0000-0000-0000F6410000}"/>
    <cellStyle name="Nota 3 5 12 2" xfId="32735" xr:uid="{9A7B8807-7568-4238-9000-CA85D8D862F4}"/>
    <cellStyle name="Nota 3 5 13" xfId="25913" xr:uid="{00000000-0005-0000-0000-0000F7410000}"/>
    <cellStyle name="Nota 3 5 14" xfId="27163" xr:uid="{00000000-0005-0000-0000-0000F8410000}"/>
    <cellStyle name="Nota 3 5 14 2" xfId="33011" xr:uid="{0786853D-8BDC-425B-91CF-738CDF0C5782}"/>
    <cellStyle name="Nota 3 5 2" xfId="15148" xr:uid="{00000000-0005-0000-0000-0000F9410000}"/>
    <cellStyle name="Nota 3 5 2 2" xfId="27117" xr:uid="{00000000-0005-0000-0000-0000FA410000}"/>
    <cellStyle name="Nota 3 5 2 3" xfId="27334" xr:uid="{00000000-0005-0000-0000-0000FB410000}"/>
    <cellStyle name="Nota 3 5 2 3 2" xfId="33171" xr:uid="{30702554-75F8-4E86-AEDB-365732620F02}"/>
    <cellStyle name="Nota 3 5 3" xfId="15149" xr:uid="{00000000-0005-0000-0000-0000FC410000}"/>
    <cellStyle name="Nota 3 5 4" xfId="15150" xr:uid="{00000000-0005-0000-0000-0000FD410000}"/>
    <cellStyle name="Nota 3 5 5" xfId="15151" xr:uid="{00000000-0005-0000-0000-0000FE410000}"/>
    <cellStyle name="Nota 3 5 6" xfId="15152" xr:uid="{00000000-0005-0000-0000-0000FF410000}"/>
    <cellStyle name="Nota 3 5 7" xfId="15153" xr:uid="{00000000-0005-0000-0000-000000420000}"/>
    <cellStyle name="Nota 3 5 8" xfId="15154" xr:uid="{00000000-0005-0000-0000-000001420000}"/>
    <cellStyle name="Nota 3 5 9" xfId="15155" xr:uid="{00000000-0005-0000-0000-000002420000}"/>
    <cellStyle name="Nota 3 6" xfId="15156" xr:uid="{00000000-0005-0000-0000-000003420000}"/>
    <cellStyle name="Nota 3 6 2" xfId="25914" xr:uid="{00000000-0005-0000-0000-000004420000}"/>
    <cellStyle name="Nota 3 6 3" xfId="27162" xr:uid="{00000000-0005-0000-0000-000005420000}"/>
    <cellStyle name="Nota 3 6 3 2" xfId="33010" xr:uid="{25DDF93E-B0A0-4383-8D18-C8417DA26A63}"/>
    <cellStyle name="Nota 3 7" xfId="15157" xr:uid="{00000000-0005-0000-0000-000006420000}"/>
    <cellStyle name="Nota 3 7 2" xfId="15158" xr:uid="{00000000-0005-0000-0000-000007420000}"/>
    <cellStyle name="Nota 3 7 2 2" xfId="24729" xr:uid="{00000000-0005-0000-0000-000008420000}"/>
    <cellStyle name="Nota 3 7 2 2 2" xfId="32738" xr:uid="{040BFBA1-BDCE-4153-AB90-905147EFA319}"/>
    <cellStyle name="Nota 3 7 3" xfId="24728" xr:uid="{00000000-0005-0000-0000-000009420000}"/>
    <cellStyle name="Nota 3 7 3 2" xfId="32737" xr:uid="{F78C64C3-AA16-462D-9CE8-F091F5ECBE1D}"/>
    <cellStyle name="Nota 3 7 4" xfId="27115" xr:uid="{00000000-0005-0000-0000-00000A420000}"/>
    <cellStyle name="Nota 3 7 5" xfId="27333" xr:uid="{00000000-0005-0000-0000-00000B420000}"/>
    <cellStyle name="Nota 3 7 5 2" xfId="33170" xr:uid="{D2517230-4445-4CF3-BA74-2FCC93730958}"/>
    <cellStyle name="Nota 3 8" xfId="15159" xr:uid="{00000000-0005-0000-0000-00000C420000}"/>
    <cellStyle name="Nota 3 8 2" xfId="15160" xr:uid="{00000000-0005-0000-0000-00000D420000}"/>
    <cellStyle name="Nota 3 8 2 2" xfId="24731" xr:uid="{00000000-0005-0000-0000-00000E420000}"/>
    <cellStyle name="Nota 3 8 2 2 2" xfId="32740" xr:uid="{1ACC1DF1-92AC-4335-9E80-88374993C372}"/>
    <cellStyle name="Nota 3 8 3" xfId="24730" xr:uid="{00000000-0005-0000-0000-00000F420000}"/>
    <cellStyle name="Nota 3 8 3 2" xfId="32739" xr:uid="{6DBA1459-20D0-4583-80CE-8013797E1E34}"/>
    <cellStyle name="Nota 3 9" xfId="15161" xr:uid="{00000000-0005-0000-0000-000010420000}"/>
    <cellStyle name="Nota 3 9 2" xfId="15162" xr:uid="{00000000-0005-0000-0000-000011420000}"/>
    <cellStyle name="Nota 3 9 2 2" xfId="24733" xr:uid="{00000000-0005-0000-0000-000012420000}"/>
    <cellStyle name="Nota 3 9 2 2 2" xfId="32742" xr:uid="{FB5A13FE-3574-4BC4-A966-44B9A448382E}"/>
    <cellStyle name="Nota 3 9 3" xfId="24732" xr:uid="{00000000-0005-0000-0000-000013420000}"/>
    <cellStyle name="Nota 3 9 3 2" xfId="32741" xr:uid="{65D6BA80-17C3-479C-BCE1-70D64E1BE825}"/>
    <cellStyle name="Nota 4" xfId="15163" xr:uid="{00000000-0005-0000-0000-000014420000}"/>
    <cellStyle name="Nota 4 10" xfId="15164" xr:uid="{00000000-0005-0000-0000-000015420000}"/>
    <cellStyle name="Nota 4 10 2" xfId="15165" xr:uid="{00000000-0005-0000-0000-000016420000}"/>
    <cellStyle name="Nota 4 10 2 2" xfId="24736" xr:uid="{00000000-0005-0000-0000-000017420000}"/>
    <cellStyle name="Nota 4 10 2 2 2" xfId="32745" xr:uid="{EC66C664-A438-47B8-BF3A-A48D22AD797F}"/>
    <cellStyle name="Nota 4 10 3" xfId="24735" xr:uid="{00000000-0005-0000-0000-000018420000}"/>
    <cellStyle name="Nota 4 10 3 2" xfId="32744" xr:uid="{3F9B24DD-1F52-4C29-8722-1D8CFECD02AD}"/>
    <cellStyle name="Nota 4 11" xfId="15166" xr:uid="{00000000-0005-0000-0000-000019420000}"/>
    <cellStyle name="Nota 4 11 2" xfId="15167" xr:uid="{00000000-0005-0000-0000-00001A420000}"/>
    <cellStyle name="Nota 4 11 2 2" xfId="24738" xr:uid="{00000000-0005-0000-0000-00001B420000}"/>
    <cellStyle name="Nota 4 11 2 2 2" xfId="32747" xr:uid="{610DE09B-D7AC-4577-AE2E-7181ADE8A281}"/>
    <cellStyle name="Nota 4 11 3" xfId="24737" xr:uid="{00000000-0005-0000-0000-00001C420000}"/>
    <cellStyle name="Nota 4 11 3 2" xfId="32746" xr:uid="{2F0017B8-7CE6-411A-9798-75FD8BD5DC58}"/>
    <cellStyle name="Nota 4 12" xfId="15168" xr:uid="{00000000-0005-0000-0000-00001D420000}"/>
    <cellStyle name="Nota 4 12 2" xfId="15169" xr:uid="{00000000-0005-0000-0000-00001E420000}"/>
    <cellStyle name="Nota 4 12 2 2" xfId="24740" xr:uid="{00000000-0005-0000-0000-00001F420000}"/>
    <cellStyle name="Nota 4 12 2 2 2" xfId="32749" xr:uid="{A5D84FA1-95C3-4812-A84E-BBDCCBD266C8}"/>
    <cellStyle name="Nota 4 12 3" xfId="24739" xr:uid="{00000000-0005-0000-0000-000020420000}"/>
    <cellStyle name="Nota 4 12 3 2" xfId="32748" xr:uid="{43C930E6-74D6-49D6-B0B0-738705585641}"/>
    <cellStyle name="Nota 4 13" xfId="15170" xr:uid="{00000000-0005-0000-0000-000021420000}"/>
    <cellStyle name="Nota 4 13 2" xfId="24741" xr:uid="{00000000-0005-0000-0000-000022420000}"/>
    <cellStyle name="Nota 4 13 2 2" xfId="32750" xr:uid="{61C0D123-24BC-45EA-8637-E49571E90DED}"/>
    <cellStyle name="Nota 4 14" xfId="24734" xr:uid="{00000000-0005-0000-0000-000023420000}"/>
    <cellStyle name="Nota 4 14 2" xfId="32743" xr:uid="{7CE6F8F7-A51F-429B-9836-37C9A45D3CB0}"/>
    <cellStyle name="Nota 4 2" xfId="15171" xr:uid="{00000000-0005-0000-0000-000024420000}"/>
    <cellStyle name="Nota 4 2 2" xfId="15172" xr:uid="{00000000-0005-0000-0000-000025420000}"/>
    <cellStyle name="Nota 4 2 2 2" xfId="24743" xr:uid="{00000000-0005-0000-0000-000026420000}"/>
    <cellStyle name="Nota 4 2 2 2 2" xfId="25918" xr:uid="{00000000-0005-0000-0000-000027420000}"/>
    <cellStyle name="Nota 4 2 2 2 3" xfId="25917" xr:uid="{00000000-0005-0000-0000-000028420000}"/>
    <cellStyle name="Nota 4 2 2 2 4" xfId="32752" xr:uid="{24FBB69B-B2BE-4ED4-9F07-B1CDBFDF1E6B}"/>
    <cellStyle name="Nota 4 2 2 3" xfId="25919" xr:uid="{00000000-0005-0000-0000-000029420000}"/>
    <cellStyle name="Nota 4 2 2 4" xfId="25916" xr:uid="{00000000-0005-0000-0000-00002A420000}"/>
    <cellStyle name="Nota 4 2 3" xfId="24742" xr:uid="{00000000-0005-0000-0000-00002B420000}"/>
    <cellStyle name="Nota 4 2 3 2" xfId="25921" xr:uid="{00000000-0005-0000-0000-00002C420000}"/>
    <cellStyle name="Nota 4 2 3 3" xfId="25920" xr:uid="{00000000-0005-0000-0000-00002D420000}"/>
    <cellStyle name="Nota 4 2 3 4" xfId="32751" xr:uid="{C45454DD-2284-4BDB-97E3-766C486C9E0D}"/>
    <cellStyle name="Nota 4 2 4" xfId="25922" xr:uid="{00000000-0005-0000-0000-00002E420000}"/>
    <cellStyle name="Nota 4 2 5" xfId="25915" xr:uid="{00000000-0005-0000-0000-00002F420000}"/>
    <cellStyle name="Nota 4 3" xfId="15173" xr:uid="{00000000-0005-0000-0000-000030420000}"/>
    <cellStyle name="Nota 4 3 10" xfId="15174" xr:uid="{00000000-0005-0000-0000-000031420000}"/>
    <cellStyle name="Nota 4 3 11" xfId="15175" xr:uid="{00000000-0005-0000-0000-000032420000}"/>
    <cellStyle name="Nota 4 3 12" xfId="15176" xr:uid="{00000000-0005-0000-0000-000033420000}"/>
    <cellStyle name="Nota 4 3 13" xfId="15177" xr:uid="{00000000-0005-0000-0000-000034420000}"/>
    <cellStyle name="Nota 4 3 13 2" xfId="24745" xr:uid="{00000000-0005-0000-0000-000035420000}"/>
    <cellStyle name="Nota 4 3 13 2 2" xfId="32754" xr:uid="{83B13303-4372-4F5C-899F-F860A54CEB64}"/>
    <cellStyle name="Nota 4 3 14" xfId="24744" xr:uid="{00000000-0005-0000-0000-000036420000}"/>
    <cellStyle name="Nota 4 3 14 2" xfId="32753" xr:uid="{98A316F9-A238-4B1F-8E48-CF11456C64FD}"/>
    <cellStyle name="Nota 4 3 2" xfId="15178" xr:uid="{00000000-0005-0000-0000-000037420000}"/>
    <cellStyle name="Nota 4 3 2 10" xfId="15179" xr:uid="{00000000-0005-0000-0000-000038420000}"/>
    <cellStyle name="Nota 4 3 2 10 2" xfId="15180" xr:uid="{00000000-0005-0000-0000-000039420000}"/>
    <cellStyle name="Nota 4 3 2 10 2 2" xfId="24747" xr:uid="{00000000-0005-0000-0000-00003A420000}"/>
    <cellStyle name="Nota 4 3 2 10 2 2 2" xfId="32756" xr:uid="{3A3DFBEA-66EE-4D42-B039-CC7D9873B93D}"/>
    <cellStyle name="Nota 4 3 2 10 3" xfId="24746" xr:uid="{00000000-0005-0000-0000-00003B420000}"/>
    <cellStyle name="Nota 4 3 2 10 3 2" xfId="32755" xr:uid="{97C978E3-2B57-4EE5-A210-4D86D426D258}"/>
    <cellStyle name="Nota 4 3 2 2" xfId="15181" xr:uid="{00000000-0005-0000-0000-00003C420000}"/>
    <cellStyle name="Nota 4 3 2 2 2" xfId="15182" xr:uid="{00000000-0005-0000-0000-00003D420000}"/>
    <cellStyle name="Nota 4 3 2 2 2 2" xfId="24749" xr:uid="{00000000-0005-0000-0000-00003E420000}"/>
    <cellStyle name="Nota 4 3 2 2 2 2 2" xfId="32758" xr:uid="{6113235E-B616-4F7B-9D13-B97E6659D297}"/>
    <cellStyle name="Nota 4 3 2 2 3" xfId="24748" xr:uid="{00000000-0005-0000-0000-00003F420000}"/>
    <cellStyle name="Nota 4 3 2 2 3 2" xfId="32757" xr:uid="{C7014807-5F10-4789-B59E-E7BE6948CA75}"/>
    <cellStyle name="Nota 4 3 2 2 4" xfId="25923" xr:uid="{00000000-0005-0000-0000-000040420000}"/>
    <cellStyle name="Nota 4 3 2 3" xfId="15183" xr:uid="{00000000-0005-0000-0000-000041420000}"/>
    <cellStyle name="Nota 4 3 2 3 2" xfId="15184" xr:uid="{00000000-0005-0000-0000-000042420000}"/>
    <cellStyle name="Nota 4 3 2 3 2 2" xfId="24751" xr:uid="{00000000-0005-0000-0000-000043420000}"/>
    <cellStyle name="Nota 4 3 2 3 2 2 2" xfId="32760" xr:uid="{DFB9A962-FD46-46A9-919E-B1EB94341371}"/>
    <cellStyle name="Nota 4 3 2 3 3" xfId="24750" xr:uid="{00000000-0005-0000-0000-000044420000}"/>
    <cellStyle name="Nota 4 3 2 3 3 2" xfId="32759" xr:uid="{0F8A7765-636C-4183-BAE3-760F05AF51AC}"/>
    <cellStyle name="Nota 4 3 2 4" xfId="15185" xr:uid="{00000000-0005-0000-0000-000045420000}"/>
    <cellStyle name="Nota 4 3 2 4 2" xfId="15186" xr:uid="{00000000-0005-0000-0000-000046420000}"/>
    <cellStyle name="Nota 4 3 2 4 2 2" xfId="24753" xr:uid="{00000000-0005-0000-0000-000047420000}"/>
    <cellStyle name="Nota 4 3 2 4 2 2 2" xfId="32762" xr:uid="{5FD26676-8DBA-4D1A-B939-10F6521A7DF0}"/>
    <cellStyle name="Nota 4 3 2 4 3" xfId="24752" xr:uid="{00000000-0005-0000-0000-000048420000}"/>
    <cellStyle name="Nota 4 3 2 4 3 2" xfId="32761" xr:uid="{227EE56B-ADAB-4C0F-ADB9-27127E345E6D}"/>
    <cellStyle name="Nota 4 3 2 5" xfId="15187" xr:uid="{00000000-0005-0000-0000-000049420000}"/>
    <cellStyle name="Nota 4 3 2 5 2" xfId="15188" xr:uid="{00000000-0005-0000-0000-00004A420000}"/>
    <cellStyle name="Nota 4 3 2 5 2 2" xfId="24755" xr:uid="{00000000-0005-0000-0000-00004B420000}"/>
    <cellStyle name="Nota 4 3 2 5 2 2 2" xfId="32764" xr:uid="{5CBE8427-0BD7-470B-9B30-A2B1EA23B213}"/>
    <cellStyle name="Nota 4 3 2 5 3" xfId="24754" xr:uid="{00000000-0005-0000-0000-00004C420000}"/>
    <cellStyle name="Nota 4 3 2 5 3 2" xfId="32763" xr:uid="{E5A16759-D033-4206-8108-F499EE4964D0}"/>
    <cellStyle name="Nota 4 3 2 6" xfId="15189" xr:uid="{00000000-0005-0000-0000-00004D420000}"/>
    <cellStyle name="Nota 4 3 2 6 2" xfId="15190" xr:uid="{00000000-0005-0000-0000-00004E420000}"/>
    <cellStyle name="Nota 4 3 2 6 2 2" xfId="24757" xr:uid="{00000000-0005-0000-0000-00004F420000}"/>
    <cellStyle name="Nota 4 3 2 6 2 2 2" xfId="32766" xr:uid="{321F0993-EDBA-4302-8A34-ACA63C75F316}"/>
    <cellStyle name="Nota 4 3 2 6 3" xfId="24756" xr:uid="{00000000-0005-0000-0000-000050420000}"/>
    <cellStyle name="Nota 4 3 2 6 3 2" xfId="32765" xr:uid="{1F397E51-1A54-46FA-B06E-B0E032014D9A}"/>
    <cellStyle name="Nota 4 3 2 7" xfId="15191" xr:uid="{00000000-0005-0000-0000-000051420000}"/>
    <cellStyle name="Nota 4 3 2 7 2" xfId="15192" xr:uid="{00000000-0005-0000-0000-000052420000}"/>
    <cellStyle name="Nota 4 3 2 7 2 2" xfId="24759" xr:uid="{00000000-0005-0000-0000-000053420000}"/>
    <cellStyle name="Nota 4 3 2 7 2 2 2" xfId="32768" xr:uid="{B6A03FCA-84E2-497D-BA99-7C6E50A296BB}"/>
    <cellStyle name="Nota 4 3 2 7 3" xfId="24758" xr:uid="{00000000-0005-0000-0000-000054420000}"/>
    <cellStyle name="Nota 4 3 2 7 3 2" xfId="32767" xr:uid="{B02FDC15-05BD-4A61-BCA9-12E036F7445C}"/>
    <cellStyle name="Nota 4 3 2 8" xfId="15193" xr:uid="{00000000-0005-0000-0000-000055420000}"/>
    <cellStyle name="Nota 4 3 2 8 2" xfId="15194" xr:uid="{00000000-0005-0000-0000-000056420000}"/>
    <cellStyle name="Nota 4 3 2 8 2 2" xfId="24761" xr:uid="{00000000-0005-0000-0000-000057420000}"/>
    <cellStyle name="Nota 4 3 2 8 2 2 2" xfId="32770" xr:uid="{A28075E6-F8B2-4873-B666-2420D47DB5AC}"/>
    <cellStyle name="Nota 4 3 2 8 3" xfId="24760" xr:uid="{00000000-0005-0000-0000-000058420000}"/>
    <cellStyle name="Nota 4 3 2 8 3 2" xfId="32769" xr:uid="{9B0E7E87-EFAB-4328-858B-CE766FCC76D8}"/>
    <cellStyle name="Nota 4 3 2 9" xfId="15195" xr:uid="{00000000-0005-0000-0000-000059420000}"/>
    <cellStyle name="Nota 4 3 2 9 2" xfId="15196" xr:uid="{00000000-0005-0000-0000-00005A420000}"/>
    <cellStyle name="Nota 4 3 2 9 2 2" xfId="24763" xr:uid="{00000000-0005-0000-0000-00005B420000}"/>
    <cellStyle name="Nota 4 3 2 9 2 2 2" xfId="32772" xr:uid="{84EF35BD-7F33-4BE6-A040-FBCAFFF04A0D}"/>
    <cellStyle name="Nota 4 3 2 9 3" xfId="24762" xr:uid="{00000000-0005-0000-0000-00005C420000}"/>
    <cellStyle name="Nota 4 3 2 9 3 2" xfId="32771" xr:uid="{BC89E013-95C6-4983-A14B-B8D697C7C89B}"/>
    <cellStyle name="Nota 4 3 3" xfId="15197" xr:uid="{00000000-0005-0000-0000-00005D420000}"/>
    <cellStyle name="Nota 4 3 3 2" xfId="15198" xr:uid="{00000000-0005-0000-0000-00005E420000}"/>
    <cellStyle name="Nota 4 3 3 2 2" xfId="24765" xr:uid="{00000000-0005-0000-0000-00005F420000}"/>
    <cellStyle name="Nota 4 3 3 2 2 2" xfId="32774" xr:uid="{FB9BA1DB-FDE6-4626-8C50-21A83C44A72C}"/>
    <cellStyle name="Nota 4 3 3 3" xfId="24764" xr:uid="{00000000-0005-0000-0000-000060420000}"/>
    <cellStyle name="Nota 4 3 3 3 2" xfId="32773" xr:uid="{1C9D8427-CF26-4415-9BE5-B89D7742B0C8}"/>
    <cellStyle name="Nota 4 3 3 4" xfId="25924" xr:uid="{00000000-0005-0000-0000-000061420000}"/>
    <cellStyle name="Nota 4 3 4" xfId="15199" xr:uid="{00000000-0005-0000-0000-000062420000}"/>
    <cellStyle name="Nota 4 3 4 2" xfId="15200" xr:uid="{00000000-0005-0000-0000-000063420000}"/>
    <cellStyle name="Nota 4 3 4 2 2" xfId="24767" xr:uid="{00000000-0005-0000-0000-000064420000}"/>
    <cellStyle name="Nota 4 3 4 2 2 2" xfId="32776" xr:uid="{C11D9C82-660E-46E9-8070-851DFA4DFCEF}"/>
    <cellStyle name="Nota 4 3 4 3" xfId="24766" xr:uid="{00000000-0005-0000-0000-000065420000}"/>
    <cellStyle name="Nota 4 3 4 3 2" xfId="32775" xr:uid="{5375A009-9648-4AD5-97E5-4EF733295E7A}"/>
    <cellStyle name="Nota 4 3 5" xfId="15201" xr:uid="{00000000-0005-0000-0000-000066420000}"/>
    <cellStyle name="Nota 4 3 6" xfId="15202" xr:uid="{00000000-0005-0000-0000-000067420000}"/>
    <cellStyle name="Nota 4 3 7" xfId="15203" xr:uid="{00000000-0005-0000-0000-000068420000}"/>
    <cellStyle name="Nota 4 3 8" xfId="15204" xr:uid="{00000000-0005-0000-0000-000069420000}"/>
    <cellStyle name="Nota 4 3 9" xfId="15205" xr:uid="{00000000-0005-0000-0000-00006A420000}"/>
    <cellStyle name="Nota 4 4" xfId="15206" xr:uid="{00000000-0005-0000-0000-00006B420000}"/>
    <cellStyle name="Nota 4 4 2" xfId="15207" xr:uid="{00000000-0005-0000-0000-00006C420000}"/>
    <cellStyle name="Nota 4 4 2 2" xfId="24769" xr:uid="{00000000-0005-0000-0000-00006D420000}"/>
    <cellStyle name="Nota 4 4 2 2 2" xfId="32778" xr:uid="{E981FD25-027F-4F69-8957-B7AC95BFDEC9}"/>
    <cellStyle name="Nota 4 4 2 3" xfId="25926" xr:uid="{00000000-0005-0000-0000-00006E420000}"/>
    <cellStyle name="Nota 4 4 3" xfId="24768" xr:uid="{00000000-0005-0000-0000-00006F420000}"/>
    <cellStyle name="Nota 4 4 3 2" xfId="32777" xr:uid="{13B3DABD-1B16-437C-9233-C73E3BB08D4A}"/>
    <cellStyle name="Nota 4 4 4" xfId="25925" xr:uid="{00000000-0005-0000-0000-000070420000}"/>
    <cellStyle name="Nota 4 5" xfId="15208" xr:uid="{00000000-0005-0000-0000-000071420000}"/>
    <cellStyle name="Nota 4 5 10" xfId="15209" xr:uid="{00000000-0005-0000-0000-000072420000}"/>
    <cellStyle name="Nota 4 5 11" xfId="15210" xr:uid="{00000000-0005-0000-0000-000073420000}"/>
    <cellStyle name="Nota 4 5 11 2" xfId="24771" xr:uid="{00000000-0005-0000-0000-000074420000}"/>
    <cellStyle name="Nota 4 5 11 2 2" xfId="32780" xr:uid="{14870393-79B5-4512-82C5-8EB428C6693D}"/>
    <cellStyle name="Nota 4 5 12" xfId="24770" xr:uid="{00000000-0005-0000-0000-000075420000}"/>
    <cellStyle name="Nota 4 5 12 2" xfId="32779" xr:uid="{6D77F1E2-20B4-4D9B-BFD1-74563A1E1A70}"/>
    <cellStyle name="Nota 4 5 2" xfId="15211" xr:uid="{00000000-0005-0000-0000-000076420000}"/>
    <cellStyle name="Nota 4 5 3" xfId="15212" xr:uid="{00000000-0005-0000-0000-000077420000}"/>
    <cellStyle name="Nota 4 5 4" xfId="15213" xr:uid="{00000000-0005-0000-0000-000078420000}"/>
    <cellStyle name="Nota 4 5 5" xfId="15214" xr:uid="{00000000-0005-0000-0000-000079420000}"/>
    <cellStyle name="Nota 4 5 6" xfId="15215" xr:uid="{00000000-0005-0000-0000-00007A420000}"/>
    <cellStyle name="Nota 4 5 7" xfId="15216" xr:uid="{00000000-0005-0000-0000-00007B420000}"/>
    <cellStyle name="Nota 4 5 8" xfId="15217" xr:uid="{00000000-0005-0000-0000-00007C420000}"/>
    <cellStyle name="Nota 4 5 9" xfId="15218" xr:uid="{00000000-0005-0000-0000-00007D420000}"/>
    <cellStyle name="Nota 4 6" xfId="15219" xr:uid="{00000000-0005-0000-0000-00007E420000}"/>
    <cellStyle name="Nota 4 7" xfId="15220" xr:uid="{00000000-0005-0000-0000-00007F420000}"/>
    <cellStyle name="Nota 4 7 2" xfId="15221" xr:uid="{00000000-0005-0000-0000-000080420000}"/>
    <cellStyle name="Nota 4 7 2 2" xfId="24773" xr:uid="{00000000-0005-0000-0000-000081420000}"/>
    <cellStyle name="Nota 4 7 2 2 2" xfId="32782" xr:uid="{CA537D88-AC76-468D-8F67-0C67FCB74AB8}"/>
    <cellStyle name="Nota 4 7 3" xfId="24772" xr:uid="{00000000-0005-0000-0000-000082420000}"/>
    <cellStyle name="Nota 4 7 3 2" xfId="32781" xr:uid="{DBAFED11-47A2-4ED2-BD3F-AB507B9792F5}"/>
    <cellStyle name="Nota 4 8" xfId="15222" xr:uid="{00000000-0005-0000-0000-000083420000}"/>
    <cellStyle name="Nota 4 8 2" xfId="15223" xr:uid="{00000000-0005-0000-0000-000084420000}"/>
    <cellStyle name="Nota 4 8 2 2" xfId="24775" xr:uid="{00000000-0005-0000-0000-000085420000}"/>
    <cellStyle name="Nota 4 8 2 2 2" xfId="32784" xr:uid="{D77732D0-BABA-43DC-83E3-B6F5AD279E52}"/>
    <cellStyle name="Nota 4 8 3" xfId="24774" xr:uid="{00000000-0005-0000-0000-000086420000}"/>
    <cellStyle name="Nota 4 8 3 2" xfId="32783" xr:uid="{B0D2B6C2-2682-4F16-956F-52E377F8AD8E}"/>
    <cellStyle name="Nota 4 9" xfId="15224" xr:uid="{00000000-0005-0000-0000-000087420000}"/>
    <cellStyle name="Nota 4 9 2" xfId="15225" xr:uid="{00000000-0005-0000-0000-000088420000}"/>
    <cellStyle name="Nota 4 9 2 2" xfId="24777" xr:uid="{00000000-0005-0000-0000-000089420000}"/>
    <cellStyle name="Nota 4 9 2 2 2" xfId="32786" xr:uid="{94F6E782-EC65-48AE-865E-988073846E6A}"/>
    <cellStyle name="Nota 4 9 3" xfId="24776" xr:uid="{00000000-0005-0000-0000-00008A420000}"/>
    <cellStyle name="Nota 4 9 3 2" xfId="32785" xr:uid="{CBF5F743-3A5A-46A9-ABFF-47111966DF52}"/>
    <cellStyle name="Nota 5" xfId="15226" xr:uid="{00000000-0005-0000-0000-00008B420000}"/>
    <cellStyle name="Nota 5 10" xfId="15227" xr:uid="{00000000-0005-0000-0000-00008C420000}"/>
    <cellStyle name="Nota 5 10 2" xfId="15228" xr:uid="{00000000-0005-0000-0000-00008D420000}"/>
    <cellStyle name="Nota 5 10 2 2" xfId="24780" xr:uid="{00000000-0005-0000-0000-00008E420000}"/>
    <cellStyle name="Nota 5 10 2 2 2" xfId="32789" xr:uid="{6F373331-702D-48AA-987B-40420D467B1E}"/>
    <cellStyle name="Nota 5 10 3" xfId="24779" xr:uid="{00000000-0005-0000-0000-00008F420000}"/>
    <cellStyle name="Nota 5 10 3 2" xfId="32788" xr:uid="{E27A7956-B3FA-4213-9103-F2FEC5387431}"/>
    <cellStyle name="Nota 5 11" xfId="15229" xr:uid="{00000000-0005-0000-0000-000090420000}"/>
    <cellStyle name="Nota 5 11 2" xfId="15230" xr:uid="{00000000-0005-0000-0000-000091420000}"/>
    <cellStyle name="Nota 5 11 2 2" xfId="24782" xr:uid="{00000000-0005-0000-0000-000092420000}"/>
    <cellStyle name="Nota 5 11 2 2 2" xfId="32791" xr:uid="{EC5F2235-4EAF-4AD7-849F-4C9A7400B165}"/>
    <cellStyle name="Nota 5 11 3" xfId="24781" xr:uid="{00000000-0005-0000-0000-000093420000}"/>
    <cellStyle name="Nota 5 11 3 2" xfId="32790" xr:uid="{916DBA54-72B8-4816-984D-42639C38ACD2}"/>
    <cellStyle name="Nota 5 12" xfId="15231" xr:uid="{00000000-0005-0000-0000-000094420000}"/>
    <cellStyle name="Nota 5 12 2" xfId="15232" xr:uid="{00000000-0005-0000-0000-000095420000}"/>
    <cellStyle name="Nota 5 12 2 2" xfId="24784" xr:uid="{00000000-0005-0000-0000-000096420000}"/>
    <cellStyle name="Nota 5 12 2 2 2" xfId="32793" xr:uid="{74B173B0-BBF6-4668-AAAF-285F97DC8D03}"/>
    <cellStyle name="Nota 5 12 3" xfId="24783" xr:uid="{00000000-0005-0000-0000-000097420000}"/>
    <cellStyle name="Nota 5 12 3 2" xfId="32792" xr:uid="{2C8E651F-2442-4884-BE58-EFE30CE49099}"/>
    <cellStyle name="Nota 5 13" xfId="15233" xr:uid="{00000000-0005-0000-0000-000098420000}"/>
    <cellStyle name="Nota 5 13 2" xfId="24785" xr:uid="{00000000-0005-0000-0000-000099420000}"/>
    <cellStyle name="Nota 5 13 2 2" xfId="32794" xr:uid="{D8FB34F5-2ABB-4991-ABE3-B1B3A30E8836}"/>
    <cellStyle name="Nota 5 14" xfId="24778" xr:uid="{00000000-0005-0000-0000-00009A420000}"/>
    <cellStyle name="Nota 5 14 2" xfId="32787" xr:uid="{9D493877-338B-420B-893D-82821CCD59D0}"/>
    <cellStyle name="Nota 5 2" xfId="15234" xr:uid="{00000000-0005-0000-0000-00009B420000}"/>
    <cellStyle name="Nota 5 2 2" xfId="15235" xr:uid="{00000000-0005-0000-0000-00009C420000}"/>
    <cellStyle name="Nota 5 2 2 2" xfId="24787" xr:uid="{00000000-0005-0000-0000-00009D420000}"/>
    <cellStyle name="Nota 5 2 2 2 2" xfId="25930" xr:uid="{00000000-0005-0000-0000-00009E420000}"/>
    <cellStyle name="Nota 5 2 2 2 3" xfId="25929" xr:uid="{00000000-0005-0000-0000-00009F420000}"/>
    <cellStyle name="Nota 5 2 2 2 4" xfId="32796" xr:uid="{4D59258F-862E-49B8-9CB3-15D89DAE56E3}"/>
    <cellStyle name="Nota 5 2 2 3" xfId="25931" xr:uid="{00000000-0005-0000-0000-0000A0420000}"/>
    <cellStyle name="Nota 5 2 2 4" xfId="25928" xr:uid="{00000000-0005-0000-0000-0000A1420000}"/>
    <cellStyle name="Nota 5 2 3" xfId="24786" xr:uid="{00000000-0005-0000-0000-0000A2420000}"/>
    <cellStyle name="Nota 5 2 3 2" xfId="25933" xr:uid="{00000000-0005-0000-0000-0000A3420000}"/>
    <cellStyle name="Nota 5 2 3 3" xfId="25932" xr:uid="{00000000-0005-0000-0000-0000A4420000}"/>
    <cellStyle name="Nota 5 2 3 4" xfId="32795" xr:uid="{A62FF023-A0A6-40DF-B5C4-BE32C4E03983}"/>
    <cellStyle name="Nota 5 2 4" xfId="25934" xr:uid="{00000000-0005-0000-0000-0000A5420000}"/>
    <cellStyle name="Nota 5 2 5" xfId="25927" xr:uid="{00000000-0005-0000-0000-0000A6420000}"/>
    <cellStyle name="Nota 5 3" xfId="15236" xr:uid="{00000000-0005-0000-0000-0000A7420000}"/>
    <cellStyle name="Nota 5 3 10" xfId="15237" xr:uid="{00000000-0005-0000-0000-0000A8420000}"/>
    <cellStyle name="Nota 5 3 10 2" xfId="15238" xr:uid="{00000000-0005-0000-0000-0000A9420000}"/>
    <cellStyle name="Nota 5 3 10 2 2" xfId="24789" xr:uid="{00000000-0005-0000-0000-0000AA420000}"/>
    <cellStyle name="Nota 5 3 10 2 2 2" xfId="32798" xr:uid="{AA6D846D-8EC4-420D-95BE-885E16E0E962}"/>
    <cellStyle name="Nota 5 3 10 3" xfId="24788" xr:uid="{00000000-0005-0000-0000-0000AB420000}"/>
    <cellStyle name="Nota 5 3 10 3 2" xfId="32797" xr:uid="{BFE35212-FDE6-49C2-9FDC-3BAE01EE6E8B}"/>
    <cellStyle name="Nota 5 3 11" xfId="15239" xr:uid="{00000000-0005-0000-0000-0000AC420000}"/>
    <cellStyle name="Nota 5 3 11 2" xfId="15240" xr:uid="{00000000-0005-0000-0000-0000AD420000}"/>
    <cellStyle name="Nota 5 3 11 2 2" xfId="24791" xr:uid="{00000000-0005-0000-0000-0000AE420000}"/>
    <cellStyle name="Nota 5 3 11 2 2 2" xfId="32800" xr:uid="{A44EDB85-712F-45DA-8A14-55EDD727B382}"/>
    <cellStyle name="Nota 5 3 11 3" xfId="24790" xr:uid="{00000000-0005-0000-0000-0000AF420000}"/>
    <cellStyle name="Nota 5 3 11 3 2" xfId="32799" xr:uid="{7B2B8624-E905-48A7-9591-CBEBCB5FF79C}"/>
    <cellStyle name="Nota 5 3 12" xfId="15241" xr:uid="{00000000-0005-0000-0000-0000B0420000}"/>
    <cellStyle name="Nota 5 3 12 2" xfId="15242" xr:uid="{00000000-0005-0000-0000-0000B1420000}"/>
    <cellStyle name="Nota 5 3 12 2 2" xfId="24793" xr:uid="{00000000-0005-0000-0000-0000B2420000}"/>
    <cellStyle name="Nota 5 3 12 2 2 2" xfId="32802" xr:uid="{504A8919-DE24-48DA-BFFE-5DCC6BB012F0}"/>
    <cellStyle name="Nota 5 3 12 3" xfId="24792" xr:uid="{00000000-0005-0000-0000-0000B3420000}"/>
    <cellStyle name="Nota 5 3 12 3 2" xfId="32801" xr:uid="{3F1CD828-DA07-426B-BD8E-5FD9E6577648}"/>
    <cellStyle name="Nota 5 3 13" xfId="15243" xr:uid="{00000000-0005-0000-0000-0000B4420000}"/>
    <cellStyle name="Nota 5 3 13 2" xfId="15244" xr:uid="{00000000-0005-0000-0000-0000B5420000}"/>
    <cellStyle name="Nota 5 3 13 2 2" xfId="24795" xr:uid="{00000000-0005-0000-0000-0000B6420000}"/>
    <cellStyle name="Nota 5 3 13 2 2 2" xfId="32804" xr:uid="{B33B2211-9B7B-44EA-A273-34CB166DC896}"/>
    <cellStyle name="Nota 5 3 13 3" xfId="24794" xr:uid="{00000000-0005-0000-0000-0000B7420000}"/>
    <cellStyle name="Nota 5 3 13 3 2" xfId="32803" xr:uid="{C7F88BB8-19F5-4DA1-8590-73C4B920C9D6}"/>
    <cellStyle name="Nota 5 3 2" xfId="15245" xr:uid="{00000000-0005-0000-0000-0000B8420000}"/>
    <cellStyle name="Nota 5 3 2 2" xfId="15246" xr:uid="{00000000-0005-0000-0000-0000B9420000}"/>
    <cellStyle name="Nota 5 3 2 2 2" xfId="24797" xr:uid="{00000000-0005-0000-0000-0000BA420000}"/>
    <cellStyle name="Nota 5 3 2 2 2 2" xfId="32806" xr:uid="{61A8404D-DBED-4434-93A6-742EA23DA6F9}"/>
    <cellStyle name="Nota 5 3 2 2 3" xfId="25936" xr:uid="{00000000-0005-0000-0000-0000BB420000}"/>
    <cellStyle name="Nota 5 3 2 3" xfId="24796" xr:uid="{00000000-0005-0000-0000-0000BC420000}"/>
    <cellStyle name="Nota 5 3 2 3 2" xfId="32805" xr:uid="{7A3804C0-DA92-4945-A07F-65B17EDDF6AB}"/>
    <cellStyle name="Nota 5 3 2 4" xfId="25935" xr:uid="{00000000-0005-0000-0000-0000BD420000}"/>
    <cellStyle name="Nota 5 3 3" xfId="15247" xr:uid="{00000000-0005-0000-0000-0000BE420000}"/>
    <cellStyle name="Nota 5 3 3 2" xfId="15248" xr:uid="{00000000-0005-0000-0000-0000BF420000}"/>
    <cellStyle name="Nota 5 3 3 2 2" xfId="24799" xr:uid="{00000000-0005-0000-0000-0000C0420000}"/>
    <cellStyle name="Nota 5 3 3 2 2 2" xfId="32808" xr:uid="{593C08E3-EB35-4F0B-A343-98DD32080EEF}"/>
    <cellStyle name="Nota 5 3 3 3" xfId="24798" xr:uid="{00000000-0005-0000-0000-0000C1420000}"/>
    <cellStyle name="Nota 5 3 3 3 2" xfId="32807" xr:uid="{50B5EB93-9D9E-4F0B-891C-20D8E8EA9696}"/>
    <cellStyle name="Nota 5 3 3 4" xfId="25937" xr:uid="{00000000-0005-0000-0000-0000C2420000}"/>
    <cellStyle name="Nota 5 3 4" xfId="15249" xr:uid="{00000000-0005-0000-0000-0000C3420000}"/>
    <cellStyle name="Nota 5 3 4 2" xfId="15250" xr:uid="{00000000-0005-0000-0000-0000C4420000}"/>
    <cellStyle name="Nota 5 3 4 2 2" xfId="24801" xr:uid="{00000000-0005-0000-0000-0000C5420000}"/>
    <cellStyle name="Nota 5 3 4 2 2 2" xfId="32810" xr:uid="{A83E80A0-EBAE-491F-A68D-A162FB05BECC}"/>
    <cellStyle name="Nota 5 3 4 3" xfId="24800" xr:uid="{00000000-0005-0000-0000-0000C6420000}"/>
    <cellStyle name="Nota 5 3 4 3 2" xfId="32809" xr:uid="{41F46A5A-16C6-4A23-8EE9-2DB2DC974286}"/>
    <cellStyle name="Nota 5 3 5" xfId="15251" xr:uid="{00000000-0005-0000-0000-0000C7420000}"/>
    <cellStyle name="Nota 5 3 5 2" xfId="15252" xr:uid="{00000000-0005-0000-0000-0000C8420000}"/>
    <cellStyle name="Nota 5 3 5 2 2" xfId="24803" xr:uid="{00000000-0005-0000-0000-0000C9420000}"/>
    <cellStyle name="Nota 5 3 5 2 2 2" xfId="32812" xr:uid="{CACDD4FE-B014-46C7-8C8F-3AE1D6C0571C}"/>
    <cellStyle name="Nota 5 3 5 3" xfId="24802" xr:uid="{00000000-0005-0000-0000-0000CA420000}"/>
    <cellStyle name="Nota 5 3 5 3 2" xfId="32811" xr:uid="{267C45D8-2C41-4909-B48D-247929CE90DD}"/>
    <cellStyle name="Nota 5 3 6" xfId="15253" xr:uid="{00000000-0005-0000-0000-0000CB420000}"/>
    <cellStyle name="Nota 5 3 6 2" xfId="15254" xr:uid="{00000000-0005-0000-0000-0000CC420000}"/>
    <cellStyle name="Nota 5 3 6 2 2" xfId="24805" xr:uid="{00000000-0005-0000-0000-0000CD420000}"/>
    <cellStyle name="Nota 5 3 6 2 2 2" xfId="32814" xr:uid="{E00A6184-1B6F-4DD6-9C13-40B2C0C0E569}"/>
    <cellStyle name="Nota 5 3 6 3" xfId="24804" xr:uid="{00000000-0005-0000-0000-0000CE420000}"/>
    <cellStyle name="Nota 5 3 6 3 2" xfId="32813" xr:uid="{B81FDCEE-F68E-4136-8747-50BC87DD3664}"/>
    <cellStyle name="Nota 5 3 7" xfId="15255" xr:uid="{00000000-0005-0000-0000-0000CF420000}"/>
    <cellStyle name="Nota 5 3 7 2" xfId="15256" xr:uid="{00000000-0005-0000-0000-0000D0420000}"/>
    <cellStyle name="Nota 5 3 7 2 2" xfId="24807" xr:uid="{00000000-0005-0000-0000-0000D1420000}"/>
    <cellStyle name="Nota 5 3 7 2 2 2" xfId="32816" xr:uid="{DD9F7BD4-7EDD-4683-90DB-E5477786F05F}"/>
    <cellStyle name="Nota 5 3 7 3" xfId="24806" xr:uid="{00000000-0005-0000-0000-0000D2420000}"/>
    <cellStyle name="Nota 5 3 7 3 2" xfId="32815" xr:uid="{A839774C-777E-4F0B-A718-31C2FA54225B}"/>
    <cellStyle name="Nota 5 3 8" xfId="15257" xr:uid="{00000000-0005-0000-0000-0000D3420000}"/>
    <cellStyle name="Nota 5 3 8 2" xfId="15258" xr:uid="{00000000-0005-0000-0000-0000D4420000}"/>
    <cellStyle name="Nota 5 3 8 2 2" xfId="24809" xr:uid="{00000000-0005-0000-0000-0000D5420000}"/>
    <cellStyle name="Nota 5 3 8 2 2 2" xfId="32818" xr:uid="{B34E1FEF-D440-42B8-829A-A6E76783250E}"/>
    <cellStyle name="Nota 5 3 8 3" xfId="24808" xr:uid="{00000000-0005-0000-0000-0000D6420000}"/>
    <cellStyle name="Nota 5 3 8 3 2" xfId="32817" xr:uid="{FFDA943B-FDEE-48B2-96FD-04E1FFF02897}"/>
    <cellStyle name="Nota 5 3 9" xfId="15259" xr:uid="{00000000-0005-0000-0000-0000D7420000}"/>
    <cellStyle name="Nota 5 3 9 2" xfId="15260" xr:uid="{00000000-0005-0000-0000-0000D8420000}"/>
    <cellStyle name="Nota 5 3 9 2 2" xfId="24811" xr:uid="{00000000-0005-0000-0000-0000D9420000}"/>
    <cellStyle name="Nota 5 3 9 2 2 2" xfId="32820" xr:uid="{F81AFB00-710D-45B6-807A-EED484767F4A}"/>
    <cellStyle name="Nota 5 3 9 3" xfId="24810" xr:uid="{00000000-0005-0000-0000-0000DA420000}"/>
    <cellStyle name="Nota 5 3 9 3 2" xfId="32819" xr:uid="{34CD7575-0EEF-4430-98B8-233996D656CC}"/>
    <cellStyle name="Nota 5 4" xfId="15261" xr:uid="{00000000-0005-0000-0000-0000DB420000}"/>
    <cellStyle name="Nota 5 4 2" xfId="15262" xr:uid="{00000000-0005-0000-0000-0000DC420000}"/>
    <cellStyle name="Nota 5 4 2 2" xfId="24813" xr:uid="{00000000-0005-0000-0000-0000DD420000}"/>
    <cellStyle name="Nota 5 4 2 2 2" xfId="32822" xr:uid="{C894CF52-2EA0-4AB0-A54F-1ABBA6152B4D}"/>
    <cellStyle name="Nota 5 4 2 3" xfId="25939" xr:uid="{00000000-0005-0000-0000-0000DE420000}"/>
    <cellStyle name="Nota 5 4 3" xfId="24812" xr:uid="{00000000-0005-0000-0000-0000DF420000}"/>
    <cellStyle name="Nota 5 4 3 2" xfId="32821" xr:uid="{B17048FB-628E-49AB-AFEB-FAF70DC112B0}"/>
    <cellStyle name="Nota 5 4 4" xfId="25938" xr:uid="{00000000-0005-0000-0000-0000E0420000}"/>
    <cellStyle name="Nota 5 5" xfId="15263" xr:uid="{00000000-0005-0000-0000-0000E1420000}"/>
    <cellStyle name="Nota 5 6" xfId="15264" xr:uid="{00000000-0005-0000-0000-0000E2420000}"/>
    <cellStyle name="Nota 5 7" xfId="15265" xr:uid="{00000000-0005-0000-0000-0000E3420000}"/>
    <cellStyle name="Nota 5 7 2" xfId="15266" xr:uid="{00000000-0005-0000-0000-0000E4420000}"/>
    <cellStyle name="Nota 5 7 2 2" xfId="24815" xr:uid="{00000000-0005-0000-0000-0000E5420000}"/>
    <cellStyle name="Nota 5 7 2 2 2" xfId="32824" xr:uid="{642DA4D8-589A-4E4A-976B-38F5438157A3}"/>
    <cellStyle name="Nota 5 7 3" xfId="24814" xr:uid="{00000000-0005-0000-0000-0000E6420000}"/>
    <cellStyle name="Nota 5 7 3 2" xfId="32823" xr:uid="{61F150FC-DD26-4861-9BA7-85BF28581B08}"/>
    <cellStyle name="Nota 5 8" xfId="15267" xr:uid="{00000000-0005-0000-0000-0000E7420000}"/>
    <cellStyle name="Nota 5 8 2" xfId="15268" xr:uid="{00000000-0005-0000-0000-0000E8420000}"/>
    <cellStyle name="Nota 5 8 2 2" xfId="24817" xr:uid="{00000000-0005-0000-0000-0000E9420000}"/>
    <cellStyle name="Nota 5 8 2 2 2" xfId="32826" xr:uid="{88255BC8-BF38-41CD-B761-4586E49449F8}"/>
    <cellStyle name="Nota 5 8 3" xfId="24816" xr:uid="{00000000-0005-0000-0000-0000EA420000}"/>
    <cellStyle name="Nota 5 8 3 2" xfId="32825" xr:uid="{A731951F-D26E-43A2-A778-FB750B3DAF50}"/>
    <cellStyle name="Nota 5 9" xfId="15269" xr:uid="{00000000-0005-0000-0000-0000EB420000}"/>
    <cellStyle name="Nota 5 9 2" xfId="15270" xr:uid="{00000000-0005-0000-0000-0000EC420000}"/>
    <cellStyle name="Nota 5 9 2 2" xfId="24819" xr:uid="{00000000-0005-0000-0000-0000ED420000}"/>
    <cellStyle name="Nota 5 9 2 2 2" xfId="32828" xr:uid="{E080A3C8-EB13-4BF6-B768-1C6AD51C819B}"/>
    <cellStyle name="Nota 5 9 3" xfId="24818" xr:uid="{00000000-0005-0000-0000-0000EE420000}"/>
    <cellStyle name="Nota 5 9 3 2" xfId="32827" xr:uid="{72D88279-9139-483D-BBF9-FA8FF977CAA9}"/>
    <cellStyle name="Nota 6" xfId="15271" xr:uid="{00000000-0005-0000-0000-0000EF420000}"/>
    <cellStyle name="Nota 6 10" xfId="15272" xr:uid="{00000000-0005-0000-0000-0000F0420000}"/>
    <cellStyle name="Nota 6 10 2" xfId="15273" xr:uid="{00000000-0005-0000-0000-0000F1420000}"/>
    <cellStyle name="Nota 6 11" xfId="15274" xr:uid="{00000000-0005-0000-0000-0000F2420000}"/>
    <cellStyle name="Nota 6 11 2" xfId="15275" xr:uid="{00000000-0005-0000-0000-0000F3420000}"/>
    <cellStyle name="Nota 6 12" xfId="15276" xr:uid="{00000000-0005-0000-0000-0000F4420000}"/>
    <cellStyle name="Nota 6 12 2" xfId="15277" xr:uid="{00000000-0005-0000-0000-0000F5420000}"/>
    <cellStyle name="Nota 6 13" xfId="15278" xr:uid="{00000000-0005-0000-0000-0000F6420000}"/>
    <cellStyle name="Nota 6 13 2" xfId="15279" xr:uid="{00000000-0005-0000-0000-0000F7420000}"/>
    <cellStyle name="Nota 6 14" xfId="15280" xr:uid="{00000000-0005-0000-0000-0000F8420000}"/>
    <cellStyle name="Nota 6 14 2" xfId="15281" xr:uid="{00000000-0005-0000-0000-0000F9420000}"/>
    <cellStyle name="Nota 6 15" xfId="15282" xr:uid="{00000000-0005-0000-0000-0000FA420000}"/>
    <cellStyle name="Nota 6 15 2" xfId="15283" xr:uid="{00000000-0005-0000-0000-0000FB420000}"/>
    <cellStyle name="Nota 6 16" xfId="15284" xr:uid="{00000000-0005-0000-0000-0000FC420000}"/>
    <cellStyle name="Nota 6 16 2" xfId="15285" xr:uid="{00000000-0005-0000-0000-0000FD420000}"/>
    <cellStyle name="Nota 6 17" xfId="15286" xr:uid="{00000000-0005-0000-0000-0000FE420000}"/>
    <cellStyle name="Nota 6 17 2" xfId="15287" xr:uid="{00000000-0005-0000-0000-0000FF420000}"/>
    <cellStyle name="Nota 6 18" xfId="15288" xr:uid="{00000000-0005-0000-0000-000000430000}"/>
    <cellStyle name="Nota 6 18 2" xfId="15289" xr:uid="{00000000-0005-0000-0000-000001430000}"/>
    <cellStyle name="Nota 6 19" xfId="15290" xr:uid="{00000000-0005-0000-0000-000002430000}"/>
    <cellStyle name="Nota 6 19 2" xfId="15291" xr:uid="{00000000-0005-0000-0000-000003430000}"/>
    <cellStyle name="Nota 6 2" xfId="15292" xr:uid="{00000000-0005-0000-0000-000004430000}"/>
    <cellStyle name="Nota 6 2 10" xfId="15293" xr:uid="{00000000-0005-0000-0000-000005430000}"/>
    <cellStyle name="Nota 6 2 10 2" xfId="15294" xr:uid="{00000000-0005-0000-0000-000006430000}"/>
    <cellStyle name="Nota 6 2 11" xfId="15295" xr:uid="{00000000-0005-0000-0000-000007430000}"/>
    <cellStyle name="Nota 6 2 11 2" xfId="15296" xr:uid="{00000000-0005-0000-0000-000008430000}"/>
    <cellStyle name="Nota 6 2 12" xfId="15297" xr:uid="{00000000-0005-0000-0000-000009430000}"/>
    <cellStyle name="Nota 6 2 12 2" xfId="15298" xr:uid="{00000000-0005-0000-0000-00000A430000}"/>
    <cellStyle name="Nota 6 2 13" xfId="15299" xr:uid="{00000000-0005-0000-0000-00000B430000}"/>
    <cellStyle name="Nota 6 2 13 2" xfId="15300" xr:uid="{00000000-0005-0000-0000-00000C430000}"/>
    <cellStyle name="Nota 6 2 14" xfId="15301" xr:uid="{00000000-0005-0000-0000-00000D430000}"/>
    <cellStyle name="Nota 6 2 14 2" xfId="15302" xr:uid="{00000000-0005-0000-0000-00000E430000}"/>
    <cellStyle name="Nota 6 2 15" xfId="15303" xr:uid="{00000000-0005-0000-0000-00000F430000}"/>
    <cellStyle name="Nota 6 2 15 2" xfId="15304" xr:uid="{00000000-0005-0000-0000-000010430000}"/>
    <cellStyle name="Nota 6 2 16" xfId="15305" xr:uid="{00000000-0005-0000-0000-000011430000}"/>
    <cellStyle name="Nota 6 2 16 2" xfId="15306" xr:uid="{00000000-0005-0000-0000-000012430000}"/>
    <cellStyle name="Nota 6 2 17" xfId="15307" xr:uid="{00000000-0005-0000-0000-000013430000}"/>
    <cellStyle name="Nota 6 2 17 2" xfId="15308" xr:uid="{00000000-0005-0000-0000-000014430000}"/>
    <cellStyle name="Nota 6 2 18" xfId="15309" xr:uid="{00000000-0005-0000-0000-000015430000}"/>
    <cellStyle name="Nota 6 2 18 2" xfId="15310" xr:uid="{00000000-0005-0000-0000-000016430000}"/>
    <cellStyle name="Nota 6 2 19" xfId="15311" xr:uid="{00000000-0005-0000-0000-000017430000}"/>
    <cellStyle name="Nota 6 2 19 2" xfId="15312" xr:uid="{00000000-0005-0000-0000-000018430000}"/>
    <cellStyle name="Nota 6 2 2" xfId="15313" xr:uid="{00000000-0005-0000-0000-000019430000}"/>
    <cellStyle name="Nota 6 2 2 2" xfId="15314" xr:uid="{00000000-0005-0000-0000-00001A430000}"/>
    <cellStyle name="Nota 6 2 2 2 2" xfId="15315" xr:uid="{00000000-0005-0000-0000-00001B430000}"/>
    <cellStyle name="Nota 6 2 2 2 2 2" xfId="25943" xr:uid="{00000000-0005-0000-0000-00001C430000}"/>
    <cellStyle name="Nota 6 2 2 2 3" xfId="25942" xr:uid="{00000000-0005-0000-0000-00001D430000}"/>
    <cellStyle name="Nota 6 2 2 3" xfId="15316" xr:uid="{00000000-0005-0000-0000-00001E430000}"/>
    <cellStyle name="Nota 6 2 2 3 2" xfId="15317" xr:uid="{00000000-0005-0000-0000-00001F430000}"/>
    <cellStyle name="Nota 6 2 2 3 3" xfId="25944" xr:uid="{00000000-0005-0000-0000-000020430000}"/>
    <cellStyle name="Nota 6 2 2 4" xfId="15318" xr:uid="{00000000-0005-0000-0000-000021430000}"/>
    <cellStyle name="Nota 6 2 2 4 2" xfId="15319" xr:uid="{00000000-0005-0000-0000-000022430000}"/>
    <cellStyle name="Nota 6 2 2 5" xfId="15320" xr:uid="{00000000-0005-0000-0000-000023430000}"/>
    <cellStyle name="Nota 6 2 2 5 2" xfId="15321" xr:uid="{00000000-0005-0000-0000-000024430000}"/>
    <cellStyle name="Nota 6 2 2 6" xfId="15322" xr:uid="{00000000-0005-0000-0000-000025430000}"/>
    <cellStyle name="Nota 6 2 2 7" xfId="25941" xr:uid="{00000000-0005-0000-0000-000026430000}"/>
    <cellStyle name="Nota 6 2 20" xfId="15323" xr:uid="{00000000-0005-0000-0000-000027430000}"/>
    <cellStyle name="Nota 6 2 20 2" xfId="15324" xr:uid="{00000000-0005-0000-0000-000028430000}"/>
    <cellStyle name="Nota 6 2 21" xfId="15325" xr:uid="{00000000-0005-0000-0000-000029430000}"/>
    <cellStyle name="Nota 6 2 21 2" xfId="15326" xr:uid="{00000000-0005-0000-0000-00002A430000}"/>
    <cellStyle name="Nota 6 2 22" xfId="15327" xr:uid="{00000000-0005-0000-0000-00002B430000}"/>
    <cellStyle name="Nota 6 2 22 2" xfId="15328" xr:uid="{00000000-0005-0000-0000-00002C430000}"/>
    <cellStyle name="Nota 6 2 23" xfId="15329" xr:uid="{00000000-0005-0000-0000-00002D430000}"/>
    <cellStyle name="Nota 6 2 23 2" xfId="15330" xr:uid="{00000000-0005-0000-0000-00002E430000}"/>
    <cellStyle name="Nota 6 2 24" xfId="15331" xr:uid="{00000000-0005-0000-0000-00002F430000}"/>
    <cellStyle name="Nota 6 2 24 2" xfId="15332" xr:uid="{00000000-0005-0000-0000-000030430000}"/>
    <cellStyle name="Nota 6 2 25" xfId="15333" xr:uid="{00000000-0005-0000-0000-000031430000}"/>
    <cellStyle name="Nota 6 2 25 2" xfId="15334" xr:uid="{00000000-0005-0000-0000-000032430000}"/>
    <cellStyle name="Nota 6 2 26" xfId="15335" xr:uid="{00000000-0005-0000-0000-000033430000}"/>
    <cellStyle name="Nota 6 2 26 2" xfId="15336" xr:uid="{00000000-0005-0000-0000-000034430000}"/>
    <cellStyle name="Nota 6 2 27" xfId="15337" xr:uid="{00000000-0005-0000-0000-000035430000}"/>
    <cellStyle name="Nota 6 2 27 2" xfId="15338" xr:uid="{00000000-0005-0000-0000-000036430000}"/>
    <cellStyle name="Nota 6 2 28" xfId="15339" xr:uid="{00000000-0005-0000-0000-000037430000}"/>
    <cellStyle name="Nota 6 2 28 2" xfId="15340" xr:uid="{00000000-0005-0000-0000-000038430000}"/>
    <cellStyle name="Nota 6 2 29" xfId="15341" xr:uid="{00000000-0005-0000-0000-000039430000}"/>
    <cellStyle name="Nota 6 2 29 2" xfId="15342" xr:uid="{00000000-0005-0000-0000-00003A430000}"/>
    <cellStyle name="Nota 6 2 3" xfId="15343" xr:uid="{00000000-0005-0000-0000-00003B430000}"/>
    <cellStyle name="Nota 6 2 3 2" xfId="15344" xr:uid="{00000000-0005-0000-0000-00003C430000}"/>
    <cellStyle name="Nota 6 2 3 2 2" xfId="15345" xr:uid="{00000000-0005-0000-0000-00003D430000}"/>
    <cellStyle name="Nota 6 2 3 2 3" xfId="25946" xr:uid="{00000000-0005-0000-0000-00003E430000}"/>
    <cellStyle name="Nota 6 2 3 3" xfId="15346" xr:uid="{00000000-0005-0000-0000-00003F430000}"/>
    <cellStyle name="Nota 6 2 3 3 2" xfId="15347" xr:uid="{00000000-0005-0000-0000-000040430000}"/>
    <cellStyle name="Nota 6 2 3 4" xfId="15348" xr:uid="{00000000-0005-0000-0000-000041430000}"/>
    <cellStyle name="Nota 6 2 3 4 2" xfId="15349" xr:uid="{00000000-0005-0000-0000-000042430000}"/>
    <cellStyle name="Nota 6 2 3 5" xfId="15350" xr:uid="{00000000-0005-0000-0000-000043430000}"/>
    <cellStyle name="Nota 6 2 3 5 2" xfId="15351" xr:uid="{00000000-0005-0000-0000-000044430000}"/>
    <cellStyle name="Nota 6 2 3 6" xfId="15352" xr:uid="{00000000-0005-0000-0000-000045430000}"/>
    <cellStyle name="Nota 6 2 3 7" xfId="25945" xr:uid="{00000000-0005-0000-0000-000046430000}"/>
    <cellStyle name="Nota 6 2 30" xfId="15353" xr:uid="{00000000-0005-0000-0000-000047430000}"/>
    <cellStyle name="Nota 6 2 30 2" xfId="15354" xr:uid="{00000000-0005-0000-0000-000048430000}"/>
    <cellStyle name="Nota 6 2 31" xfId="15355" xr:uid="{00000000-0005-0000-0000-000049430000}"/>
    <cellStyle name="Nota 6 2 31 2" xfId="15356" xr:uid="{00000000-0005-0000-0000-00004A430000}"/>
    <cellStyle name="Nota 6 2 32" xfId="15357" xr:uid="{00000000-0005-0000-0000-00004B430000}"/>
    <cellStyle name="Nota 6 2 32 2" xfId="15358" xr:uid="{00000000-0005-0000-0000-00004C430000}"/>
    <cellStyle name="Nota 6 2 33" xfId="15359" xr:uid="{00000000-0005-0000-0000-00004D430000}"/>
    <cellStyle name="Nota 6 2 33 2" xfId="15360" xr:uid="{00000000-0005-0000-0000-00004E430000}"/>
    <cellStyle name="Nota 6 2 34" xfId="15361" xr:uid="{00000000-0005-0000-0000-00004F430000}"/>
    <cellStyle name="Nota 6 2 34 2" xfId="15362" xr:uid="{00000000-0005-0000-0000-000050430000}"/>
    <cellStyle name="Nota 6 2 35" xfId="15363" xr:uid="{00000000-0005-0000-0000-000051430000}"/>
    <cellStyle name="Nota 6 2 35 2" xfId="15364" xr:uid="{00000000-0005-0000-0000-000052430000}"/>
    <cellStyle name="Nota 6 2 36" xfId="15365" xr:uid="{00000000-0005-0000-0000-000053430000}"/>
    <cellStyle name="Nota 6 2 36 2" xfId="15366" xr:uid="{00000000-0005-0000-0000-000054430000}"/>
    <cellStyle name="Nota 6 2 37" xfId="15367" xr:uid="{00000000-0005-0000-0000-000055430000}"/>
    <cellStyle name="Nota 6 2 38" xfId="25940" xr:uid="{00000000-0005-0000-0000-000056430000}"/>
    <cellStyle name="Nota 6 2 4" xfId="15368" xr:uid="{00000000-0005-0000-0000-000057430000}"/>
    <cellStyle name="Nota 6 2 4 2" xfId="15369" xr:uid="{00000000-0005-0000-0000-000058430000}"/>
    <cellStyle name="Nota 6 2 4 2 2" xfId="15370" xr:uid="{00000000-0005-0000-0000-000059430000}"/>
    <cellStyle name="Nota 6 2 4 3" xfId="15371" xr:uid="{00000000-0005-0000-0000-00005A430000}"/>
    <cellStyle name="Nota 6 2 4 3 2" xfId="15372" xr:uid="{00000000-0005-0000-0000-00005B430000}"/>
    <cellStyle name="Nota 6 2 4 4" xfId="15373" xr:uid="{00000000-0005-0000-0000-00005C430000}"/>
    <cellStyle name="Nota 6 2 4 4 2" xfId="15374" xr:uid="{00000000-0005-0000-0000-00005D430000}"/>
    <cellStyle name="Nota 6 2 4 5" xfId="15375" xr:uid="{00000000-0005-0000-0000-00005E430000}"/>
    <cellStyle name="Nota 6 2 4 5 2" xfId="15376" xr:uid="{00000000-0005-0000-0000-00005F430000}"/>
    <cellStyle name="Nota 6 2 4 6" xfId="15377" xr:uid="{00000000-0005-0000-0000-000060430000}"/>
    <cellStyle name="Nota 6 2 4 7" xfId="25947" xr:uid="{00000000-0005-0000-0000-000061430000}"/>
    <cellStyle name="Nota 6 2 5" xfId="15378" xr:uid="{00000000-0005-0000-0000-000062430000}"/>
    <cellStyle name="Nota 6 2 5 2" xfId="15379" xr:uid="{00000000-0005-0000-0000-000063430000}"/>
    <cellStyle name="Nota 6 2 6" xfId="15380" xr:uid="{00000000-0005-0000-0000-000064430000}"/>
    <cellStyle name="Nota 6 2 6 2" xfId="15381" xr:uid="{00000000-0005-0000-0000-000065430000}"/>
    <cellStyle name="Nota 6 2 7" xfId="15382" xr:uid="{00000000-0005-0000-0000-000066430000}"/>
    <cellStyle name="Nota 6 2 7 2" xfId="15383" xr:uid="{00000000-0005-0000-0000-000067430000}"/>
    <cellStyle name="Nota 6 2 8" xfId="15384" xr:uid="{00000000-0005-0000-0000-000068430000}"/>
    <cellStyle name="Nota 6 2 8 2" xfId="15385" xr:uid="{00000000-0005-0000-0000-000069430000}"/>
    <cellStyle name="Nota 6 2 9" xfId="15386" xr:uid="{00000000-0005-0000-0000-00006A430000}"/>
    <cellStyle name="Nota 6 2 9 2" xfId="15387" xr:uid="{00000000-0005-0000-0000-00006B430000}"/>
    <cellStyle name="Nota 6 20" xfId="15388" xr:uid="{00000000-0005-0000-0000-00006C430000}"/>
    <cellStyle name="Nota 6 20 2" xfId="15389" xr:uid="{00000000-0005-0000-0000-00006D430000}"/>
    <cellStyle name="Nota 6 21" xfId="15390" xr:uid="{00000000-0005-0000-0000-00006E430000}"/>
    <cellStyle name="Nota 6 21 2" xfId="15391" xr:uid="{00000000-0005-0000-0000-00006F430000}"/>
    <cellStyle name="Nota 6 22" xfId="15392" xr:uid="{00000000-0005-0000-0000-000070430000}"/>
    <cellStyle name="Nota 6 22 2" xfId="15393" xr:uid="{00000000-0005-0000-0000-000071430000}"/>
    <cellStyle name="Nota 6 23" xfId="15394" xr:uid="{00000000-0005-0000-0000-000072430000}"/>
    <cellStyle name="Nota 6 23 2" xfId="15395" xr:uid="{00000000-0005-0000-0000-000073430000}"/>
    <cellStyle name="Nota 6 24" xfId="15396" xr:uid="{00000000-0005-0000-0000-000074430000}"/>
    <cellStyle name="Nota 6 24 2" xfId="15397" xr:uid="{00000000-0005-0000-0000-000075430000}"/>
    <cellStyle name="Nota 6 25" xfId="15398" xr:uid="{00000000-0005-0000-0000-000076430000}"/>
    <cellStyle name="Nota 6 25 2" xfId="15399" xr:uid="{00000000-0005-0000-0000-000077430000}"/>
    <cellStyle name="Nota 6 26" xfId="15400" xr:uid="{00000000-0005-0000-0000-000078430000}"/>
    <cellStyle name="Nota 6 26 2" xfId="15401" xr:uid="{00000000-0005-0000-0000-000079430000}"/>
    <cellStyle name="Nota 6 27" xfId="15402" xr:uid="{00000000-0005-0000-0000-00007A430000}"/>
    <cellStyle name="Nota 6 27 2" xfId="15403" xr:uid="{00000000-0005-0000-0000-00007B430000}"/>
    <cellStyle name="Nota 6 28" xfId="15404" xr:uid="{00000000-0005-0000-0000-00007C430000}"/>
    <cellStyle name="Nota 6 28 2" xfId="15405" xr:uid="{00000000-0005-0000-0000-00007D430000}"/>
    <cellStyle name="Nota 6 29" xfId="15406" xr:uid="{00000000-0005-0000-0000-00007E430000}"/>
    <cellStyle name="Nota 6 29 2" xfId="15407" xr:uid="{00000000-0005-0000-0000-00007F430000}"/>
    <cellStyle name="Nota 6 3" xfId="15408" xr:uid="{00000000-0005-0000-0000-000080430000}"/>
    <cellStyle name="Nota 6 3 10" xfId="15409" xr:uid="{00000000-0005-0000-0000-000081430000}"/>
    <cellStyle name="Nota 6 3 10 2" xfId="15410" xr:uid="{00000000-0005-0000-0000-000082430000}"/>
    <cellStyle name="Nota 6 3 11" xfId="15411" xr:uid="{00000000-0005-0000-0000-000083430000}"/>
    <cellStyle name="Nota 6 3 12" xfId="15412" xr:uid="{00000000-0005-0000-0000-000084430000}"/>
    <cellStyle name="Nota 6 3 12 2" xfId="15413" xr:uid="{00000000-0005-0000-0000-000085430000}"/>
    <cellStyle name="Nota 6 3 13" xfId="15414" xr:uid="{00000000-0005-0000-0000-000086430000}"/>
    <cellStyle name="Nota 6 3 14" xfId="15415" xr:uid="{00000000-0005-0000-0000-000087430000}"/>
    <cellStyle name="Nota 6 3 14 2" xfId="15416" xr:uid="{00000000-0005-0000-0000-000088430000}"/>
    <cellStyle name="Nota 6 3 15" xfId="15417" xr:uid="{00000000-0005-0000-0000-000089430000}"/>
    <cellStyle name="Nota 6 3 16" xfId="15418" xr:uid="{00000000-0005-0000-0000-00008A430000}"/>
    <cellStyle name="Nota 6 3 17" xfId="15419" xr:uid="{00000000-0005-0000-0000-00008B430000}"/>
    <cellStyle name="Nota 6 3 17 2" xfId="15420" xr:uid="{00000000-0005-0000-0000-00008C430000}"/>
    <cellStyle name="Nota 6 3 18" xfId="15421" xr:uid="{00000000-0005-0000-0000-00008D430000}"/>
    <cellStyle name="Nota 6 3 18 2" xfId="15422" xr:uid="{00000000-0005-0000-0000-00008E430000}"/>
    <cellStyle name="Nota 6 3 19" xfId="15423" xr:uid="{00000000-0005-0000-0000-00008F430000}"/>
    <cellStyle name="Nota 6 3 19 2" xfId="15424" xr:uid="{00000000-0005-0000-0000-000090430000}"/>
    <cellStyle name="Nota 6 3 2" xfId="15425" xr:uid="{00000000-0005-0000-0000-000091430000}"/>
    <cellStyle name="Nota 6 3 2 10" xfId="15426" xr:uid="{00000000-0005-0000-0000-000092430000}"/>
    <cellStyle name="Nota 6 3 2 10 2" xfId="15427" xr:uid="{00000000-0005-0000-0000-000093430000}"/>
    <cellStyle name="Nota 6 3 2 2" xfId="15428" xr:uid="{00000000-0005-0000-0000-000094430000}"/>
    <cellStyle name="Nota 6 3 2 2 2" xfId="15429" xr:uid="{00000000-0005-0000-0000-000095430000}"/>
    <cellStyle name="Nota 6 3 2 2 3" xfId="25948" xr:uid="{00000000-0005-0000-0000-000096430000}"/>
    <cellStyle name="Nota 6 3 2 3" xfId="15430" xr:uid="{00000000-0005-0000-0000-000097430000}"/>
    <cellStyle name="Nota 6 3 2 3 2" xfId="15431" xr:uid="{00000000-0005-0000-0000-000098430000}"/>
    <cellStyle name="Nota 6 3 2 4" xfId="15432" xr:uid="{00000000-0005-0000-0000-000099430000}"/>
    <cellStyle name="Nota 6 3 2 4 2" xfId="15433" xr:uid="{00000000-0005-0000-0000-00009A430000}"/>
    <cellStyle name="Nota 6 3 2 5" xfId="15434" xr:uid="{00000000-0005-0000-0000-00009B430000}"/>
    <cellStyle name="Nota 6 3 2 5 2" xfId="15435" xr:uid="{00000000-0005-0000-0000-00009C430000}"/>
    <cellStyle name="Nota 6 3 2 6" xfId="15436" xr:uid="{00000000-0005-0000-0000-00009D430000}"/>
    <cellStyle name="Nota 6 3 2 6 2" xfId="15437" xr:uid="{00000000-0005-0000-0000-00009E430000}"/>
    <cellStyle name="Nota 6 3 2 7" xfId="15438" xr:uid="{00000000-0005-0000-0000-00009F430000}"/>
    <cellStyle name="Nota 6 3 2 7 2" xfId="15439" xr:uid="{00000000-0005-0000-0000-0000A0430000}"/>
    <cellStyle name="Nota 6 3 2 8" xfId="15440" xr:uid="{00000000-0005-0000-0000-0000A1430000}"/>
    <cellStyle name="Nota 6 3 2 8 2" xfId="15441" xr:uid="{00000000-0005-0000-0000-0000A2430000}"/>
    <cellStyle name="Nota 6 3 2 9" xfId="15442" xr:uid="{00000000-0005-0000-0000-0000A3430000}"/>
    <cellStyle name="Nota 6 3 2 9 2" xfId="15443" xr:uid="{00000000-0005-0000-0000-0000A4430000}"/>
    <cellStyle name="Nota 6 3 20" xfId="15444" xr:uid="{00000000-0005-0000-0000-0000A5430000}"/>
    <cellStyle name="Nota 6 3 20 2" xfId="15445" xr:uid="{00000000-0005-0000-0000-0000A6430000}"/>
    <cellStyle name="Nota 6 3 21" xfId="15446" xr:uid="{00000000-0005-0000-0000-0000A7430000}"/>
    <cellStyle name="Nota 6 3 21 2" xfId="15447" xr:uid="{00000000-0005-0000-0000-0000A8430000}"/>
    <cellStyle name="Nota 6 3 22" xfId="15448" xr:uid="{00000000-0005-0000-0000-0000A9430000}"/>
    <cellStyle name="Nota 6 3 22 2" xfId="15449" xr:uid="{00000000-0005-0000-0000-0000AA430000}"/>
    <cellStyle name="Nota 6 3 23" xfId="15450" xr:uid="{00000000-0005-0000-0000-0000AB430000}"/>
    <cellStyle name="Nota 6 3 23 2" xfId="15451" xr:uid="{00000000-0005-0000-0000-0000AC430000}"/>
    <cellStyle name="Nota 6 3 24" xfId="15452" xr:uid="{00000000-0005-0000-0000-0000AD430000}"/>
    <cellStyle name="Nota 6 3 24 2" xfId="15453" xr:uid="{00000000-0005-0000-0000-0000AE430000}"/>
    <cellStyle name="Nota 6 3 25" xfId="15454" xr:uid="{00000000-0005-0000-0000-0000AF430000}"/>
    <cellStyle name="Nota 6 3 25 2" xfId="15455" xr:uid="{00000000-0005-0000-0000-0000B0430000}"/>
    <cellStyle name="Nota 6 3 26" xfId="15456" xr:uid="{00000000-0005-0000-0000-0000B1430000}"/>
    <cellStyle name="Nota 6 3 26 2" xfId="15457" xr:uid="{00000000-0005-0000-0000-0000B2430000}"/>
    <cellStyle name="Nota 6 3 27" xfId="15458" xr:uid="{00000000-0005-0000-0000-0000B3430000}"/>
    <cellStyle name="Nota 6 3 27 2" xfId="15459" xr:uid="{00000000-0005-0000-0000-0000B4430000}"/>
    <cellStyle name="Nota 6 3 28" xfId="15460" xr:uid="{00000000-0005-0000-0000-0000B5430000}"/>
    <cellStyle name="Nota 6 3 28 2" xfId="15461" xr:uid="{00000000-0005-0000-0000-0000B6430000}"/>
    <cellStyle name="Nota 6 3 29" xfId="15462" xr:uid="{00000000-0005-0000-0000-0000B7430000}"/>
    <cellStyle name="Nota 6 3 29 2" xfId="15463" xr:uid="{00000000-0005-0000-0000-0000B8430000}"/>
    <cellStyle name="Nota 6 3 3" xfId="15464" xr:uid="{00000000-0005-0000-0000-0000B9430000}"/>
    <cellStyle name="Nota 6 3 3 2" xfId="15465" xr:uid="{00000000-0005-0000-0000-0000BA430000}"/>
    <cellStyle name="Nota 6 3 3 2 2" xfId="15466" xr:uid="{00000000-0005-0000-0000-0000BB430000}"/>
    <cellStyle name="Nota 6 3 3 3" xfId="15467" xr:uid="{00000000-0005-0000-0000-0000BC430000}"/>
    <cellStyle name="Nota 6 3 3 3 2" xfId="15468" xr:uid="{00000000-0005-0000-0000-0000BD430000}"/>
    <cellStyle name="Nota 6 3 3 4" xfId="15469" xr:uid="{00000000-0005-0000-0000-0000BE430000}"/>
    <cellStyle name="Nota 6 3 3 4 2" xfId="15470" xr:uid="{00000000-0005-0000-0000-0000BF430000}"/>
    <cellStyle name="Nota 6 3 3 5" xfId="15471" xr:uid="{00000000-0005-0000-0000-0000C0430000}"/>
    <cellStyle name="Nota 6 3 3 5 2" xfId="15472" xr:uid="{00000000-0005-0000-0000-0000C1430000}"/>
    <cellStyle name="Nota 6 3 3 6" xfId="15473" xr:uid="{00000000-0005-0000-0000-0000C2430000}"/>
    <cellStyle name="Nota 6 3 3 7" xfId="25949" xr:uid="{00000000-0005-0000-0000-0000C3430000}"/>
    <cellStyle name="Nota 6 3 30" xfId="15474" xr:uid="{00000000-0005-0000-0000-0000C4430000}"/>
    <cellStyle name="Nota 6 3 30 2" xfId="15475" xr:uid="{00000000-0005-0000-0000-0000C5430000}"/>
    <cellStyle name="Nota 6 3 31" xfId="15476" xr:uid="{00000000-0005-0000-0000-0000C6430000}"/>
    <cellStyle name="Nota 6 3 31 2" xfId="15477" xr:uid="{00000000-0005-0000-0000-0000C7430000}"/>
    <cellStyle name="Nota 6 3 32" xfId="15478" xr:uid="{00000000-0005-0000-0000-0000C8430000}"/>
    <cellStyle name="Nota 6 3 32 2" xfId="15479" xr:uid="{00000000-0005-0000-0000-0000C9430000}"/>
    <cellStyle name="Nota 6 3 33" xfId="15480" xr:uid="{00000000-0005-0000-0000-0000CA430000}"/>
    <cellStyle name="Nota 6 3 33 2" xfId="15481" xr:uid="{00000000-0005-0000-0000-0000CB430000}"/>
    <cellStyle name="Nota 6 3 34" xfId="15482" xr:uid="{00000000-0005-0000-0000-0000CC430000}"/>
    <cellStyle name="Nota 6 3 35" xfId="15483" xr:uid="{00000000-0005-0000-0000-0000CD430000}"/>
    <cellStyle name="Nota 6 3 35 2" xfId="15484" xr:uid="{00000000-0005-0000-0000-0000CE430000}"/>
    <cellStyle name="Nota 6 3 36" xfId="15485" xr:uid="{00000000-0005-0000-0000-0000CF430000}"/>
    <cellStyle name="Nota 6 3 36 2" xfId="15486" xr:uid="{00000000-0005-0000-0000-0000D0430000}"/>
    <cellStyle name="Nota 6 3 37" xfId="15487" xr:uid="{00000000-0005-0000-0000-0000D1430000}"/>
    <cellStyle name="Nota 6 3 4" xfId="15488" xr:uid="{00000000-0005-0000-0000-0000D2430000}"/>
    <cellStyle name="Nota 6 3 4 2" xfId="15489" xr:uid="{00000000-0005-0000-0000-0000D3430000}"/>
    <cellStyle name="Nota 6 3 4 2 2" xfId="15490" xr:uid="{00000000-0005-0000-0000-0000D4430000}"/>
    <cellStyle name="Nota 6 3 4 3" xfId="15491" xr:uid="{00000000-0005-0000-0000-0000D5430000}"/>
    <cellStyle name="Nota 6 3 4 3 2" xfId="15492" xr:uid="{00000000-0005-0000-0000-0000D6430000}"/>
    <cellStyle name="Nota 6 3 4 4" xfId="15493" xr:uid="{00000000-0005-0000-0000-0000D7430000}"/>
    <cellStyle name="Nota 6 3 4 4 2" xfId="15494" xr:uid="{00000000-0005-0000-0000-0000D8430000}"/>
    <cellStyle name="Nota 6 3 4 5" xfId="15495" xr:uid="{00000000-0005-0000-0000-0000D9430000}"/>
    <cellStyle name="Nota 6 3 4 5 2" xfId="15496" xr:uid="{00000000-0005-0000-0000-0000DA430000}"/>
    <cellStyle name="Nota 6 3 4 6" xfId="15497" xr:uid="{00000000-0005-0000-0000-0000DB430000}"/>
    <cellStyle name="Nota 6 3 5" xfId="15498" xr:uid="{00000000-0005-0000-0000-0000DC430000}"/>
    <cellStyle name="Nota 6 3 5 2" xfId="15499" xr:uid="{00000000-0005-0000-0000-0000DD430000}"/>
    <cellStyle name="Nota 6 3 6" xfId="15500" xr:uid="{00000000-0005-0000-0000-0000DE430000}"/>
    <cellStyle name="Nota 6 3 7" xfId="15501" xr:uid="{00000000-0005-0000-0000-0000DF430000}"/>
    <cellStyle name="Nota 6 3 8" xfId="15502" xr:uid="{00000000-0005-0000-0000-0000E0430000}"/>
    <cellStyle name="Nota 6 3 8 2" xfId="15503" xr:uid="{00000000-0005-0000-0000-0000E1430000}"/>
    <cellStyle name="Nota 6 3 9" xfId="15504" xr:uid="{00000000-0005-0000-0000-0000E2430000}"/>
    <cellStyle name="Nota 6 30" xfId="15505" xr:uid="{00000000-0005-0000-0000-0000E3430000}"/>
    <cellStyle name="Nota 6 30 2" xfId="15506" xr:uid="{00000000-0005-0000-0000-0000E4430000}"/>
    <cellStyle name="Nota 6 31" xfId="15507" xr:uid="{00000000-0005-0000-0000-0000E5430000}"/>
    <cellStyle name="Nota 6 31 2" xfId="15508" xr:uid="{00000000-0005-0000-0000-0000E6430000}"/>
    <cellStyle name="Nota 6 32" xfId="15509" xr:uid="{00000000-0005-0000-0000-0000E7430000}"/>
    <cellStyle name="Nota 6 32 2" xfId="15510" xr:uid="{00000000-0005-0000-0000-0000E8430000}"/>
    <cellStyle name="Nota 6 33" xfId="15511" xr:uid="{00000000-0005-0000-0000-0000E9430000}"/>
    <cellStyle name="Nota 6 33 2" xfId="15512" xr:uid="{00000000-0005-0000-0000-0000EA430000}"/>
    <cellStyle name="Nota 6 34" xfId="15513" xr:uid="{00000000-0005-0000-0000-0000EB430000}"/>
    <cellStyle name="Nota 6 34 2" xfId="15514" xr:uid="{00000000-0005-0000-0000-0000EC430000}"/>
    <cellStyle name="Nota 6 35" xfId="15515" xr:uid="{00000000-0005-0000-0000-0000ED430000}"/>
    <cellStyle name="Nota 6 35 2" xfId="15516" xr:uid="{00000000-0005-0000-0000-0000EE430000}"/>
    <cellStyle name="Nota 6 36" xfId="15517" xr:uid="{00000000-0005-0000-0000-0000EF430000}"/>
    <cellStyle name="Nota 6 36 2" xfId="15518" xr:uid="{00000000-0005-0000-0000-0000F0430000}"/>
    <cellStyle name="Nota 6 37" xfId="15519" xr:uid="{00000000-0005-0000-0000-0000F1430000}"/>
    <cellStyle name="Nota 6 37 2" xfId="15520" xr:uid="{00000000-0005-0000-0000-0000F2430000}"/>
    <cellStyle name="Nota 6 38" xfId="15521" xr:uid="{00000000-0005-0000-0000-0000F3430000}"/>
    <cellStyle name="Nota 6 38 2" xfId="15522" xr:uid="{00000000-0005-0000-0000-0000F4430000}"/>
    <cellStyle name="Nota 6 39" xfId="15523" xr:uid="{00000000-0005-0000-0000-0000F5430000}"/>
    <cellStyle name="Nota 6 39 2" xfId="15524" xr:uid="{00000000-0005-0000-0000-0000F6430000}"/>
    <cellStyle name="Nota 6 4" xfId="15525" xr:uid="{00000000-0005-0000-0000-0000F7430000}"/>
    <cellStyle name="Nota 6 4 2" xfId="15526" xr:uid="{00000000-0005-0000-0000-0000F8430000}"/>
    <cellStyle name="Nota 6 4 2 2" xfId="15527" xr:uid="{00000000-0005-0000-0000-0000F9430000}"/>
    <cellStyle name="Nota 6 4 2 3" xfId="25951" xr:uid="{00000000-0005-0000-0000-0000FA430000}"/>
    <cellStyle name="Nota 6 4 3" xfId="15528" xr:uid="{00000000-0005-0000-0000-0000FB430000}"/>
    <cellStyle name="Nota 6 4 3 2" xfId="15529" xr:uid="{00000000-0005-0000-0000-0000FC430000}"/>
    <cellStyle name="Nota 6 4 4" xfId="15530" xr:uid="{00000000-0005-0000-0000-0000FD430000}"/>
    <cellStyle name="Nota 6 4 4 2" xfId="15531" xr:uid="{00000000-0005-0000-0000-0000FE430000}"/>
    <cellStyle name="Nota 6 4 5" xfId="15532" xr:uid="{00000000-0005-0000-0000-0000FF430000}"/>
    <cellStyle name="Nota 6 4 5 2" xfId="15533" xr:uid="{00000000-0005-0000-0000-000000440000}"/>
    <cellStyle name="Nota 6 4 6" xfId="15534" xr:uid="{00000000-0005-0000-0000-000001440000}"/>
    <cellStyle name="Nota 6 4 7" xfId="25950" xr:uid="{00000000-0005-0000-0000-000002440000}"/>
    <cellStyle name="Nota 6 40" xfId="15535" xr:uid="{00000000-0005-0000-0000-000003440000}"/>
    <cellStyle name="Nota 6 40 2" xfId="15536" xr:uid="{00000000-0005-0000-0000-000004440000}"/>
    <cellStyle name="Nota 6 41" xfId="15537" xr:uid="{00000000-0005-0000-0000-000005440000}"/>
    <cellStyle name="Nota 6 41 2" xfId="15538" xr:uid="{00000000-0005-0000-0000-000006440000}"/>
    <cellStyle name="Nota 6 42" xfId="15539" xr:uid="{00000000-0005-0000-0000-000007440000}"/>
    <cellStyle name="Nota 6 42 2" xfId="15540" xr:uid="{00000000-0005-0000-0000-000008440000}"/>
    <cellStyle name="Nota 6 43" xfId="15541" xr:uid="{00000000-0005-0000-0000-000009440000}"/>
    <cellStyle name="Nota 6 43 2" xfId="15542" xr:uid="{00000000-0005-0000-0000-00000A440000}"/>
    <cellStyle name="Nota 6 44" xfId="15543" xr:uid="{00000000-0005-0000-0000-00000B440000}"/>
    <cellStyle name="Nota 6 44 2" xfId="15544" xr:uid="{00000000-0005-0000-0000-00000C440000}"/>
    <cellStyle name="Nota 6 45" xfId="15545" xr:uid="{00000000-0005-0000-0000-00000D440000}"/>
    <cellStyle name="Nota 6 45 2" xfId="15546" xr:uid="{00000000-0005-0000-0000-00000E440000}"/>
    <cellStyle name="Nota 6 46" xfId="15547" xr:uid="{00000000-0005-0000-0000-00000F440000}"/>
    <cellStyle name="Nota 6 46 2" xfId="15548" xr:uid="{00000000-0005-0000-0000-000010440000}"/>
    <cellStyle name="Nota 6 47" xfId="15549" xr:uid="{00000000-0005-0000-0000-000011440000}"/>
    <cellStyle name="Nota 6 47 2" xfId="15550" xr:uid="{00000000-0005-0000-0000-000012440000}"/>
    <cellStyle name="Nota 6 48" xfId="15551" xr:uid="{00000000-0005-0000-0000-000013440000}"/>
    <cellStyle name="Nota 6 48 2" xfId="15552" xr:uid="{00000000-0005-0000-0000-000014440000}"/>
    <cellStyle name="Nota 6 49" xfId="15553" xr:uid="{00000000-0005-0000-0000-000015440000}"/>
    <cellStyle name="Nota 6 49 2" xfId="15554" xr:uid="{00000000-0005-0000-0000-000016440000}"/>
    <cellStyle name="Nota 6 5" xfId="15555" xr:uid="{00000000-0005-0000-0000-000017440000}"/>
    <cellStyle name="Nota 6 50" xfId="15556" xr:uid="{00000000-0005-0000-0000-000018440000}"/>
    <cellStyle name="Nota 6 6" xfId="15557" xr:uid="{00000000-0005-0000-0000-000019440000}"/>
    <cellStyle name="Nota 6 7" xfId="15558" xr:uid="{00000000-0005-0000-0000-00001A440000}"/>
    <cellStyle name="Nota 6 7 2" xfId="15559" xr:uid="{00000000-0005-0000-0000-00001B440000}"/>
    <cellStyle name="Nota 6 8" xfId="15560" xr:uid="{00000000-0005-0000-0000-00001C440000}"/>
    <cellStyle name="Nota 6 8 2" xfId="15561" xr:uid="{00000000-0005-0000-0000-00001D440000}"/>
    <cellStyle name="Nota 6 9" xfId="15562" xr:uid="{00000000-0005-0000-0000-00001E440000}"/>
    <cellStyle name="Nota 6 9 2" xfId="15563" xr:uid="{00000000-0005-0000-0000-00001F440000}"/>
    <cellStyle name="Nota 7" xfId="15564" xr:uid="{00000000-0005-0000-0000-000020440000}"/>
    <cellStyle name="Nota 7 10" xfId="15565" xr:uid="{00000000-0005-0000-0000-000021440000}"/>
    <cellStyle name="Nota 7 11" xfId="15566" xr:uid="{00000000-0005-0000-0000-000022440000}"/>
    <cellStyle name="Nota 7 12" xfId="15567" xr:uid="{00000000-0005-0000-0000-000023440000}"/>
    <cellStyle name="Nota 7 13" xfId="15568" xr:uid="{00000000-0005-0000-0000-000024440000}"/>
    <cellStyle name="Nota 7 13 2" xfId="24821" xr:uid="{00000000-0005-0000-0000-000025440000}"/>
    <cellStyle name="Nota 7 13 2 2" xfId="32830" xr:uid="{50D9E343-F987-4C76-9002-E79EB0194AEF}"/>
    <cellStyle name="Nota 7 14" xfId="24820" xr:uid="{00000000-0005-0000-0000-000026440000}"/>
    <cellStyle name="Nota 7 14 2" xfId="32829" xr:uid="{D9FA4D81-6ABD-41EA-9972-6E5BA8775564}"/>
    <cellStyle name="Nota 7 2" xfId="15569" xr:uid="{00000000-0005-0000-0000-000027440000}"/>
    <cellStyle name="Nota 7 2 2" xfId="25952" xr:uid="{00000000-0005-0000-0000-000028440000}"/>
    <cellStyle name="Nota 7 2 2 2" xfId="25953" xr:uid="{00000000-0005-0000-0000-000029440000}"/>
    <cellStyle name="Nota 7 2 2 2 2" xfId="25954" xr:uid="{00000000-0005-0000-0000-00002A440000}"/>
    <cellStyle name="Nota 7 2 2 3" xfId="25955" xr:uid="{00000000-0005-0000-0000-00002B440000}"/>
    <cellStyle name="Nota 7 2 3" xfId="25956" xr:uid="{00000000-0005-0000-0000-00002C440000}"/>
    <cellStyle name="Nota 7 2 3 2" xfId="25957" xr:uid="{00000000-0005-0000-0000-00002D440000}"/>
    <cellStyle name="Nota 7 2 4" xfId="25958" xr:uid="{00000000-0005-0000-0000-00002E440000}"/>
    <cellStyle name="Nota 7 3" xfId="15570" xr:uid="{00000000-0005-0000-0000-00002F440000}"/>
    <cellStyle name="Nota 7 3 2" xfId="25959" xr:uid="{00000000-0005-0000-0000-000030440000}"/>
    <cellStyle name="Nota 7 3 2 2" xfId="25960" xr:uid="{00000000-0005-0000-0000-000031440000}"/>
    <cellStyle name="Nota 7 3 3" xfId="25961" xr:uid="{00000000-0005-0000-0000-000032440000}"/>
    <cellStyle name="Nota 7 4" xfId="15571" xr:uid="{00000000-0005-0000-0000-000033440000}"/>
    <cellStyle name="Nota 7 4 2" xfId="25962" xr:uid="{00000000-0005-0000-0000-000034440000}"/>
    <cellStyle name="Nota 7 5" xfId="15572" xr:uid="{00000000-0005-0000-0000-000035440000}"/>
    <cellStyle name="Nota 7 6" xfId="15573" xr:uid="{00000000-0005-0000-0000-000036440000}"/>
    <cellStyle name="Nota 7 7" xfId="15574" xr:uid="{00000000-0005-0000-0000-000037440000}"/>
    <cellStyle name="Nota 7 8" xfId="15575" xr:uid="{00000000-0005-0000-0000-000038440000}"/>
    <cellStyle name="Nota 7 9" xfId="15576" xr:uid="{00000000-0005-0000-0000-000039440000}"/>
    <cellStyle name="Nota 8" xfId="15577" xr:uid="{00000000-0005-0000-0000-00003A440000}"/>
    <cellStyle name="Nota 8 2" xfId="15578" xr:uid="{00000000-0005-0000-0000-00003B440000}"/>
    <cellStyle name="Nota 8 2 2" xfId="15579" xr:uid="{00000000-0005-0000-0000-00003C440000}"/>
    <cellStyle name="Nota 8 2 2 2" xfId="24823" xr:uid="{00000000-0005-0000-0000-00003D440000}"/>
    <cellStyle name="Nota 8 2 2 2 2" xfId="25965" xr:uid="{00000000-0005-0000-0000-00003E440000}"/>
    <cellStyle name="Nota 8 2 2 2 3" xfId="32832" xr:uid="{F94F3941-4C2C-4D5D-B062-53A748EBDC87}"/>
    <cellStyle name="Nota 8 2 2 3" xfId="25964" xr:uid="{00000000-0005-0000-0000-00003F440000}"/>
    <cellStyle name="Nota 8 2 3" xfId="24822" xr:uid="{00000000-0005-0000-0000-000040440000}"/>
    <cellStyle name="Nota 8 2 3 2" xfId="25966" xr:uid="{00000000-0005-0000-0000-000041440000}"/>
    <cellStyle name="Nota 8 2 3 3" xfId="32831" xr:uid="{1CF151AE-D961-44A6-91DD-521554AC0474}"/>
    <cellStyle name="Nota 8 2 4" xfId="25963" xr:uid="{00000000-0005-0000-0000-000042440000}"/>
    <cellStyle name="Nota 8 3" xfId="25967" xr:uid="{00000000-0005-0000-0000-000043440000}"/>
    <cellStyle name="Nota 8 3 2" xfId="25968" xr:uid="{00000000-0005-0000-0000-000044440000}"/>
    <cellStyle name="Nota 8 4" xfId="25969" xr:uid="{00000000-0005-0000-0000-000045440000}"/>
    <cellStyle name="Nota 9" xfId="15580" xr:uid="{00000000-0005-0000-0000-000046440000}"/>
    <cellStyle name="Nota 9 2" xfId="25970" xr:uid="{00000000-0005-0000-0000-000047440000}"/>
    <cellStyle name="Nota 9 2 2" xfId="25971" xr:uid="{00000000-0005-0000-0000-000048440000}"/>
    <cellStyle name="Nota 9 2 2 2" xfId="25972" xr:uid="{00000000-0005-0000-0000-000049440000}"/>
    <cellStyle name="Nota 9 2 3" xfId="25973" xr:uid="{00000000-0005-0000-0000-00004A440000}"/>
    <cellStyle name="Nota 9 3" xfId="25974" xr:uid="{00000000-0005-0000-0000-00004B440000}"/>
    <cellStyle name="Nota 9 3 2" xfId="25975" xr:uid="{00000000-0005-0000-0000-00004C440000}"/>
    <cellStyle name="Nota 9 4" xfId="25976" xr:uid="{00000000-0005-0000-0000-00004D440000}"/>
    <cellStyle name="Notas" xfId="15581" xr:uid="{00000000-0005-0000-0000-00004E440000}"/>
    <cellStyle name="Notas 2" xfId="24824" xr:uid="{00000000-0005-0000-0000-00004F440000}"/>
    <cellStyle name="Notas 2 2" xfId="32833" xr:uid="{AC661331-F88E-4BAB-B588-25C15BCCB0AF}"/>
    <cellStyle name="Note" xfId="519" xr:uid="{00000000-0005-0000-0000-000050440000}"/>
    <cellStyle name="Note 10" xfId="520" xr:uid="{00000000-0005-0000-0000-000051440000}"/>
    <cellStyle name="Note 10 2" xfId="27848" xr:uid="{F63551D6-CEDA-4ECE-A267-0F2CE0397253}"/>
    <cellStyle name="Note 11" xfId="521" xr:uid="{00000000-0005-0000-0000-000052440000}"/>
    <cellStyle name="Note 11 2" xfId="27849" xr:uid="{7710FAAC-FC1C-4A48-986D-5317CC7CFBAD}"/>
    <cellStyle name="Note 12" xfId="522" xr:uid="{00000000-0005-0000-0000-000053440000}"/>
    <cellStyle name="Note 12 2" xfId="27850" xr:uid="{A5DB9F78-3006-4FA3-B131-8EBB0003B570}"/>
    <cellStyle name="Note 13" xfId="523" xr:uid="{00000000-0005-0000-0000-000054440000}"/>
    <cellStyle name="Note 13 2" xfId="27851" xr:uid="{CE533ECA-156B-4E8C-88AF-1E30720FA25D}"/>
    <cellStyle name="Note 14" xfId="524" xr:uid="{00000000-0005-0000-0000-000055440000}"/>
    <cellStyle name="Note 14 2" xfId="27852" xr:uid="{DC4EAC19-1BCB-47C0-B325-1EBB7C143A14}"/>
    <cellStyle name="Note 15" xfId="525" xr:uid="{00000000-0005-0000-0000-000056440000}"/>
    <cellStyle name="Note 15 2" xfId="27853" xr:uid="{8C3FCE10-C425-4C27-8FAC-36673DFB84E1}"/>
    <cellStyle name="Note 16" xfId="526" xr:uid="{00000000-0005-0000-0000-000057440000}"/>
    <cellStyle name="Note 16 2" xfId="27854" xr:uid="{C73129EA-E4DA-4B64-B92F-E66E4A4BB451}"/>
    <cellStyle name="Note 17" xfId="527" xr:uid="{00000000-0005-0000-0000-000058440000}"/>
    <cellStyle name="Note 17 2" xfId="27855" xr:uid="{32AE6FFF-1070-4DEE-9B45-8A20EBADF427}"/>
    <cellStyle name="Note 18" xfId="528" xr:uid="{00000000-0005-0000-0000-000059440000}"/>
    <cellStyle name="Note 18 2" xfId="27856" xr:uid="{5DC4F8AE-26D1-405A-A7D1-308AEF64EC97}"/>
    <cellStyle name="Note 19" xfId="15582" xr:uid="{00000000-0005-0000-0000-00005A440000}"/>
    <cellStyle name="Note 2" xfId="529" xr:uid="{00000000-0005-0000-0000-00005B440000}"/>
    <cellStyle name="Note 2 2" xfId="15584" xr:uid="{00000000-0005-0000-0000-00005C440000}"/>
    <cellStyle name="Note 2 2 2" xfId="24827" xr:uid="{00000000-0005-0000-0000-00005D440000}"/>
    <cellStyle name="Note 2 2 2 2" xfId="25980" xr:uid="{00000000-0005-0000-0000-00005E440000}"/>
    <cellStyle name="Note 2 2 2 3" xfId="27296" xr:uid="{00000000-0005-0000-0000-00005F440000}"/>
    <cellStyle name="Note 2 2 2 3 2" xfId="33135" xr:uid="{127110FD-6E5F-4391-BEC7-CD7023B0EAC2}"/>
    <cellStyle name="Note 2 2 2 4" xfId="32836" xr:uid="{7119E750-3C28-48AA-A5BF-10215128591A}"/>
    <cellStyle name="Note 2 2 3" xfId="25979" xr:uid="{00000000-0005-0000-0000-000060440000}"/>
    <cellStyle name="Note 2 2 4" xfId="27160" xr:uid="{00000000-0005-0000-0000-000061440000}"/>
    <cellStyle name="Note 2 2 4 2" xfId="33008" xr:uid="{D643EA00-2B83-458B-BBE0-AAA286C395EF}"/>
    <cellStyle name="Note 2 3" xfId="15583" xr:uid="{00000000-0005-0000-0000-000062440000}"/>
    <cellStyle name="Note 2 3 2" xfId="25981" xr:uid="{00000000-0005-0000-0000-000063440000}"/>
    <cellStyle name="Note 2 3 3" xfId="27297" xr:uid="{00000000-0005-0000-0000-000064440000}"/>
    <cellStyle name="Note 2 3 3 2" xfId="33136" xr:uid="{00DA8893-933C-46B8-B274-A2F5562A966B}"/>
    <cellStyle name="Note 2 4" xfId="24826" xr:uid="{00000000-0005-0000-0000-000065440000}"/>
    <cellStyle name="Note 2 4 2" xfId="27119" xr:uid="{00000000-0005-0000-0000-000066440000}"/>
    <cellStyle name="Note 2 4 2 2" xfId="27335" xr:uid="{00000000-0005-0000-0000-000067440000}"/>
    <cellStyle name="Note 2 4 2 2 2" xfId="33172" xr:uid="{A0559FF4-DB6A-4F93-8E58-EDDD07DB3A8C}"/>
    <cellStyle name="Note 2 4 3" xfId="25982" xr:uid="{00000000-0005-0000-0000-000068440000}"/>
    <cellStyle name="Note 2 4 4" xfId="27159" xr:uid="{00000000-0005-0000-0000-000069440000}"/>
    <cellStyle name="Note 2 4 4 2" xfId="33007" xr:uid="{F61FB133-D148-47E4-8FD2-61B699358E6B}"/>
    <cellStyle name="Note 2 4 5" xfId="32835" xr:uid="{30FDB1B7-6605-4FCC-BF36-E4C84DA5C6C6}"/>
    <cellStyle name="Note 2 5" xfId="25978" xr:uid="{00000000-0005-0000-0000-00006A440000}"/>
    <cellStyle name="Note 2 6" xfId="27298" xr:uid="{00000000-0005-0000-0000-00006B440000}"/>
    <cellStyle name="Note 2 6 2" xfId="33137" xr:uid="{834E8929-3CC8-47E4-A48D-BEA234D37A91}"/>
    <cellStyle name="Note 20" xfId="24825" xr:uid="{00000000-0005-0000-0000-00006C440000}"/>
    <cellStyle name="Note 20 2" xfId="32834" xr:uid="{35FEE326-6372-4F77-937D-9830BEF97982}"/>
    <cellStyle name="Note 21" xfId="25977" xr:uid="{00000000-0005-0000-0000-00006D440000}"/>
    <cellStyle name="Note 3" xfId="530" xr:uid="{00000000-0005-0000-0000-00006E440000}"/>
    <cellStyle name="Note 3 2" xfId="15586" xr:uid="{00000000-0005-0000-0000-00006F440000}"/>
    <cellStyle name="Note 3 2 2" xfId="24829" xr:uid="{00000000-0005-0000-0000-000070440000}"/>
    <cellStyle name="Note 3 2 2 2" xfId="25985" xr:uid="{00000000-0005-0000-0000-000071440000}"/>
    <cellStyle name="Note 3 2 2 3" xfId="27295" xr:uid="{00000000-0005-0000-0000-000072440000}"/>
    <cellStyle name="Note 3 2 2 3 2" xfId="33134" xr:uid="{12E05F8A-3DC6-44E0-849F-7B49F13E1AEE}"/>
    <cellStyle name="Note 3 2 2 4" xfId="32838" xr:uid="{042DA370-CD27-4286-BADF-14BA80E5500D}"/>
    <cellStyle name="Note 3 2 3" xfId="25984" xr:uid="{00000000-0005-0000-0000-000073440000}"/>
    <cellStyle name="Note 3 2 4" xfId="27292" xr:uid="{00000000-0005-0000-0000-000074440000}"/>
    <cellStyle name="Note 3 2 4 2" xfId="33131" xr:uid="{418920DA-5755-417A-BBEE-AEF67FEB4AE7}"/>
    <cellStyle name="Note 3 3" xfId="15585" xr:uid="{00000000-0005-0000-0000-000075440000}"/>
    <cellStyle name="Note 3 3 2" xfId="25986" xr:uid="{00000000-0005-0000-0000-000076440000}"/>
    <cellStyle name="Note 3 3 3" xfId="27157" xr:uid="{00000000-0005-0000-0000-000077440000}"/>
    <cellStyle name="Note 3 3 3 2" xfId="33005" xr:uid="{DC58C54D-2E6F-4D35-8AF4-88C209C18F7F}"/>
    <cellStyle name="Note 3 4" xfId="24828" xr:uid="{00000000-0005-0000-0000-000078440000}"/>
    <cellStyle name="Note 3 4 2" xfId="27120" xr:uid="{00000000-0005-0000-0000-000079440000}"/>
    <cellStyle name="Note 3 4 2 2" xfId="27336" xr:uid="{00000000-0005-0000-0000-00007A440000}"/>
    <cellStyle name="Note 3 4 2 2 2" xfId="33173" xr:uid="{023C3286-D2FA-4E0E-842A-C682D083D28D}"/>
    <cellStyle name="Note 3 4 3" xfId="25987" xr:uid="{00000000-0005-0000-0000-00007B440000}"/>
    <cellStyle name="Note 3 4 4" xfId="27293" xr:uid="{00000000-0005-0000-0000-00007C440000}"/>
    <cellStyle name="Note 3 4 4 2" xfId="33132" xr:uid="{B453D47A-B0A0-46DA-B56A-716A91A87431}"/>
    <cellStyle name="Note 3 4 5" xfId="32837" xr:uid="{27C2EA08-2EC7-4B36-AB8A-142D1ED26E55}"/>
    <cellStyle name="Note 3 5" xfId="25983" xr:uid="{00000000-0005-0000-0000-00007D440000}"/>
    <cellStyle name="Note 3 6" xfId="27158" xr:uid="{00000000-0005-0000-0000-00007E440000}"/>
    <cellStyle name="Note 3 6 2" xfId="33006" xr:uid="{E821A5E9-72AC-406C-AE09-CBB261FC2C46}"/>
    <cellStyle name="Note 4" xfId="531" xr:uid="{00000000-0005-0000-0000-00007F440000}"/>
    <cellStyle name="Note 4 2" xfId="15588" xr:uid="{00000000-0005-0000-0000-000080440000}"/>
    <cellStyle name="Note 4 2 2" xfId="24831" xr:uid="{00000000-0005-0000-0000-000081440000}"/>
    <cellStyle name="Note 4 2 2 2" xfId="32840" xr:uid="{C1A9738B-E224-4B0D-B27B-223C43A29F62}"/>
    <cellStyle name="Note 4 3" xfId="15587" xr:uid="{00000000-0005-0000-0000-000082440000}"/>
    <cellStyle name="Note 4 4" xfId="24830" xr:uid="{00000000-0005-0000-0000-000083440000}"/>
    <cellStyle name="Note 4 4 2" xfId="32839" xr:uid="{D7D7BE00-5A57-4F39-876C-842AE442622C}"/>
    <cellStyle name="Note 4 5" xfId="25988" xr:uid="{00000000-0005-0000-0000-000084440000}"/>
    <cellStyle name="Note 4 6" xfId="27294" xr:uid="{00000000-0005-0000-0000-000085440000}"/>
    <cellStyle name="Note 4 6 2" xfId="33133" xr:uid="{218762E3-C7DA-4C21-942F-FCBCBC552A75}"/>
    <cellStyle name="Note 4 7" xfId="27857" xr:uid="{EDD9D9D5-4F46-4DC2-8882-0CF11D17E67D}"/>
    <cellStyle name="Note 5" xfId="532" xr:uid="{00000000-0005-0000-0000-000086440000}"/>
    <cellStyle name="Note 5 2" xfId="15590" xr:uid="{00000000-0005-0000-0000-000087440000}"/>
    <cellStyle name="Note 5 2 2" xfId="24833" xr:uid="{00000000-0005-0000-0000-000088440000}"/>
    <cellStyle name="Note 5 2 2 2" xfId="32842" xr:uid="{533BDFB2-93A7-49D0-852B-6EE5B117ED10}"/>
    <cellStyle name="Note 5 2 3" xfId="27121" xr:uid="{00000000-0005-0000-0000-000089440000}"/>
    <cellStyle name="Note 5 2 4" xfId="27337" xr:uid="{00000000-0005-0000-0000-00008A440000}"/>
    <cellStyle name="Note 5 2 4 2" xfId="33174" xr:uid="{8BFFFF81-C243-4093-84F7-E56ED235C63A}"/>
    <cellStyle name="Note 5 3" xfId="15589" xr:uid="{00000000-0005-0000-0000-00008B440000}"/>
    <cellStyle name="Note 5 4" xfId="24832" xr:uid="{00000000-0005-0000-0000-00008C440000}"/>
    <cellStyle name="Note 5 4 2" xfId="32841" xr:uid="{8EF6EBED-DD58-4D88-B2AF-59FDFBAA87AD}"/>
    <cellStyle name="Note 5 5" xfId="25989" xr:uid="{00000000-0005-0000-0000-00008D440000}"/>
    <cellStyle name="Note 6" xfId="533" xr:uid="{00000000-0005-0000-0000-00008E440000}"/>
    <cellStyle name="Note 6 2" xfId="15592" xr:uid="{00000000-0005-0000-0000-00008F440000}"/>
    <cellStyle name="Note 6 2 2" xfId="24835" xr:uid="{00000000-0005-0000-0000-000090440000}"/>
    <cellStyle name="Note 6 2 2 2" xfId="32844" xr:uid="{2C2E2CCA-E409-4C39-B752-6A07114BE24B}"/>
    <cellStyle name="Note 6 3" xfId="15591" xr:uid="{00000000-0005-0000-0000-000091440000}"/>
    <cellStyle name="Note 6 4" xfId="24834" xr:uid="{00000000-0005-0000-0000-000092440000}"/>
    <cellStyle name="Note 6 4 2" xfId="32843" xr:uid="{F05FADC6-6C6F-4036-894C-E47982FB61F8}"/>
    <cellStyle name="Note 6 5" xfId="27118" xr:uid="{00000000-0005-0000-0000-000093440000}"/>
    <cellStyle name="Note 7" xfId="534" xr:uid="{00000000-0005-0000-0000-000094440000}"/>
    <cellStyle name="Note 7 2" xfId="15594" xr:uid="{00000000-0005-0000-0000-000095440000}"/>
    <cellStyle name="Note 7 2 2" xfId="24837" xr:uid="{00000000-0005-0000-0000-000096440000}"/>
    <cellStyle name="Note 7 2 2 2" xfId="32846" xr:uid="{D7D1A8A4-8F5E-4B61-868A-FDC07FD1F690}"/>
    <cellStyle name="Note 7 3" xfId="15593" xr:uid="{00000000-0005-0000-0000-000097440000}"/>
    <cellStyle name="Note 7 4" xfId="24836" xr:uid="{00000000-0005-0000-0000-000098440000}"/>
    <cellStyle name="Note 7 4 2" xfId="32845" xr:uid="{1990C9BD-EC9B-4D37-B825-A20491898BC4}"/>
    <cellStyle name="Note 7 5" xfId="27858" xr:uid="{B46F6F69-F3D6-487E-92E9-B8D65B5D674F}"/>
    <cellStyle name="Note 8" xfId="535" xr:uid="{00000000-0005-0000-0000-000099440000}"/>
    <cellStyle name="Note 8 2" xfId="15595" xr:uid="{00000000-0005-0000-0000-00009A440000}"/>
    <cellStyle name="Note 8 3" xfId="24838" xr:uid="{00000000-0005-0000-0000-00009B440000}"/>
    <cellStyle name="Note 8 3 2" xfId="32847" xr:uid="{B90DA6E9-6D84-4B25-BE36-40267B4F5180}"/>
    <cellStyle name="Note 8 4" xfId="27859" xr:uid="{C1ABC70E-62F1-4CF5-9CD5-0BC4AE1C2029}"/>
    <cellStyle name="Note 9" xfId="536" xr:uid="{00000000-0005-0000-0000-00009C440000}"/>
    <cellStyle name="Note 9 2" xfId="27860" xr:uid="{78179420-B8E2-4EDC-8F34-86EC2CFBA077}"/>
    <cellStyle name="Number [0]" xfId="15596" xr:uid="{00000000-0005-0000-0000-00009D440000}"/>
    <cellStyle name="Number [1]" xfId="15597" xr:uid="{00000000-0005-0000-0000-00009E440000}"/>
    <cellStyle name="Number [2]" xfId="15598" xr:uid="{00000000-0005-0000-0000-00009F440000}"/>
    <cellStyle name="OT" xfId="15599" xr:uid="{00000000-0005-0000-0000-0000A0440000}"/>
    <cellStyle name="Output" xfId="537" xr:uid="{00000000-0005-0000-0000-0000A1440000}"/>
    <cellStyle name="Output 10" xfId="538" xr:uid="{00000000-0005-0000-0000-0000A2440000}"/>
    <cellStyle name="Output 10 2" xfId="27861" xr:uid="{840BCE00-A684-4C23-9A0B-361108158A91}"/>
    <cellStyle name="Output 11" xfId="539" xr:uid="{00000000-0005-0000-0000-0000A3440000}"/>
    <cellStyle name="Output 11 2" xfId="27862" xr:uid="{8E2849CA-DF6F-42BE-B98A-5DC58047E2E6}"/>
    <cellStyle name="Output 12" xfId="540" xr:uid="{00000000-0005-0000-0000-0000A4440000}"/>
    <cellStyle name="Output 12 2" xfId="27863" xr:uid="{70AF9256-80C5-432A-B900-DC8B8C0164CC}"/>
    <cellStyle name="Output 13" xfId="541" xr:uid="{00000000-0005-0000-0000-0000A5440000}"/>
    <cellStyle name="Output 13 2" xfId="27864" xr:uid="{A4822C7F-D881-4F23-A33C-930E669695D1}"/>
    <cellStyle name="Output 14" xfId="542" xr:uid="{00000000-0005-0000-0000-0000A6440000}"/>
    <cellStyle name="Output 14 2" xfId="27865" xr:uid="{019966C0-CF9D-417E-906F-AA910543ADCA}"/>
    <cellStyle name="Output 15" xfId="543" xr:uid="{00000000-0005-0000-0000-0000A7440000}"/>
    <cellStyle name="Output 15 2" xfId="27866" xr:uid="{BD4904B7-1632-4A41-9755-360F28CC6403}"/>
    <cellStyle name="Output 16" xfId="544" xr:uid="{00000000-0005-0000-0000-0000A8440000}"/>
    <cellStyle name="Output 16 2" xfId="27867" xr:uid="{2E99E18B-ACC9-4B5E-9ED3-4C05B9A8A36C}"/>
    <cellStyle name="Output 17" xfId="545" xr:uid="{00000000-0005-0000-0000-0000A9440000}"/>
    <cellStyle name="Output 17 2" xfId="27868" xr:uid="{B2E94894-8223-4FB8-933B-FC8530184D22}"/>
    <cellStyle name="Output 18" xfId="546" xr:uid="{00000000-0005-0000-0000-0000AA440000}"/>
    <cellStyle name="Output 18 2" xfId="27869" xr:uid="{1E534A70-BD12-4FD2-B067-157BA72DFA21}"/>
    <cellStyle name="Output 19" xfId="15600" xr:uid="{00000000-0005-0000-0000-0000AB440000}"/>
    <cellStyle name="Output 2" xfId="547" xr:uid="{00000000-0005-0000-0000-0000AC440000}"/>
    <cellStyle name="Output 2 2" xfId="15602" xr:uid="{00000000-0005-0000-0000-0000AD440000}"/>
    <cellStyle name="Output 2 2 2" xfId="24841" xr:uid="{00000000-0005-0000-0000-0000AE440000}"/>
    <cellStyle name="Output 2 2 2 2" xfId="32850" xr:uid="{8EC8F6D1-9764-443A-8F54-3470F5CE62CE}"/>
    <cellStyle name="Output 2 2 3" xfId="25992" xr:uid="{00000000-0005-0000-0000-0000AF440000}"/>
    <cellStyle name="Output 2 3" xfId="15601" xr:uid="{00000000-0005-0000-0000-0000B0440000}"/>
    <cellStyle name="Output 2 4" xfId="24840" xr:uid="{00000000-0005-0000-0000-0000B1440000}"/>
    <cellStyle name="Output 2 4 2" xfId="32849" xr:uid="{7584E5FA-E79E-4EFF-960F-F99CA8952023}"/>
    <cellStyle name="Output 2 5" xfId="25991" xr:uid="{00000000-0005-0000-0000-0000B2440000}"/>
    <cellStyle name="Output 20" xfId="24839" xr:uid="{00000000-0005-0000-0000-0000B3440000}"/>
    <cellStyle name="Output 20 2" xfId="32848" xr:uid="{5BB20DA3-6DF8-4987-9FF4-F91B06430812}"/>
    <cellStyle name="Output 21" xfId="25990" xr:uid="{00000000-0005-0000-0000-0000B4440000}"/>
    <cellStyle name="Output 3" xfId="548" xr:uid="{00000000-0005-0000-0000-0000B5440000}"/>
    <cellStyle name="Output 3 2" xfId="15604" xr:uid="{00000000-0005-0000-0000-0000B6440000}"/>
    <cellStyle name="Output 3 2 2" xfId="24843" xr:uid="{00000000-0005-0000-0000-0000B7440000}"/>
    <cellStyle name="Output 3 2 2 2" xfId="32852" xr:uid="{5C9C3A8F-BB8E-465D-B69C-C697EA9D9CD7}"/>
    <cellStyle name="Output 3 3" xfId="15603" xr:uid="{00000000-0005-0000-0000-0000B8440000}"/>
    <cellStyle name="Output 3 4" xfId="24842" xr:uid="{00000000-0005-0000-0000-0000B9440000}"/>
    <cellStyle name="Output 3 4 2" xfId="32851" xr:uid="{3E91A554-853D-4933-B5A1-4F6A3D809696}"/>
    <cellStyle name="Output 3 5" xfId="25993" xr:uid="{00000000-0005-0000-0000-0000BA440000}"/>
    <cellStyle name="Output 4" xfId="549" xr:uid="{00000000-0005-0000-0000-0000BB440000}"/>
    <cellStyle name="Output 4 2" xfId="15606" xr:uid="{00000000-0005-0000-0000-0000BC440000}"/>
    <cellStyle name="Output 4 2 2" xfId="24845" xr:uid="{00000000-0005-0000-0000-0000BD440000}"/>
    <cellStyle name="Output 4 2 2 2" xfId="32854" xr:uid="{9B54A305-8C44-46D0-9AEF-BB1BC0A8DFCE}"/>
    <cellStyle name="Output 4 3" xfId="15605" xr:uid="{00000000-0005-0000-0000-0000BE440000}"/>
    <cellStyle name="Output 4 4" xfId="24844" xr:uid="{00000000-0005-0000-0000-0000BF440000}"/>
    <cellStyle name="Output 4 4 2" xfId="32853" xr:uid="{FEDDF67D-CB63-406D-9A6B-9F294A262C19}"/>
    <cellStyle name="Output 4 5" xfId="27870" xr:uid="{AFBC5CDB-6B7E-4D93-97B9-BB51AFCF65CC}"/>
    <cellStyle name="Output 5" xfId="550" xr:uid="{00000000-0005-0000-0000-0000C0440000}"/>
    <cellStyle name="Output 5 2" xfId="15608" xr:uid="{00000000-0005-0000-0000-0000C1440000}"/>
    <cellStyle name="Output 5 2 2" xfId="24847" xr:uid="{00000000-0005-0000-0000-0000C2440000}"/>
    <cellStyle name="Output 5 2 2 2" xfId="32856" xr:uid="{E7659B33-3EEA-431E-8690-152F63459744}"/>
    <cellStyle name="Output 5 3" xfId="15607" xr:uid="{00000000-0005-0000-0000-0000C3440000}"/>
    <cellStyle name="Output 5 4" xfId="24846" xr:uid="{00000000-0005-0000-0000-0000C4440000}"/>
    <cellStyle name="Output 5 4 2" xfId="32855" xr:uid="{CCAF6130-3658-4D15-899C-B04A7A6CD106}"/>
    <cellStyle name="Output 5 5" xfId="27871" xr:uid="{643D7308-3CE3-4D95-B8A5-5E51DE7F91C1}"/>
    <cellStyle name="Output 6" xfId="551" xr:uid="{00000000-0005-0000-0000-0000C5440000}"/>
    <cellStyle name="Output 6 2" xfId="15610" xr:uid="{00000000-0005-0000-0000-0000C6440000}"/>
    <cellStyle name="Output 6 2 2" xfId="24849" xr:uid="{00000000-0005-0000-0000-0000C7440000}"/>
    <cellStyle name="Output 6 2 2 2" xfId="32858" xr:uid="{D0B43E1D-A49E-4F2A-B7D4-5F9FF7CC7E1C}"/>
    <cellStyle name="Output 6 3" xfId="15609" xr:uid="{00000000-0005-0000-0000-0000C8440000}"/>
    <cellStyle name="Output 6 4" xfId="24848" xr:uid="{00000000-0005-0000-0000-0000C9440000}"/>
    <cellStyle name="Output 6 4 2" xfId="32857" xr:uid="{5BE9C970-59CD-49F4-85F2-BA5AF2F492D8}"/>
    <cellStyle name="Output 6 5" xfId="27872" xr:uid="{19CA4FED-042A-4CF1-A0C3-C19AA7A068BC}"/>
    <cellStyle name="Output 7" xfId="552" xr:uid="{00000000-0005-0000-0000-0000CA440000}"/>
    <cellStyle name="Output 7 2" xfId="15612" xr:uid="{00000000-0005-0000-0000-0000CB440000}"/>
    <cellStyle name="Output 7 2 2" xfId="24851" xr:uid="{00000000-0005-0000-0000-0000CC440000}"/>
    <cellStyle name="Output 7 2 2 2" xfId="32860" xr:uid="{E3B15483-3CD2-4AB6-A403-6C1D92DAE6EE}"/>
    <cellStyle name="Output 7 3" xfId="15611" xr:uid="{00000000-0005-0000-0000-0000CD440000}"/>
    <cellStyle name="Output 7 4" xfId="24850" xr:uid="{00000000-0005-0000-0000-0000CE440000}"/>
    <cellStyle name="Output 7 4 2" xfId="32859" xr:uid="{4711D202-11E8-4F0F-A7CA-6539B62A8403}"/>
    <cellStyle name="Output 7 5" xfId="27873" xr:uid="{F7B6C221-FFF6-4620-8B2C-C45DCFE1309C}"/>
    <cellStyle name="Output 8" xfId="553" xr:uid="{00000000-0005-0000-0000-0000CF440000}"/>
    <cellStyle name="Output 8 2" xfId="15613" xr:uid="{00000000-0005-0000-0000-0000D0440000}"/>
    <cellStyle name="Output 8 3" xfId="24852" xr:uid="{00000000-0005-0000-0000-0000D1440000}"/>
    <cellStyle name="Output 8 3 2" xfId="32861" xr:uid="{1F3B6E56-3841-4812-B3F5-6D5431179673}"/>
    <cellStyle name="Output 8 4" xfId="27874" xr:uid="{13543D39-4DA8-4EA8-BF77-54F4B9B3A9E2}"/>
    <cellStyle name="Output 9" xfId="554" xr:uid="{00000000-0005-0000-0000-0000D2440000}"/>
    <cellStyle name="Output 9 2" xfId="27875" xr:uid="{496E91C0-3D5B-46A9-B01E-11B1FFD27786}"/>
    <cellStyle name="Page Number" xfId="555" xr:uid="{00000000-0005-0000-0000-0000D3440000}"/>
    <cellStyle name="Percent [0]" xfId="15614" xr:uid="{00000000-0005-0000-0000-0000D4440000}"/>
    <cellStyle name="Percent [1]" xfId="15615" xr:uid="{00000000-0005-0000-0000-0000D5440000}"/>
    <cellStyle name="Percent [2]" xfId="15616" xr:uid="{00000000-0005-0000-0000-0000D6440000}"/>
    <cellStyle name="Percent [2] 2" xfId="15617" xr:uid="{00000000-0005-0000-0000-0000D7440000}"/>
    <cellStyle name="Percent [2] 3" xfId="15618" xr:uid="{00000000-0005-0000-0000-0000D8440000}"/>
    <cellStyle name="Percent [2] 4" xfId="15619" xr:uid="{00000000-0005-0000-0000-0000D9440000}"/>
    <cellStyle name="Percent [2] 5" xfId="15620" xr:uid="{00000000-0005-0000-0000-0000DA440000}"/>
    <cellStyle name="Percent 10" xfId="15621" xr:uid="{00000000-0005-0000-0000-0000DB440000}"/>
    <cellStyle name="Percent 2" xfId="556" xr:uid="{00000000-0005-0000-0000-0000DC440000}"/>
    <cellStyle name="Percent 2 2" xfId="15622" xr:uid="{00000000-0005-0000-0000-0000DD440000}"/>
    <cellStyle name="Percent 2 2 2" xfId="27122" xr:uid="{00000000-0005-0000-0000-0000DE440000}"/>
    <cellStyle name="Percent 2 3" xfId="15623" xr:uid="{00000000-0005-0000-0000-0000DF440000}"/>
    <cellStyle name="Percent 2 4" xfId="15624" xr:uid="{00000000-0005-0000-0000-0000E0440000}"/>
    <cellStyle name="Percent 3" xfId="15625" xr:uid="{00000000-0005-0000-0000-0000E1440000}"/>
    <cellStyle name="Percent 3 2" xfId="15626" xr:uid="{00000000-0005-0000-0000-0000E2440000}"/>
    <cellStyle name="Percent 4" xfId="15627" xr:uid="{00000000-0005-0000-0000-0000E3440000}"/>
    <cellStyle name="Percent 5" xfId="15628" xr:uid="{00000000-0005-0000-0000-0000E4440000}"/>
    <cellStyle name="Percent 6" xfId="15629" xr:uid="{00000000-0005-0000-0000-0000E5440000}"/>
    <cellStyle name="Percent 7" xfId="15630" xr:uid="{00000000-0005-0000-0000-0000E6440000}"/>
    <cellStyle name="Percent 8" xfId="15631" xr:uid="{00000000-0005-0000-0000-0000E7440000}"/>
    <cellStyle name="Percent 8 2" xfId="15632" xr:uid="{00000000-0005-0000-0000-0000E8440000}"/>
    <cellStyle name="Percent 9" xfId="15633" xr:uid="{00000000-0005-0000-0000-0000E9440000}"/>
    <cellStyle name="Percent_Mensal (2)" xfId="15634" xr:uid="{00000000-0005-0000-0000-0000EA440000}"/>
    <cellStyle name="PERCENTAGE" xfId="15635" xr:uid="{00000000-0005-0000-0000-0000EB440000}"/>
    <cellStyle name="Percentual" xfId="15636" xr:uid="{00000000-0005-0000-0000-0000EC440000}"/>
    <cellStyle name="Plain0Decimals" xfId="557" xr:uid="{00000000-0005-0000-0000-0000ED440000}"/>
    <cellStyle name="PlainDollar" xfId="558" xr:uid="{00000000-0005-0000-0000-0000EE440000}"/>
    <cellStyle name="Ponto" xfId="15637" xr:uid="{00000000-0005-0000-0000-0000EF440000}"/>
    <cellStyle name="Porcentagem" xfId="559" builtinId="5"/>
    <cellStyle name="Porcentagem 10" xfId="560" xr:uid="{00000000-0005-0000-0000-0000F1440000}"/>
    <cellStyle name="Porcentagem 10 10 10" xfId="15639" xr:uid="{00000000-0005-0000-0000-0000F3440000}"/>
    <cellStyle name="Porcentagem 10 10 11" xfId="15640" xr:uid="{00000000-0005-0000-0000-0000F4440000}"/>
    <cellStyle name="Porcentagem 10 10 12" xfId="15641" xr:uid="{00000000-0005-0000-0000-0000F5440000}"/>
    <cellStyle name="Porcentagem 10 10 13" xfId="15642" xr:uid="{00000000-0005-0000-0000-0000F6440000}"/>
    <cellStyle name="Porcentagem 10 10 14" xfId="15643" xr:uid="{00000000-0005-0000-0000-0000F7440000}"/>
    <cellStyle name="Porcentagem 10 10 15" xfId="15644" xr:uid="{00000000-0005-0000-0000-0000F8440000}"/>
    <cellStyle name="Porcentagem 10 10 16" xfId="15645" xr:uid="{00000000-0005-0000-0000-0000F9440000}"/>
    <cellStyle name="Porcentagem 10 10 17" xfId="15646" xr:uid="{00000000-0005-0000-0000-0000FA440000}"/>
    <cellStyle name="Porcentagem 10 10 18" xfId="15647" xr:uid="{00000000-0005-0000-0000-0000FB440000}"/>
    <cellStyle name="Porcentagem 10 10 19" xfId="15648" xr:uid="{00000000-0005-0000-0000-0000FC440000}"/>
    <cellStyle name="Porcentagem 10 10 2" xfId="15649" xr:uid="{00000000-0005-0000-0000-0000FD440000}"/>
    <cellStyle name="Porcentagem 10 10 2 10" xfId="15650" xr:uid="{00000000-0005-0000-0000-0000FE440000}"/>
    <cellStyle name="Porcentagem 10 10 2 10 2" xfId="15651" xr:uid="{00000000-0005-0000-0000-0000FF440000}"/>
    <cellStyle name="Porcentagem 10 10 2 10 3" xfId="15652" xr:uid="{00000000-0005-0000-0000-000000450000}"/>
    <cellStyle name="Porcentagem 10 10 2 10 4" xfId="15653" xr:uid="{00000000-0005-0000-0000-000001450000}"/>
    <cellStyle name="Porcentagem 10 10 2 11" xfId="15654" xr:uid="{00000000-0005-0000-0000-000002450000}"/>
    <cellStyle name="Porcentagem 10 10 2 11 2" xfId="15655" xr:uid="{00000000-0005-0000-0000-000003450000}"/>
    <cellStyle name="Porcentagem 10 10 2 11 3" xfId="15656" xr:uid="{00000000-0005-0000-0000-000004450000}"/>
    <cellStyle name="Porcentagem 10 10 2 11 4" xfId="15657" xr:uid="{00000000-0005-0000-0000-000005450000}"/>
    <cellStyle name="Porcentagem 10 10 2 12" xfId="15658" xr:uid="{00000000-0005-0000-0000-000006450000}"/>
    <cellStyle name="Porcentagem 10 10 2 12 2" xfId="15659" xr:uid="{00000000-0005-0000-0000-000007450000}"/>
    <cellStyle name="Porcentagem 10 10 2 12 3" xfId="15660" xr:uid="{00000000-0005-0000-0000-000008450000}"/>
    <cellStyle name="Porcentagem 10 10 2 12 4" xfId="15661" xr:uid="{00000000-0005-0000-0000-000009450000}"/>
    <cellStyle name="Porcentagem 10 10 2 13" xfId="15662" xr:uid="{00000000-0005-0000-0000-00000A450000}"/>
    <cellStyle name="Porcentagem 10 10 2 13 2" xfId="15663" xr:uid="{00000000-0005-0000-0000-00000B450000}"/>
    <cellStyle name="Porcentagem 10 10 2 13 3" xfId="15664" xr:uid="{00000000-0005-0000-0000-00000C450000}"/>
    <cellStyle name="Porcentagem 10 10 2 13 4" xfId="15665" xr:uid="{00000000-0005-0000-0000-00000D450000}"/>
    <cellStyle name="Porcentagem 10 10 2 14" xfId="15666" xr:uid="{00000000-0005-0000-0000-00000E450000}"/>
    <cellStyle name="Porcentagem 10 10 2 14 2" xfId="15667" xr:uid="{00000000-0005-0000-0000-00000F450000}"/>
    <cellStyle name="Porcentagem 10 10 2 14 3" xfId="15668" xr:uid="{00000000-0005-0000-0000-000010450000}"/>
    <cellStyle name="Porcentagem 10 10 2 14 4" xfId="15669" xr:uid="{00000000-0005-0000-0000-000011450000}"/>
    <cellStyle name="Porcentagem 10 10 2 15" xfId="15670" xr:uid="{00000000-0005-0000-0000-000012450000}"/>
    <cellStyle name="Porcentagem 10 10 2 15 2" xfId="15671" xr:uid="{00000000-0005-0000-0000-000013450000}"/>
    <cellStyle name="Porcentagem 10 10 2 15 3" xfId="15672" xr:uid="{00000000-0005-0000-0000-000014450000}"/>
    <cellStyle name="Porcentagem 10 10 2 15 4" xfId="15673" xr:uid="{00000000-0005-0000-0000-000015450000}"/>
    <cellStyle name="Porcentagem 10 10 2 16" xfId="15674" xr:uid="{00000000-0005-0000-0000-000016450000}"/>
    <cellStyle name="Porcentagem 10 10 2 17" xfId="15675" xr:uid="{00000000-0005-0000-0000-000017450000}"/>
    <cellStyle name="Porcentagem 10 10 2 18" xfId="15676" xr:uid="{00000000-0005-0000-0000-000018450000}"/>
    <cellStyle name="Porcentagem 10 10 2 19" xfId="15677" xr:uid="{00000000-0005-0000-0000-000019450000}"/>
    <cellStyle name="Porcentagem 10 10 2 2" xfId="15678" xr:uid="{00000000-0005-0000-0000-00001A450000}"/>
    <cellStyle name="Porcentagem 10 10 2 2 2" xfId="15679" xr:uid="{00000000-0005-0000-0000-00001B450000}"/>
    <cellStyle name="Porcentagem 10 10 2 2 3" xfId="15680" xr:uid="{00000000-0005-0000-0000-00001C450000}"/>
    <cellStyle name="Porcentagem 10 10 2 2 4" xfId="15681" xr:uid="{00000000-0005-0000-0000-00001D450000}"/>
    <cellStyle name="Porcentagem 10 10 2 20" xfId="15682" xr:uid="{00000000-0005-0000-0000-00001E450000}"/>
    <cellStyle name="Porcentagem 10 10 2 21" xfId="15683" xr:uid="{00000000-0005-0000-0000-00001F450000}"/>
    <cellStyle name="Porcentagem 10 10 2 3" xfId="15684" xr:uid="{00000000-0005-0000-0000-000020450000}"/>
    <cellStyle name="Porcentagem 10 10 2 3 2" xfId="15685" xr:uid="{00000000-0005-0000-0000-000021450000}"/>
    <cellStyle name="Porcentagem 10 10 2 3 3" xfId="15686" xr:uid="{00000000-0005-0000-0000-000022450000}"/>
    <cellStyle name="Porcentagem 10 10 2 3 4" xfId="15687" xr:uid="{00000000-0005-0000-0000-000023450000}"/>
    <cellStyle name="Porcentagem 10 10 2 4" xfId="15688" xr:uid="{00000000-0005-0000-0000-000024450000}"/>
    <cellStyle name="Porcentagem 10 10 2 4 2" xfId="15689" xr:uid="{00000000-0005-0000-0000-000025450000}"/>
    <cellStyle name="Porcentagem 10 10 2 4 3" xfId="15690" xr:uid="{00000000-0005-0000-0000-000026450000}"/>
    <cellStyle name="Porcentagem 10 10 2 4 4" xfId="15691" xr:uid="{00000000-0005-0000-0000-000027450000}"/>
    <cellStyle name="Porcentagem 10 10 2 5" xfId="15692" xr:uid="{00000000-0005-0000-0000-000028450000}"/>
    <cellStyle name="Porcentagem 10 10 2 5 2" xfId="15693" xr:uid="{00000000-0005-0000-0000-000029450000}"/>
    <cellStyle name="Porcentagem 10 10 2 5 3" xfId="15694" xr:uid="{00000000-0005-0000-0000-00002A450000}"/>
    <cellStyle name="Porcentagem 10 10 2 5 4" xfId="15695" xr:uid="{00000000-0005-0000-0000-00002B450000}"/>
    <cellStyle name="Porcentagem 10 10 2 6" xfId="15696" xr:uid="{00000000-0005-0000-0000-00002C450000}"/>
    <cellStyle name="Porcentagem 10 10 2 6 2" xfId="15697" xr:uid="{00000000-0005-0000-0000-00002D450000}"/>
    <cellStyle name="Porcentagem 10 10 2 6 3" xfId="15698" xr:uid="{00000000-0005-0000-0000-00002E450000}"/>
    <cellStyle name="Porcentagem 10 10 2 6 4" xfId="15699" xr:uid="{00000000-0005-0000-0000-00002F450000}"/>
    <cellStyle name="Porcentagem 10 10 2 7" xfId="15700" xr:uid="{00000000-0005-0000-0000-000030450000}"/>
    <cellStyle name="Porcentagem 10 10 2 7 2" xfId="15701" xr:uid="{00000000-0005-0000-0000-000031450000}"/>
    <cellStyle name="Porcentagem 10 10 2 7 3" xfId="15702" xr:uid="{00000000-0005-0000-0000-000032450000}"/>
    <cellStyle name="Porcentagem 10 10 2 7 4" xfId="15703" xr:uid="{00000000-0005-0000-0000-000033450000}"/>
    <cellStyle name="Porcentagem 10 10 2 8" xfId="15704" xr:uid="{00000000-0005-0000-0000-000034450000}"/>
    <cellStyle name="Porcentagem 10 10 2 8 2" xfId="15705" xr:uid="{00000000-0005-0000-0000-000035450000}"/>
    <cellStyle name="Porcentagem 10 10 2 8 3" xfId="15706" xr:uid="{00000000-0005-0000-0000-000036450000}"/>
    <cellStyle name="Porcentagem 10 10 2 8 4" xfId="15707" xr:uid="{00000000-0005-0000-0000-000037450000}"/>
    <cellStyle name="Porcentagem 10 10 2 9" xfId="15708" xr:uid="{00000000-0005-0000-0000-000038450000}"/>
    <cellStyle name="Porcentagem 10 10 2 9 2" xfId="15709" xr:uid="{00000000-0005-0000-0000-000039450000}"/>
    <cellStyle name="Porcentagem 10 10 2 9 3" xfId="15710" xr:uid="{00000000-0005-0000-0000-00003A450000}"/>
    <cellStyle name="Porcentagem 10 10 2 9 4" xfId="15711" xr:uid="{00000000-0005-0000-0000-00003B450000}"/>
    <cellStyle name="Porcentagem 10 10 20" xfId="15712" xr:uid="{00000000-0005-0000-0000-00003C450000}"/>
    <cellStyle name="Porcentagem 10 10 21" xfId="15713" xr:uid="{00000000-0005-0000-0000-00003D450000}"/>
    <cellStyle name="Porcentagem 10 10 22" xfId="15714" xr:uid="{00000000-0005-0000-0000-00003E450000}"/>
    <cellStyle name="Porcentagem 10 10 23" xfId="15715" xr:uid="{00000000-0005-0000-0000-00003F450000}"/>
    <cellStyle name="Porcentagem 10 10 24" xfId="15716" xr:uid="{00000000-0005-0000-0000-000040450000}"/>
    <cellStyle name="Porcentagem 10 10 25" xfId="15717" xr:uid="{00000000-0005-0000-0000-000041450000}"/>
    <cellStyle name="Porcentagem 10 10 26" xfId="15718" xr:uid="{00000000-0005-0000-0000-000042450000}"/>
    <cellStyle name="Porcentagem 10 10 26 2" xfId="15719" xr:uid="{00000000-0005-0000-0000-000043450000}"/>
    <cellStyle name="Porcentagem 10 10 26 3" xfId="15720" xr:uid="{00000000-0005-0000-0000-000044450000}"/>
    <cellStyle name="Porcentagem 10 10 26 4" xfId="15721" xr:uid="{00000000-0005-0000-0000-000045450000}"/>
    <cellStyle name="Porcentagem 10 10 27" xfId="15722" xr:uid="{00000000-0005-0000-0000-000046450000}"/>
    <cellStyle name="Porcentagem 10 10 28" xfId="15723" xr:uid="{00000000-0005-0000-0000-000047450000}"/>
    <cellStyle name="Porcentagem 10 10 29" xfId="15724" xr:uid="{00000000-0005-0000-0000-000048450000}"/>
    <cellStyle name="Porcentagem 10 10 3" xfId="15725" xr:uid="{00000000-0005-0000-0000-000049450000}"/>
    <cellStyle name="Porcentagem 10 10 3 2" xfId="15726" xr:uid="{00000000-0005-0000-0000-00004A450000}"/>
    <cellStyle name="Porcentagem 10 10 3 3" xfId="15727" xr:uid="{00000000-0005-0000-0000-00004B450000}"/>
    <cellStyle name="Porcentagem 10 10 3 4" xfId="15728" xr:uid="{00000000-0005-0000-0000-00004C450000}"/>
    <cellStyle name="Porcentagem 10 10 30" xfId="15729" xr:uid="{00000000-0005-0000-0000-00004D450000}"/>
    <cellStyle name="Porcentagem 10 10 31" xfId="15730" xr:uid="{00000000-0005-0000-0000-00004E450000}"/>
    <cellStyle name="Porcentagem 10 10 32" xfId="15731" xr:uid="{00000000-0005-0000-0000-00004F450000}"/>
    <cellStyle name="Porcentagem 10 10 33" xfId="15732" xr:uid="{00000000-0005-0000-0000-000050450000}"/>
    <cellStyle name="Porcentagem 10 10 34" xfId="15733" xr:uid="{00000000-0005-0000-0000-000051450000}"/>
    <cellStyle name="Porcentagem 10 10 35" xfId="15734" xr:uid="{00000000-0005-0000-0000-000052450000}"/>
    <cellStyle name="Porcentagem 10 10 36" xfId="15735" xr:uid="{00000000-0005-0000-0000-000053450000}"/>
    <cellStyle name="Porcentagem 10 10 4" xfId="15736" xr:uid="{00000000-0005-0000-0000-000054450000}"/>
    <cellStyle name="Porcentagem 10 10 4 2" xfId="15737" xr:uid="{00000000-0005-0000-0000-000055450000}"/>
    <cellStyle name="Porcentagem 10 10 4 3" xfId="15738" xr:uid="{00000000-0005-0000-0000-000056450000}"/>
    <cellStyle name="Porcentagem 10 10 4 4" xfId="15739" xr:uid="{00000000-0005-0000-0000-000057450000}"/>
    <cellStyle name="Porcentagem 10 10 5" xfId="15740" xr:uid="{00000000-0005-0000-0000-000058450000}"/>
    <cellStyle name="Porcentagem 10 10 6" xfId="15741" xr:uid="{00000000-0005-0000-0000-000059450000}"/>
    <cellStyle name="Porcentagem 10 10 7" xfId="15742" xr:uid="{00000000-0005-0000-0000-00005A450000}"/>
    <cellStyle name="Porcentagem 10 10 8" xfId="15743" xr:uid="{00000000-0005-0000-0000-00005B450000}"/>
    <cellStyle name="Porcentagem 10 10 9" xfId="15744" xr:uid="{00000000-0005-0000-0000-00005C450000}"/>
    <cellStyle name="Porcentagem 10 11" xfId="15745" xr:uid="{00000000-0005-0000-0000-00005D450000}"/>
    <cellStyle name="Porcentagem 10 12" xfId="15746" xr:uid="{00000000-0005-0000-0000-00005E450000}"/>
    <cellStyle name="Porcentagem 10 13" xfId="15747" xr:uid="{00000000-0005-0000-0000-00005F450000}"/>
    <cellStyle name="Porcentagem 10 14" xfId="15748" xr:uid="{00000000-0005-0000-0000-000060450000}"/>
    <cellStyle name="Porcentagem 10 15" xfId="15749" xr:uid="{00000000-0005-0000-0000-000061450000}"/>
    <cellStyle name="Porcentagem 10 16" xfId="15750" xr:uid="{00000000-0005-0000-0000-000062450000}"/>
    <cellStyle name="Porcentagem 10 17" xfId="15751" xr:uid="{00000000-0005-0000-0000-000063450000}"/>
    <cellStyle name="Porcentagem 10 18" xfId="15752" xr:uid="{00000000-0005-0000-0000-000064450000}"/>
    <cellStyle name="Porcentagem 10 19" xfId="15753" xr:uid="{00000000-0005-0000-0000-000065450000}"/>
    <cellStyle name="Porcentagem 10 2 10" xfId="15754" xr:uid="{00000000-0005-0000-0000-000067450000}"/>
    <cellStyle name="Porcentagem 10 2 11" xfId="15755" xr:uid="{00000000-0005-0000-0000-000068450000}"/>
    <cellStyle name="Porcentagem 10 2 12" xfId="15756" xr:uid="{00000000-0005-0000-0000-000069450000}"/>
    <cellStyle name="Porcentagem 10 2 2" xfId="15757" xr:uid="{00000000-0005-0000-0000-00006A450000}"/>
    <cellStyle name="Porcentagem 10 2 3" xfId="15758" xr:uid="{00000000-0005-0000-0000-00006B450000}"/>
    <cellStyle name="Porcentagem 10 2 4" xfId="15759" xr:uid="{00000000-0005-0000-0000-00006C450000}"/>
    <cellStyle name="Porcentagem 10 2 5" xfId="15760" xr:uid="{00000000-0005-0000-0000-00006D450000}"/>
    <cellStyle name="Porcentagem 10 2 6" xfId="15761" xr:uid="{00000000-0005-0000-0000-00006E450000}"/>
    <cellStyle name="Porcentagem 10 2 7" xfId="15762" xr:uid="{00000000-0005-0000-0000-00006F450000}"/>
    <cellStyle name="Porcentagem 10 2 8" xfId="15763" xr:uid="{00000000-0005-0000-0000-000070450000}"/>
    <cellStyle name="Porcentagem 10 2 9" xfId="15764" xr:uid="{00000000-0005-0000-0000-000071450000}"/>
    <cellStyle name="Porcentagem 10 20" xfId="15765" xr:uid="{00000000-0005-0000-0000-000072450000}"/>
    <cellStyle name="Porcentagem 10 21" xfId="15766" xr:uid="{00000000-0005-0000-0000-000073450000}"/>
    <cellStyle name="Porcentagem 10 22" xfId="15767" xr:uid="{00000000-0005-0000-0000-000074450000}"/>
    <cellStyle name="Porcentagem 10 23" xfId="15768" xr:uid="{00000000-0005-0000-0000-000075450000}"/>
    <cellStyle name="Porcentagem 10 24" xfId="15769" xr:uid="{00000000-0005-0000-0000-000076450000}"/>
    <cellStyle name="Porcentagem 10 25" xfId="15770" xr:uid="{00000000-0005-0000-0000-000077450000}"/>
    <cellStyle name="Porcentagem 10 26" xfId="15638" xr:uid="{00000000-0005-0000-0000-000078450000}"/>
    <cellStyle name="Porcentagem 10 27" xfId="27524" xr:uid="{00000000-0005-0000-0000-000079450000}"/>
    <cellStyle name="Porcentagem 10 3" xfId="15771" xr:uid="{00000000-0005-0000-0000-00007A450000}"/>
    <cellStyle name="Porcentagem 10 3 10" xfId="15772" xr:uid="{00000000-0005-0000-0000-00007B450000}"/>
    <cellStyle name="Porcentagem 10 3 11" xfId="15773" xr:uid="{00000000-0005-0000-0000-00007C450000}"/>
    <cellStyle name="Porcentagem 10 3 12" xfId="15774" xr:uid="{00000000-0005-0000-0000-00007D450000}"/>
    <cellStyle name="Porcentagem 10 3 2" xfId="15775" xr:uid="{00000000-0005-0000-0000-00007E450000}"/>
    <cellStyle name="Porcentagem 10 3 3" xfId="15776" xr:uid="{00000000-0005-0000-0000-00007F450000}"/>
    <cellStyle name="Porcentagem 10 3 4" xfId="15777" xr:uid="{00000000-0005-0000-0000-000080450000}"/>
    <cellStyle name="Porcentagem 10 3 5" xfId="15778" xr:uid="{00000000-0005-0000-0000-000081450000}"/>
    <cellStyle name="Porcentagem 10 3 6" xfId="15779" xr:uid="{00000000-0005-0000-0000-000082450000}"/>
    <cellStyle name="Porcentagem 10 3 7" xfId="15780" xr:uid="{00000000-0005-0000-0000-000083450000}"/>
    <cellStyle name="Porcentagem 10 3 8" xfId="15781" xr:uid="{00000000-0005-0000-0000-000084450000}"/>
    <cellStyle name="Porcentagem 10 3 9" xfId="15782" xr:uid="{00000000-0005-0000-0000-000085450000}"/>
    <cellStyle name="Porcentagem 10 4" xfId="15783" xr:uid="{00000000-0005-0000-0000-000086450000}"/>
    <cellStyle name="Porcentagem 10 4 10" xfId="15784" xr:uid="{00000000-0005-0000-0000-000087450000}"/>
    <cellStyle name="Porcentagem 10 4 11" xfId="15785" xr:uid="{00000000-0005-0000-0000-000088450000}"/>
    <cellStyle name="Porcentagem 10 4 2" xfId="15786" xr:uid="{00000000-0005-0000-0000-000089450000}"/>
    <cellStyle name="Porcentagem 10 4 3" xfId="15787" xr:uid="{00000000-0005-0000-0000-00008A450000}"/>
    <cellStyle name="Porcentagem 10 4 4" xfId="15788" xr:uid="{00000000-0005-0000-0000-00008B450000}"/>
    <cellStyle name="Porcentagem 10 4 5" xfId="15789" xr:uid="{00000000-0005-0000-0000-00008C450000}"/>
    <cellStyle name="Porcentagem 10 4 6" xfId="15790" xr:uid="{00000000-0005-0000-0000-00008D450000}"/>
    <cellStyle name="Porcentagem 10 4 7" xfId="15791" xr:uid="{00000000-0005-0000-0000-00008E450000}"/>
    <cellStyle name="Porcentagem 10 4 8" xfId="15792" xr:uid="{00000000-0005-0000-0000-00008F450000}"/>
    <cellStyle name="Porcentagem 10 4 9" xfId="15793" xr:uid="{00000000-0005-0000-0000-000090450000}"/>
    <cellStyle name="Porcentagem 10 5" xfId="15794" xr:uid="{00000000-0005-0000-0000-000091450000}"/>
    <cellStyle name="Porcentagem 10 5 2" xfId="15795" xr:uid="{00000000-0005-0000-0000-000092450000}"/>
    <cellStyle name="Porcentagem 10 5 3" xfId="15796" xr:uid="{00000000-0005-0000-0000-000093450000}"/>
    <cellStyle name="Porcentagem 10 5 4" xfId="15797" xr:uid="{00000000-0005-0000-0000-000094450000}"/>
    <cellStyle name="Porcentagem 10 6" xfId="15798" xr:uid="{00000000-0005-0000-0000-000095450000}"/>
    <cellStyle name="Porcentagem 10 6 2" xfId="15799" xr:uid="{00000000-0005-0000-0000-000096450000}"/>
    <cellStyle name="Porcentagem 10 6 3" xfId="15800" xr:uid="{00000000-0005-0000-0000-000097450000}"/>
    <cellStyle name="Porcentagem 10 6 4" xfId="15801" xr:uid="{00000000-0005-0000-0000-000098450000}"/>
    <cellStyle name="Porcentagem 10 7" xfId="15802" xr:uid="{00000000-0005-0000-0000-000099450000}"/>
    <cellStyle name="Porcentagem 10 7 2" xfId="15803" xr:uid="{00000000-0005-0000-0000-00009A450000}"/>
    <cellStyle name="Porcentagem 10 7 3" xfId="15804" xr:uid="{00000000-0005-0000-0000-00009B450000}"/>
    <cellStyle name="Porcentagem 10 7 4" xfId="15805" xr:uid="{00000000-0005-0000-0000-00009C450000}"/>
    <cellStyle name="Porcentagem 10 8" xfId="15806" xr:uid="{00000000-0005-0000-0000-00009D450000}"/>
    <cellStyle name="Porcentagem 10 8 2" xfId="15807" xr:uid="{00000000-0005-0000-0000-00009E450000}"/>
    <cellStyle name="Porcentagem 10 8 3" xfId="15808" xr:uid="{00000000-0005-0000-0000-00009F450000}"/>
    <cellStyle name="Porcentagem 10 8 4" xfId="15809" xr:uid="{00000000-0005-0000-0000-0000A0450000}"/>
    <cellStyle name="Porcentagem 10 9" xfId="15810" xr:uid="{00000000-0005-0000-0000-0000A1450000}"/>
    <cellStyle name="Porcentagem 10 9 2" xfId="15811" xr:uid="{00000000-0005-0000-0000-0000A2450000}"/>
    <cellStyle name="Porcentagem 10 9 2 2" xfId="15812" xr:uid="{00000000-0005-0000-0000-0000A3450000}"/>
    <cellStyle name="Porcentagem 10 9 2 3" xfId="15813" xr:uid="{00000000-0005-0000-0000-0000A4450000}"/>
    <cellStyle name="Porcentagem 10 9 2 4" xfId="15814" xr:uid="{00000000-0005-0000-0000-0000A5450000}"/>
    <cellStyle name="Porcentagem 10 9 3" xfId="15815" xr:uid="{00000000-0005-0000-0000-0000A6450000}"/>
    <cellStyle name="Porcentagem 10 9 3 2" xfId="15816" xr:uid="{00000000-0005-0000-0000-0000A7450000}"/>
    <cellStyle name="Porcentagem 10 9 3 3" xfId="15817" xr:uid="{00000000-0005-0000-0000-0000A8450000}"/>
    <cellStyle name="Porcentagem 10 9 3 4" xfId="15818" xr:uid="{00000000-0005-0000-0000-0000A9450000}"/>
    <cellStyle name="Porcentagem 10 9 4" xfId="15819" xr:uid="{00000000-0005-0000-0000-0000AA450000}"/>
    <cellStyle name="Porcentagem 11" xfId="561" xr:uid="{00000000-0005-0000-0000-0000AB450000}"/>
    <cellStyle name="Porcentagem 11 10" xfId="15820" xr:uid="{00000000-0005-0000-0000-0000AC450000}"/>
    <cellStyle name="Porcentagem 11 11" xfId="15821" xr:uid="{00000000-0005-0000-0000-0000AD450000}"/>
    <cellStyle name="Porcentagem 11 12" xfId="15822" xr:uid="{00000000-0005-0000-0000-0000AE450000}"/>
    <cellStyle name="Porcentagem 11 2" xfId="15823" xr:uid="{00000000-0005-0000-0000-0000AF450000}"/>
    <cellStyle name="Porcentagem 11 2 10" xfId="15824" xr:uid="{00000000-0005-0000-0000-0000B0450000}"/>
    <cellStyle name="Porcentagem 11 2 2" xfId="15825" xr:uid="{00000000-0005-0000-0000-0000B1450000}"/>
    <cellStyle name="Porcentagem 11 2 3" xfId="15826" xr:uid="{00000000-0005-0000-0000-0000B2450000}"/>
    <cellStyle name="Porcentagem 11 2 4" xfId="15827" xr:uid="{00000000-0005-0000-0000-0000B3450000}"/>
    <cellStyle name="Porcentagem 11 2 5" xfId="15828" xr:uid="{00000000-0005-0000-0000-0000B4450000}"/>
    <cellStyle name="Porcentagem 11 2 6" xfId="15829" xr:uid="{00000000-0005-0000-0000-0000B5450000}"/>
    <cellStyle name="Porcentagem 11 2 7" xfId="15830" xr:uid="{00000000-0005-0000-0000-0000B6450000}"/>
    <cellStyle name="Porcentagem 11 2 8" xfId="15831" xr:uid="{00000000-0005-0000-0000-0000B7450000}"/>
    <cellStyle name="Porcentagem 11 2 9" xfId="15832" xr:uid="{00000000-0005-0000-0000-0000B8450000}"/>
    <cellStyle name="Porcentagem 11 3" xfId="15833" xr:uid="{00000000-0005-0000-0000-0000B9450000}"/>
    <cellStyle name="Porcentagem 11 3 10" xfId="15834" xr:uid="{00000000-0005-0000-0000-0000BA450000}"/>
    <cellStyle name="Porcentagem 11 3 2" xfId="15835" xr:uid="{00000000-0005-0000-0000-0000BB450000}"/>
    <cellStyle name="Porcentagem 11 3 3" xfId="15836" xr:uid="{00000000-0005-0000-0000-0000BC450000}"/>
    <cellStyle name="Porcentagem 11 3 4" xfId="15837" xr:uid="{00000000-0005-0000-0000-0000BD450000}"/>
    <cellStyle name="Porcentagem 11 3 5" xfId="15838" xr:uid="{00000000-0005-0000-0000-0000BE450000}"/>
    <cellStyle name="Porcentagem 11 3 6" xfId="15839" xr:uid="{00000000-0005-0000-0000-0000BF450000}"/>
    <cellStyle name="Porcentagem 11 3 7" xfId="15840" xr:uid="{00000000-0005-0000-0000-0000C0450000}"/>
    <cellStyle name="Porcentagem 11 3 8" xfId="15841" xr:uid="{00000000-0005-0000-0000-0000C1450000}"/>
    <cellStyle name="Porcentagem 11 3 9" xfId="15842" xr:uid="{00000000-0005-0000-0000-0000C2450000}"/>
    <cellStyle name="Porcentagem 11 4" xfId="15843" xr:uid="{00000000-0005-0000-0000-0000C3450000}"/>
    <cellStyle name="Porcentagem 11 5" xfId="15844" xr:uid="{00000000-0005-0000-0000-0000C4450000}"/>
    <cellStyle name="Porcentagem 11 6" xfId="15845" xr:uid="{00000000-0005-0000-0000-0000C5450000}"/>
    <cellStyle name="Porcentagem 11 7" xfId="15846" xr:uid="{00000000-0005-0000-0000-0000C6450000}"/>
    <cellStyle name="Porcentagem 11 8" xfId="15847" xr:uid="{00000000-0005-0000-0000-0000C7450000}"/>
    <cellStyle name="Porcentagem 11 9" xfId="15848" xr:uid="{00000000-0005-0000-0000-0000C8450000}"/>
    <cellStyle name="Porcentagem 12" xfId="15849" xr:uid="{00000000-0005-0000-0000-0000C9450000}"/>
    <cellStyle name="Porcentagem 12 10" xfId="15850" xr:uid="{00000000-0005-0000-0000-0000CA450000}"/>
    <cellStyle name="Porcentagem 12 11" xfId="15851" xr:uid="{00000000-0005-0000-0000-0000CB450000}"/>
    <cellStyle name="Porcentagem 12 12" xfId="15852" xr:uid="{00000000-0005-0000-0000-0000CC450000}"/>
    <cellStyle name="Porcentagem 12 13" xfId="15853" xr:uid="{00000000-0005-0000-0000-0000CD450000}"/>
    <cellStyle name="Porcentagem 12 14" xfId="15854" xr:uid="{00000000-0005-0000-0000-0000CE450000}"/>
    <cellStyle name="Porcentagem 12 2" xfId="15855" xr:uid="{00000000-0005-0000-0000-0000CF450000}"/>
    <cellStyle name="Porcentagem 12 2 10" xfId="15856" xr:uid="{00000000-0005-0000-0000-0000D0450000}"/>
    <cellStyle name="Porcentagem 12 2 2" xfId="15857" xr:uid="{00000000-0005-0000-0000-0000D1450000}"/>
    <cellStyle name="Porcentagem 12 2 3" xfId="15858" xr:uid="{00000000-0005-0000-0000-0000D2450000}"/>
    <cellStyle name="Porcentagem 12 2 4" xfId="15859" xr:uid="{00000000-0005-0000-0000-0000D3450000}"/>
    <cellStyle name="Porcentagem 12 2 5" xfId="15860" xr:uid="{00000000-0005-0000-0000-0000D4450000}"/>
    <cellStyle name="Porcentagem 12 2 6" xfId="15861" xr:uid="{00000000-0005-0000-0000-0000D5450000}"/>
    <cellStyle name="Porcentagem 12 2 7" xfId="15862" xr:uid="{00000000-0005-0000-0000-0000D6450000}"/>
    <cellStyle name="Porcentagem 12 2 8" xfId="15863" xr:uid="{00000000-0005-0000-0000-0000D7450000}"/>
    <cellStyle name="Porcentagem 12 2 9" xfId="15864" xr:uid="{00000000-0005-0000-0000-0000D8450000}"/>
    <cellStyle name="Porcentagem 12 3" xfId="15865" xr:uid="{00000000-0005-0000-0000-0000D9450000}"/>
    <cellStyle name="Porcentagem 12 3 10" xfId="15866" xr:uid="{00000000-0005-0000-0000-0000DA450000}"/>
    <cellStyle name="Porcentagem 12 3 2" xfId="15867" xr:uid="{00000000-0005-0000-0000-0000DB450000}"/>
    <cellStyle name="Porcentagem 12 3 3" xfId="15868" xr:uid="{00000000-0005-0000-0000-0000DC450000}"/>
    <cellStyle name="Porcentagem 12 3 4" xfId="15869" xr:uid="{00000000-0005-0000-0000-0000DD450000}"/>
    <cellStyle name="Porcentagem 12 3 5" xfId="15870" xr:uid="{00000000-0005-0000-0000-0000DE450000}"/>
    <cellStyle name="Porcentagem 12 3 6" xfId="15871" xr:uid="{00000000-0005-0000-0000-0000DF450000}"/>
    <cellStyle name="Porcentagem 12 3 7" xfId="15872" xr:uid="{00000000-0005-0000-0000-0000E0450000}"/>
    <cellStyle name="Porcentagem 12 3 8" xfId="15873" xr:uid="{00000000-0005-0000-0000-0000E1450000}"/>
    <cellStyle name="Porcentagem 12 3 9" xfId="15874" xr:uid="{00000000-0005-0000-0000-0000E2450000}"/>
    <cellStyle name="Porcentagem 12 4" xfId="15875" xr:uid="{00000000-0005-0000-0000-0000E3450000}"/>
    <cellStyle name="Porcentagem 12 5" xfId="15876" xr:uid="{00000000-0005-0000-0000-0000E4450000}"/>
    <cellStyle name="Porcentagem 12 6" xfId="15877" xr:uid="{00000000-0005-0000-0000-0000E5450000}"/>
    <cellStyle name="Porcentagem 12 7" xfId="15878" xr:uid="{00000000-0005-0000-0000-0000E6450000}"/>
    <cellStyle name="Porcentagem 12 8" xfId="15879" xr:uid="{00000000-0005-0000-0000-0000E7450000}"/>
    <cellStyle name="Porcentagem 12 9" xfId="15880" xr:uid="{00000000-0005-0000-0000-0000E8450000}"/>
    <cellStyle name="Porcentagem 13" xfId="15881" xr:uid="{00000000-0005-0000-0000-0000E9450000}"/>
    <cellStyle name="Porcentagem 13 10" xfId="15882" xr:uid="{00000000-0005-0000-0000-0000EA450000}"/>
    <cellStyle name="Porcentagem 13 11" xfId="15883" xr:uid="{00000000-0005-0000-0000-0000EB450000}"/>
    <cellStyle name="Porcentagem 13 12" xfId="15884" xr:uid="{00000000-0005-0000-0000-0000EC450000}"/>
    <cellStyle name="Porcentagem 13 2" xfId="15885" xr:uid="{00000000-0005-0000-0000-0000ED450000}"/>
    <cellStyle name="Porcentagem 13 2 10" xfId="15886" xr:uid="{00000000-0005-0000-0000-0000EE450000}"/>
    <cellStyle name="Porcentagem 13 2 2" xfId="15887" xr:uid="{00000000-0005-0000-0000-0000EF450000}"/>
    <cellStyle name="Porcentagem 13 2 3" xfId="15888" xr:uid="{00000000-0005-0000-0000-0000F0450000}"/>
    <cellStyle name="Porcentagem 13 2 4" xfId="15889" xr:uid="{00000000-0005-0000-0000-0000F1450000}"/>
    <cellStyle name="Porcentagem 13 2 5" xfId="15890" xr:uid="{00000000-0005-0000-0000-0000F2450000}"/>
    <cellStyle name="Porcentagem 13 2 6" xfId="15891" xr:uid="{00000000-0005-0000-0000-0000F3450000}"/>
    <cellStyle name="Porcentagem 13 2 7" xfId="15892" xr:uid="{00000000-0005-0000-0000-0000F4450000}"/>
    <cellStyle name="Porcentagem 13 2 8" xfId="15893" xr:uid="{00000000-0005-0000-0000-0000F5450000}"/>
    <cellStyle name="Porcentagem 13 2 9" xfId="15894" xr:uid="{00000000-0005-0000-0000-0000F6450000}"/>
    <cellStyle name="Porcentagem 13 3" xfId="15895" xr:uid="{00000000-0005-0000-0000-0000F7450000}"/>
    <cellStyle name="Porcentagem 13 3 10" xfId="15896" xr:uid="{00000000-0005-0000-0000-0000F8450000}"/>
    <cellStyle name="Porcentagem 13 3 2" xfId="15897" xr:uid="{00000000-0005-0000-0000-0000F9450000}"/>
    <cellStyle name="Porcentagem 13 3 3" xfId="15898" xr:uid="{00000000-0005-0000-0000-0000FA450000}"/>
    <cellStyle name="Porcentagem 13 3 4" xfId="15899" xr:uid="{00000000-0005-0000-0000-0000FB450000}"/>
    <cellStyle name="Porcentagem 13 3 5" xfId="15900" xr:uid="{00000000-0005-0000-0000-0000FC450000}"/>
    <cellStyle name="Porcentagem 13 3 6" xfId="15901" xr:uid="{00000000-0005-0000-0000-0000FD450000}"/>
    <cellStyle name="Porcentagem 13 3 7" xfId="15902" xr:uid="{00000000-0005-0000-0000-0000FE450000}"/>
    <cellStyle name="Porcentagem 13 3 8" xfId="15903" xr:uid="{00000000-0005-0000-0000-0000FF450000}"/>
    <cellStyle name="Porcentagem 13 3 9" xfId="15904" xr:uid="{00000000-0005-0000-0000-000000460000}"/>
    <cellStyle name="Porcentagem 13 4" xfId="15905" xr:uid="{00000000-0005-0000-0000-000001460000}"/>
    <cellStyle name="Porcentagem 13 5" xfId="15906" xr:uid="{00000000-0005-0000-0000-000002460000}"/>
    <cellStyle name="Porcentagem 13 6" xfId="15907" xr:uid="{00000000-0005-0000-0000-000003460000}"/>
    <cellStyle name="Porcentagem 13 7" xfId="15908" xr:uid="{00000000-0005-0000-0000-000004460000}"/>
    <cellStyle name="Porcentagem 13 8" xfId="15909" xr:uid="{00000000-0005-0000-0000-000005460000}"/>
    <cellStyle name="Porcentagem 13 9" xfId="15910" xr:uid="{00000000-0005-0000-0000-000006460000}"/>
    <cellStyle name="Porcentagem 14" xfId="15911" xr:uid="{00000000-0005-0000-0000-000007460000}"/>
    <cellStyle name="Porcentagem 15" xfId="15912" xr:uid="{00000000-0005-0000-0000-000008460000}"/>
    <cellStyle name="Porcentagem 15 10" xfId="15913" xr:uid="{00000000-0005-0000-0000-000009460000}"/>
    <cellStyle name="Porcentagem 15 11" xfId="15914" xr:uid="{00000000-0005-0000-0000-00000A460000}"/>
    <cellStyle name="Porcentagem 15 12" xfId="15915" xr:uid="{00000000-0005-0000-0000-00000B460000}"/>
    <cellStyle name="Porcentagem 15 13" xfId="15916" xr:uid="{00000000-0005-0000-0000-00000C460000}"/>
    <cellStyle name="Porcentagem 15 2" xfId="15917" xr:uid="{00000000-0005-0000-0000-00000D460000}"/>
    <cellStyle name="Porcentagem 15 3" xfId="15918" xr:uid="{00000000-0005-0000-0000-00000E460000}"/>
    <cellStyle name="Porcentagem 15 4" xfId="15919" xr:uid="{00000000-0005-0000-0000-00000F460000}"/>
    <cellStyle name="Porcentagem 15 5" xfId="15920" xr:uid="{00000000-0005-0000-0000-000010460000}"/>
    <cellStyle name="Porcentagem 15 6" xfId="15921" xr:uid="{00000000-0005-0000-0000-000011460000}"/>
    <cellStyle name="Porcentagem 15 7" xfId="15922" xr:uid="{00000000-0005-0000-0000-000012460000}"/>
    <cellStyle name="Porcentagem 15 8" xfId="15923" xr:uid="{00000000-0005-0000-0000-000013460000}"/>
    <cellStyle name="Porcentagem 15 9" xfId="15924" xr:uid="{00000000-0005-0000-0000-000014460000}"/>
    <cellStyle name="Porcentagem 16" xfId="15925" xr:uid="{00000000-0005-0000-0000-000015460000}"/>
    <cellStyle name="Porcentagem 2" xfId="562" xr:uid="{00000000-0005-0000-0000-000016460000}"/>
    <cellStyle name="Porcentagem 2 10" xfId="15927" xr:uid="{00000000-0005-0000-0000-000017460000}"/>
    <cellStyle name="Porcentagem 2 10 2" xfId="15928" xr:uid="{00000000-0005-0000-0000-000018460000}"/>
    <cellStyle name="Porcentagem 2 10 3" xfId="15929" xr:uid="{00000000-0005-0000-0000-000019460000}"/>
    <cellStyle name="Porcentagem 2 10 4" xfId="15930" xr:uid="{00000000-0005-0000-0000-00001A460000}"/>
    <cellStyle name="Porcentagem 2 11" xfId="15931" xr:uid="{00000000-0005-0000-0000-00001B460000}"/>
    <cellStyle name="Porcentagem 2 11 2" xfId="15932" xr:uid="{00000000-0005-0000-0000-00001C460000}"/>
    <cellStyle name="Porcentagem 2 11 3" xfId="15933" xr:uid="{00000000-0005-0000-0000-00001D460000}"/>
    <cellStyle name="Porcentagem 2 11 4" xfId="15934" xr:uid="{00000000-0005-0000-0000-00001E460000}"/>
    <cellStyle name="Porcentagem 2 12" xfId="15935" xr:uid="{00000000-0005-0000-0000-00001F460000}"/>
    <cellStyle name="Porcentagem 2 12 2" xfId="15936" xr:uid="{00000000-0005-0000-0000-000020460000}"/>
    <cellStyle name="Porcentagem 2 12 3" xfId="15937" xr:uid="{00000000-0005-0000-0000-000021460000}"/>
    <cellStyle name="Porcentagem 2 12 4" xfId="15938" xr:uid="{00000000-0005-0000-0000-000022460000}"/>
    <cellStyle name="Porcentagem 2 13" xfId="15939" xr:uid="{00000000-0005-0000-0000-000023460000}"/>
    <cellStyle name="Porcentagem 2 13 2" xfId="15940" xr:uid="{00000000-0005-0000-0000-000024460000}"/>
    <cellStyle name="Porcentagem 2 13 3" xfId="15941" xr:uid="{00000000-0005-0000-0000-000025460000}"/>
    <cellStyle name="Porcentagem 2 13 4" xfId="15942" xr:uid="{00000000-0005-0000-0000-000026460000}"/>
    <cellStyle name="Porcentagem 2 14" xfId="15943" xr:uid="{00000000-0005-0000-0000-000027460000}"/>
    <cellStyle name="Porcentagem 2 14 2" xfId="15944" xr:uid="{00000000-0005-0000-0000-000028460000}"/>
    <cellStyle name="Porcentagem 2 14 3" xfId="15945" xr:uid="{00000000-0005-0000-0000-000029460000}"/>
    <cellStyle name="Porcentagem 2 14 4" xfId="15946" xr:uid="{00000000-0005-0000-0000-00002A460000}"/>
    <cellStyle name="Porcentagem 2 15" xfId="15947" xr:uid="{00000000-0005-0000-0000-00002B460000}"/>
    <cellStyle name="Porcentagem 2 15 2" xfId="15948" xr:uid="{00000000-0005-0000-0000-00002C460000}"/>
    <cellStyle name="Porcentagem 2 15 3" xfId="15949" xr:uid="{00000000-0005-0000-0000-00002D460000}"/>
    <cellStyle name="Porcentagem 2 15 4" xfId="15950" xr:uid="{00000000-0005-0000-0000-00002E460000}"/>
    <cellStyle name="Porcentagem 2 16" xfId="15951" xr:uid="{00000000-0005-0000-0000-00002F460000}"/>
    <cellStyle name="Porcentagem 2 16 2" xfId="15952" xr:uid="{00000000-0005-0000-0000-000030460000}"/>
    <cellStyle name="Porcentagem 2 16 3" xfId="15953" xr:uid="{00000000-0005-0000-0000-000031460000}"/>
    <cellStyle name="Porcentagem 2 16 4" xfId="15954" xr:uid="{00000000-0005-0000-0000-000032460000}"/>
    <cellStyle name="Porcentagem 2 17" xfId="15955" xr:uid="{00000000-0005-0000-0000-000033460000}"/>
    <cellStyle name="Porcentagem 2 17 2" xfId="15956" xr:uid="{00000000-0005-0000-0000-000034460000}"/>
    <cellStyle name="Porcentagem 2 17 3" xfId="15957" xr:uid="{00000000-0005-0000-0000-000035460000}"/>
    <cellStyle name="Porcentagem 2 17 4" xfId="15958" xr:uid="{00000000-0005-0000-0000-000036460000}"/>
    <cellStyle name="Porcentagem 2 18" xfId="15959" xr:uid="{00000000-0005-0000-0000-000037460000}"/>
    <cellStyle name="Porcentagem 2 18 2" xfId="15960" xr:uid="{00000000-0005-0000-0000-000038460000}"/>
    <cellStyle name="Porcentagem 2 18 3" xfId="15961" xr:uid="{00000000-0005-0000-0000-000039460000}"/>
    <cellStyle name="Porcentagem 2 18 4" xfId="15962" xr:uid="{00000000-0005-0000-0000-00003A460000}"/>
    <cellStyle name="Porcentagem 2 19" xfId="15963" xr:uid="{00000000-0005-0000-0000-00003B460000}"/>
    <cellStyle name="Porcentagem 2 19 2" xfId="15964" xr:uid="{00000000-0005-0000-0000-00003C460000}"/>
    <cellStyle name="Porcentagem 2 19 3" xfId="15965" xr:uid="{00000000-0005-0000-0000-00003D460000}"/>
    <cellStyle name="Porcentagem 2 19 4" xfId="15966" xr:uid="{00000000-0005-0000-0000-00003E460000}"/>
    <cellStyle name="Porcentagem 2 2" xfId="563" xr:uid="{00000000-0005-0000-0000-00003F460000}"/>
    <cellStyle name="Porcentagem 2 2 10" xfId="15968" xr:uid="{00000000-0005-0000-0000-000040460000}"/>
    <cellStyle name="Porcentagem 2 2 10 2" xfId="15969" xr:uid="{00000000-0005-0000-0000-000041460000}"/>
    <cellStyle name="Porcentagem 2 2 10 3" xfId="15970" xr:uid="{00000000-0005-0000-0000-000042460000}"/>
    <cellStyle name="Porcentagem 2 2 11" xfId="15971" xr:uid="{00000000-0005-0000-0000-000043460000}"/>
    <cellStyle name="Porcentagem 2 2 11 2" xfId="15972" xr:uid="{00000000-0005-0000-0000-000044460000}"/>
    <cellStyle name="Porcentagem 2 2 11 3" xfId="15973" xr:uid="{00000000-0005-0000-0000-000045460000}"/>
    <cellStyle name="Porcentagem 2 2 12" xfId="15974" xr:uid="{00000000-0005-0000-0000-000046460000}"/>
    <cellStyle name="Porcentagem 2 2 12 2" xfId="15975" xr:uid="{00000000-0005-0000-0000-000047460000}"/>
    <cellStyle name="Porcentagem 2 2 12 3" xfId="15976" xr:uid="{00000000-0005-0000-0000-000048460000}"/>
    <cellStyle name="Porcentagem 2 2 13" xfId="15977" xr:uid="{00000000-0005-0000-0000-000049460000}"/>
    <cellStyle name="Porcentagem 2 2 13 2" xfId="15978" xr:uid="{00000000-0005-0000-0000-00004A460000}"/>
    <cellStyle name="Porcentagem 2 2 13 3" xfId="15979" xr:uid="{00000000-0005-0000-0000-00004B460000}"/>
    <cellStyle name="Porcentagem 2 2 14" xfId="15980" xr:uid="{00000000-0005-0000-0000-00004C460000}"/>
    <cellStyle name="Porcentagem 2 2 14 2" xfId="15981" xr:uid="{00000000-0005-0000-0000-00004D460000}"/>
    <cellStyle name="Porcentagem 2 2 14 3" xfId="15982" xr:uid="{00000000-0005-0000-0000-00004E460000}"/>
    <cellStyle name="Porcentagem 2 2 15" xfId="15983" xr:uid="{00000000-0005-0000-0000-00004F460000}"/>
    <cellStyle name="Porcentagem 2 2 15 2" xfId="15984" xr:uid="{00000000-0005-0000-0000-000050460000}"/>
    <cellStyle name="Porcentagem 2 2 15 3" xfId="15985" xr:uid="{00000000-0005-0000-0000-000051460000}"/>
    <cellStyle name="Porcentagem 2 2 16" xfId="15986" xr:uid="{00000000-0005-0000-0000-000052460000}"/>
    <cellStyle name="Porcentagem 2 2 16 2" xfId="15987" xr:uid="{00000000-0005-0000-0000-000053460000}"/>
    <cellStyle name="Porcentagem 2 2 16 3" xfId="15988" xr:uid="{00000000-0005-0000-0000-000054460000}"/>
    <cellStyle name="Porcentagem 2 2 17" xfId="15989" xr:uid="{00000000-0005-0000-0000-000055460000}"/>
    <cellStyle name="Porcentagem 2 2 17 2" xfId="15990" xr:uid="{00000000-0005-0000-0000-000056460000}"/>
    <cellStyle name="Porcentagem 2 2 17 3" xfId="15991" xr:uid="{00000000-0005-0000-0000-000057460000}"/>
    <cellStyle name="Porcentagem 2 2 18" xfId="15992" xr:uid="{00000000-0005-0000-0000-000058460000}"/>
    <cellStyle name="Porcentagem 2 2 18 2" xfId="15993" xr:uid="{00000000-0005-0000-0000-000059460000}"/>
    <cellStyle name="Porcentagem 2 2 18 3" xfId="15994" xr:uid="{00000000-0005-0000-0000-00005A460000}"/>
    <cellStyle name="Porcentagem 2 2 19" xfId="15995" xr:uid="{00000000-0005-0000-0000-00005B460000}"/>
    <cellStyle name="Porcentagem 2 2 19 2" xfId="15996" xr:uid="{00000000-0005-0000-0000-00005C460000}"/>
    <cellStyle name="Porcentagem 2 2 19 3" xfId="15997" xr:uid="{00000000-0005-0000-0000-00005D460000}"/>
    <cellStyle name="Porcentagem 2 2 2" xfId="15998" xr:uid="{00000000-0005-0000-0000-00005E460000}"/>
    <cellStyle name="Porcentagem 2 2 2 10" xfId="15999" xr:uid="{00000000-0005-0000-0000-00005F460000}"/>
    <cellStyle name="Porcentagem 2 2 2 10 2" xfId="16000" xr:uid="{00000000-0005-0000-0000-000060460000}"/>
    <cellStyle name="Porcentagem 2 2 2 10 3" xfId="16001" xr:uid="{00000000-0005-0000-0000-000061460000}"/>
    <cellStyle name="Porcentagem 2 2 2 10 4" xfId="16002" xr:uid="{00000000-0005-0000-0000-000062460000}"/>
    <cellStyle name="Porcentagem 2 2 2 11" xfId="16003" xr:uid="{00000000-0005-0000-0000-000063460000}"/>
    <cellStyle name="Porcentagem 2 2 2 11 2" xfId="16004" xr:uid="{00000000-0005-0000-0000-000064460000}"/>
    <cellStyle name="Porcentagem 2 2 2 11 3" xfId="16005" xr:uid="{00000000-0005-0000-0000-000065460000}"/>
    <cellStyle name="Porcentagem 2 2 2 11 4" xfId="16006" xr:uid="{00000000-0005-0000-0000-000066460000}"/>
    <cellStyle name="Porcentagem 2 2 2 12" xfId="16007" xr:uid="{00000000-0005-0000-0000-000067460000}"/>
    <cellStyle name="Porcentagem 2 2 2 12 2" xfId="16008" xr:uid="{00000000-0005-0000-0000-000068460000}"/>
    <cellStyle name="Porcentagem 2 2 2 12 3" xfId="16009" xr:uid="{00000000-0005-0000-0000-000069460000}"/>
    <cellStyle name="Porcentagem 2 2 2 12 4" xfId="16010" xr:uid="{00000000-0005-0000-0000-00006A460000}"/>
    <cellStyle name="Porcentagem 2 2 2 13" xfId="16011" xr:uid="{00000000-0005-0000-0000-00006B460000}"/>
    <cellStyle name="Porcentagem 2 2 2 13 2" xfId="16012" xr:uid="{00000000-0005-0000-0000-00006C460000}"/>
    <cellStyle name="Porcentagem 2 2 2 13 3" xfId="16013" xr:uid="{00000000-0005-0000-0000-00006D460000}"/>
    <cellStyle name="Porcentagem 2 2 2 13 4" xfId="16014" xr:uid="{00000000-0005-0000-0000-00006E460000}"/>
    <cellStyle name="Porcentagem 2 2 2 14" xfId="16015" xr:uid="{00000000-0005-0000-0000-00006F460000}"/>
    <cellStyle name="Porcentagem 2 2 2 14 2" xfId="16016" xr:uid="{00000000-0005-0000-0000-000070460000}"/>
    <cellStyle name="Porcentagem 2 2 2 14 3" xfId="16017" xr:uid="{00000000-0005-0000-0000-000071460000}"/>
    <cellStyle name="Porcentagem 2 2 2 14 4" xfId="16018" xr:uid="{00000000-0005-0000-0000-000072460000}"/>
    <cellStyle name="Porcentagem 2 2 2 15" xfId="16019" xr:uid="{00000000-0005-0000-0000-000073460000}"/>
    <cellStyle name="Porcentagem 2 2 2 15 2" xfId="16020" xr:uid="{00000000-0005-0000-0000-000074460000}"/>
    <cellStyle name="Porcentagem 2 2 2 15 3" xfId="16021" xr:uid="{00000000-0005-0000-0000-000075460000}"/>
    <cellStyle name="Porcentagem 2 2 2 15 4" xfId="16022" xr:uid="{00000000-0005-0000-0000-000076460000}"/>
    <cellStyle name="Porcentagem 2 2 2 16" xfId="16023" xr:uid="{00000000-0005-0000-0000-000077460000}"/>
    <cellStyle name="Porcentagem 2 2 2 16 2" xfId="16024" xr:uid="{00000000-0005-0000-0000-000078460000}"/>
    <cellStyle name="Porcentagem 2 2 2 17" xfId="16025" xr:uid="{00000000-0005-0000-0000-000079460000}"/>
    <cellStyle name="Porcentagem 2 2 2 17 2" xfId="16026" xr:uid="{00000000-0005-0000-0000-00007A460000}"/>
    <cellStyle name="Porcentagem 2 2 2 18" xfId="16027" xr:uid="{00000000-0005-0000-0000-00007B460000}"/>
    <cellStyle name="Porcentagem 2 2 2 18 2" xfId="16028" xr:uid="{00000000-0005-0000-0000-00007C460000}"/>
    <cellStyle name="Porcentagem 2 2 2 19" xfId="16029" xr:uid="{00000000-0005-0000-0000-00007D460000}"/>
    <cellStyle name="Porcentagem 2 2 2 19 2" xfId="16030" xr:uid="{00000000-0005-0000-0000-00007E460000}"/>
    <cellStyle name="Porcentagem 2 2 2 2" xfId="16031" xr:uid="{00000000-0005-0000-0000-00007F460000}"/>
    <cellStyle name="Porcentagem 2 2 2 2 10" xfId="16032" xr:uid="{00000000-0005-0000-0000-000080460000}"/>
    <cellStyle name="Porcentagem 2 2 2 2 11" xfId="16033" xr:uid="{00000000-0005-0000-0000-000081460000}"/>
    <cellStyle name="Porcentagem 2 2 2 2 12" xfId="16034" xr:uid="{00000000-0005-0000-0000-000082460000}"/>
    <cellStyle name="Porcentagem 2 2 2 2 13" xfId="16035" xr:uid="{00000000-0005-0000-0000-000083460000}"/>
    <cellStyle name="Porcentagem 2 2 2 2 14" xfId="16036" xr:uid="{00000000-0005-0000-0000-000084460000}"/>
    <cellStyle name="Porcentagem 2 2 2 2 15" xfId="16037" xr:uid="{00000000-0005-0000-0000-000085460000}"/>
    <cellStyle name="Porcentagem 2 2 2 2 16" xfId="16038" xr:uid="{00000000-0005-0000-0000-000086460000}"/>
    <cellStyle name="Porcentagem 2 2 2 2 17" xfId="16039" xr:uid="{00000000-0005-0000-0000-000087460000}"/>
    <cellStyle name="Porcentagem 2 2 2 2 18" xfId="16040" xr:uid="{00000000-0005-0000-0000-000088460000}"/>
    <cellStyle name="Porcentagem 2 2 2 2 19" xfId="16041" xr:uid="{00000000-0005-0000-0000-000089460000}"/>
    <cellStyle name="Porcentagem 2 2 2 2 2" xfId="16042" xr:uid="{00000000-0005-0000-0000-00008A460000}"/>
    <cellStyle name="Porcentagem 2 2 2 2 20" xfId="16043" xr:uid="{00000000-0005-0000-0000-00008B460000}"/>
    <cellStyle name="Porcentagem 2 2 2 2 21" xfId="16044" xr:uid="{00000000-0005-0000-0000-00008C460000}"/>
    <cellStyle name="Porcentagem 2 2 2 2 22" xfId="16045" xr:uid="{00000000-0005-0000-0000-00008D460000}"/>
    <cellStyle name="Porcentagem 2 2 2 2 23" xfId="16046" xr:uid="{00000000-0005-0000-0000-00008E460000}"/>
    <cellStyle name="Porcentagem 2 2 2 2 24" xfId="16047" xr:uid="{00000000-0005-0000-0000-00008F460000}"/>
    <cellStyle name="Porcentagem 2 2 2 2 25" xfId="16048" xr:uid="{00000000-0005-0000-0000-000090460000}"/>
    <cellStyle name="Porcentagem 2 2 2 2 26" xfId="16049" xr:uid="{00000000-0005-0000-0000-000091460000}"/>
    <cellStyle name="Porcentagem 2 2 2 2 27" xfId="16050" xr:uid="{00000000-0005-0000-0000-000092460000}"/>
    <cellStyle name="Porcentagem 2 2 2 2 28" xfId="16051" xr:uid="{00000000-0005-0000-0000-000093460000}"/>
    <cellStyle name="Porcentagem 2 2 2 2 29" xfId="16052" xr:uid="{00000000-0005-0000-0000-000094460000}"/>
    <cellStyle name="Porcentagem 2 2 2 2 3" xfId="16053" xr:uid="{00000000-0005-0000-0000-000095460000}"/>
    <cellStyle name="Porcentagem 2 2 2 2 30" xfId="16054" xr:uid="{00000000-0005-0000-0000-000096460000}"/>
    <cellStyle name="Porcentagem 2 2 2 2 31" xfId="16055" xr:uid="{00000000-0005-0000-0000-000097460000}"/>
    <cellStyle name="Porcentagem 2 2 2 2 32" xfId="16056" xr:uid="{00000000-0005-0000-0000-000098460000}"/>
    <cellStyle name="Porcentagem 2 2 2 2 33" xfId="16057" xr:uid="{00000000-0005-0000-0000-000099460000}"/>
    <cellStyle name="Porcentagem 2 2 2 2 34" xfId="16058" xr:uid="{00000000-0005-0000-0000-00009A460000}"/>
    <cellStyle name="Porcentagem 2 2 2 2 35" xfId="16059" xr:uid="{00000000-0005-0000-0000-00009B460000}"/>
    <cellStyle name="Porcentagem 2 2 2 2 36" xfId="16060" xr:uid="{00000000-0005-0000-0000-00009C460000}"/>
    <cellStyle name="Porcentagem 2 2 2 2 37" xfId="16061" xr:uid="{00000000-0005-0000-0000-00009D460000}"/>
    <cellStyle name="Porcentagem 2 2 2 2 38" xfId="16062" xr:uid="{00000000-0005-0000-0000-00009E460000}"/>
    <cellStyle name="Porcentagem 2 2 2 2 4" xfId="16063" xr:uid="{00000000-0005-0000-0000-00009F460000}"/>
    <cellStyle name="Porcentagem 2 2 2 2 5" xfId="16064" xr:uid="{00000000-0005-0000-0000-0000A0460000}"/>
    <cellStyle name="Porcentagem 2 2 2 2 6" xfId="16065" xr:uid="{00000000-0005-0000-0000-0000A1460000}"/>
    <cellStyle name="Porcentagem 2 2 2 2 7" xfId="16066" xr:uid="{00000000-0005-0000-0000-0000A2460000}"/>
    <cellStyle name="Porcentagem 2 2 2 2 8" xfId="16067" xr:uid="{00000000-0005-0000-0000-0000A3460000}"/>
    <cellStyle name="Porcentagem 2 2 2 2 9" xfId="16068" xr:uid="{00000000-0005-0000-0000-0000A4460000}"/>
    <cellStyle name="Porcentagem 2 2 2 20" xfId="16069" xr:uid="{00000000-0005-0000-0000-0000A5460000}"/>
    <cellStyle name="Porcentagem 2 2 2 20 2" xfId="16070" xr:uid="{00000000-0005-0000-0000-0000A6460000}"/>
    <cellStyle name="Porcentagem 2 2 2 21" xfId="16071" xr:uid="{00000000-0005-0000-0000-0000A7460000}"/>
    <cellStyle name="Porcentagem 2 2 2 21 2" xfId="16072" xr:uid="{00000000-0005-0000-0000-0000A8460000}"/>
    <cellStyle name="Porcentagem 2 2 2 22" xfId="16073" xr:uid="{00000000-0005-0000-0000-0000A9460000}"/>
    <cellStyle name="Porcentagem 2 2 2 22 2" xfId="16074" xr:uid="{00000000-0005-0000-0000-0000AA460000}"/>
    <cellStyle name="Porcentagem 2 2 2 23" xfId="16075" xr:uid="{00000000-0005-0000-0000-0000AB460000}"/>
    <cellStyle name="Porcentagem 2 2 2 23 2" xfId="16076" xr:uid="{00000000-0005-0000-0000-0000AC460000}"/>
    <cellStyle name="Porcentagem 2 2 2 24" xfId="16077" xr:uid="{00000000-0005-0000-0000-0000AD460000}"/>
    <cellStyle name="Porcentagem 2 2 2 24 2" xfId="16078" xr:uid="{00000000-0005-0000-0000-0000AE460000}"/>
    <cellStyle name="Porcentagem 2 2 2 25" xfId="16079" xr:uid="{00000000-0005-0000-0000-0000AF460000}"/>
    <cellStyle name="Porcentagem 2 2 2 25 2" xfId="16080" xr:uid="{00000000-0005-0000-0000-0000B0460000}"/>
    <cellStyle name="Porcentagem 2 2 2 26" xfId="16081" xr:uid="{00000000-0005-0000-0000-0000B1460000}"/>
    <cellStyle name="Porcentagem 2 2 2 26 2" xfId="16082" xr:uid="{00000000-0005-0000-0000-0000B2460000}"/>
    <cellStyle name="Porcentagem 2 2 2 27" xfId="16083" xr:uid="{00000000-0005-0000-0000-0000B3460000}"/>
    <cellStyle name="Porcentagem 2 2 2 27 2" xfId="16084" xr:uid="{00000000-0005-0000-0000-0000B4460000}"/>
    <cellStyle name="Porcentagem 2 2 2 28" xfId="16085" xr:uid="{00000000-0005-0000-0000-0000B5460000}"/>
    <cellStyle name="Porcentagem 2 2 2 28 2" xfId="16086" xr:uid="{00000000-0005-0000-0000-0000B6460000}"/>
    <cellStyle name="Porcentagem 2 2 2 29" xfId="16087" xr:uid="{00000000-0005-0000-0000-0000B7460000}"/>
    <cellStyle name="Porcentagem 2 2 2 29 2" xfId="16088" xr:uid="{00000000-0005-0000-0000-0000B8460000}"/>
    <cellStyle name="Porcentagem 2 2 2 3" xfId="16089" xr:uid="{00000000-0005-0000-0000-0000B9460000}"/>
    <cellStyle name="Porcentagem 2 2 2 3 2" xfId="16090" xr:uid="{00000000-0005-0000-0000-0000BA460000}"/>
    <cellStyle name="Porcentagem 2 2 2 3 3" xfId="16091" xr:uid="{00000000-0005-0000-0000-0000BB460000}"/>
    <cellStyle name="Porcentagem 2 2 2 3 4" xfId="16092" xr:uid="{00000000-0005-0000-0000-0000BC460000}"/>
    <cellStyle name="Porcentagem 2 2 2 30" xfId="16093" xr:uid="{00000000-0005-0000-0000-0000BD460000}"/>
    <cellStyle name="Porcentagem 2 2 2 30 2" xfId="16094" xr:uid="{00000000-0005-0000-0000-0000BE460000}"/>
    <cellStyle name="Porcentagem 2 2 2 31" xfId="16095" xr:uid="{00000000-0005-0000-0000-0000BF460000}"/>
    <cellStyle name="Porcentagem 2 2 2 31 2" xfId="16096" xr:uid="{00000000-0005-0000-0000-0000C0460000}"/>
    <cellStyle name="Porcentagem 2 2 2 32" xfId="16097" xr:uid="{00000000-0005-0000-0000-0000C1460000}"/>
    <cellStyle name="Porcentagem 2 2 2 32 2" xfId="16098" xr:uid="{00000000-0005-0000-0000-0000C2460000}"/>
    <cellStyle name="Porcentagem 2 2 2 33" xfId="16099" xr:uid="{00000000-0005-0000-0000-0000C3460000}"/>
    <cellStyle name="Porcentagem 2 2 2 33 2" xfId="16100" xr:uid="{00000000-0005-0000-0000-0000C4460000}"/>
    <cellStyle name="Porcentagem 2 2 2 34" xfId="16101" xr:uid="{00000000-0005-0000-0000-0000C5460000}"/>
    <cellStyle name="Porcentagem 2 2 2 34 2" xfId="16102" xr:uid="{00000000-0005-0000-0000-0000C6460000}"/>
    <cellStyle name="Porcentagem 2 2 2 35" xfId="16103" xr:uid="{00000000-0005-0000-0000-0000C7460000}"/>
    <cellStyle name="Porcentagem 2 2 2 35 2" xfId="16104" xr:uid="{00000000-0005-0000-0000-0000C8460000}"/>
    <cellStyle name="Porcentagem 2 2 2 36" xfId="16105" xr:uid="{00000000-0005-0000-0000-0000C9460000}"/>
    <cellStyle name="Porcentagem 2 2 2 37" xfId="16106" xr:uid="{00000000-0005-0000-0000-0000CA460000}"/>
    <cellStyle name="Porcentagem 2 2 2 4" xfId="16107" xr:uid="{00000000-0005-0000-0000-0000CB460000}"/>
    <cellStyle name="Porcentagem 2 2 2 4 2" xfId="16108" xr:uid="{00000000-0005-0000-0000-0000CC460000}"/>
    <cellStyle name="Porcentagem 2 2 2 4 3" xfId="16109" xr:uid="{00000000-0005-0000-0000-0000CD460000}"/>
    <cellStyle name="Porcentagem 2 2 2 4 4" xfId="16110" xr:uid="{00000000-0005-0000-0000-0000CE460000}"/>
    <cellStyle name="Porcentagem 2 2 2 5" xfId="16111" xr:uid="{00000000-0005-0000-0000-0000CF460000}"/>
    <cellStyle name="Porcentagem 2 2 2 5 2" xfId="16112" xr:uid="{00000000-0005-0000-0000-0000D0460000}"/>
    <cellStyle name="Porcentagem 2 2 2 5 3" xfId="16113" xr:uid="{00000000-0005-0000-0000-0000D1460000}"/>
    <cellStyle name="Porcentagem 2 2 2 5 4" xfId="16114" xr:uid="{00000000-0005-0000-0000-0000D2460000}"/>
    <cellStyle name="Porcentagem 2 2 2 6" xfId="16115" xr:uid="{00000000-0005-0000-0000-0000D3460000}"/>
    <cellStyle name="Porcentagem 2 2 2 6 2" xfId="16116" xr:uid="{00000000-0005-0000-0000-0000D4460000}"/>
    <cellStyle name="Porcentagem 2 2 2 6 3" xfId="16117" xr:uid="{00000000-0005-0000-0000-0000D5460000}"/>
    <cellStyle name="Porcentagem 2 2 2 6 4" xfId="16118" xr:uid="{00000000-0005-0000-0000-0000D6460000}"/>
    <cellStyle name="Porcentagem 2 2 2 7" xfId="16119" xr:uid="{00000000-0005-0000-0000-0000D7460000}"/>
    <cellStyle name="Porcentagem 2 2 2 7 2" xfId="16120" xr:uid="{00000000-0005-0000-0000-0000D8460000}"/>
    <cellStyle name="Porcentagem 2 2 2 7 3" xfId="16121" xr:uid="{00000000-0005-0000-0000-0000D9460000}"/>
    <cellStyle name="Porcentagem 2 2 2 7 4" xfId="16122" xr:uid="{00000000-0005-0000-0000-0000DA460000}"/>
    <cellStyle name="Porcentagem 2 2 2 8" xfId="16123" xr:uid="{00000000-0005-0000-0000-0000DB460000}"/>
    <cellStyle name="Porcentagem 2 2 2 8 2" xfId="16124" xr:uid="{00000000-0005-0000-0000-0000DC460000}"/>
    <cellStyle name="Porcentagem 2 2 2 8 3" xfId="16125" xr:uid="{00000000-0005-0000-0000-0000DD460000}"/>
    <cellStyle name="Porcentagem 2 2 2 8 4" xfId="16126" xr:uid="{00000000-0005-0000-0000-0000DE460000}"/>
    <cellStyle name="Porcentagem 2 2 2 9" xfId="16127" xr:uid="{00000000-0005-0000-0000-0000DF460000}"/>
    <cellStyle name="Porcentagem 2 2 2 9 2" xfId="16128" xr:uid="{00000000-0005-0000-0000-0000E0460000}"/>
    <cellStyle name="Porcentagem 2 2 2 9 3" xfId="16129" xr:uid="{00000000-0005-0000-0000-0000E1460000}"/>
    <cellStyle name="Porcentagem 2 2 2 9 4" xfId="16130" xr:uid="{00000000-0005-0000-0000-0000E2460000}"/>
    <cellStyle name="Porcentagem 2 2 20" xfId="16131" xr:uid="{00000000-0005-0000-0000-0000E3460000}"/>
    <cellStyle name="Porcentagem 2 2 21" xfId="16132" xr:uid="{00000000-0005-0000-0000-0000E4460000}"/>
    <cellStyle name="Porcentagem 2 2 22" xfId="16133" xr:uid="{00000000-0005-0000-0000-0000E5460000}"/>
    <cellStyle name="Porcentagem 2 2 23" xfId="16134" xr:uid="{00000000-0005-0000-0000-0000E6460000}"/>
    <cellStyle name="Porcentagem 2 2 24" xfId="16135" xr:uid="{00000000-0005-0000-0000-0000E7460000}"/>
    <cellStyle name="Porcentagem 2 2 25" xfId="16136" xr:uid="{00000000-0005-0000-0000-0000E8460000}"/>
    <cellStyle name="Porcentagem 2 2 26" xfId="16137" xr:uid="{00000000-0005-0000-0000-0000E9460000}"/>
    <cellStyle name="Porcentagem 2 2 27" xfId="16138" xr:uid="{00000000-0005-0000-0000-0000EA460000}"/>
    <cellStyle name="Porcentagem 2 2 28" xfId="16139" xr:uid="{00000000-0005-0000-0000-0000EB460000}"/>
    <cellStyle name="Porcentagem 2 2 29" xfId="16140" xr:uid="{00000000-0005-0000-0000-0000EC460000}"/>
    <cellStyle name="Porcentagem 2 2 3" xfId="16141" xr:uid="{00000000-0005-0000-0000-0000ED460000}"/>
    <cellStyle name="Porcentagem 2 2 30" xfId="16142" xr:uid="{00000000-0005-0000-0000-0000EE460000}"/>
    <cellStyle name="Porcentagem 2 2 31" xfId="16143" xr:uid="{00000000-0005-0000-0000-0000EF460000}"/>
    <cellStyle name="Porcentagem 2 2 32" xfId="16144" xr:uid="{00000000-0005-0000-0000-0000F0460000}"/>
    <cellStyle name="Porcentagem 2 2 33" xfId="16145" xr:uid="{00000000-0005-0000-0000-0000F1460000}"/>
    <cellStyle name="Porcentagem 2 2 34" xfId="16146" xr:uid="{00000000-0005-0000-0000-0000F2460000}"/>
    <cellStyle name="Porcentagem 2 2 35" xfId="16147" xr:uid="{00000000-0005-0000-0000-0000F3460000}"/>
    <cellStyle name="Porcentagem 2 2 36" xfId="16148" xr:uid="{00000000-0005-0000-0000-0000F4460000}"/>
    <cellStyle name="Porcentagem 2 2 37" xfId="16149" xr:uid="{00000000-0005-0000-0000-0000F5460000}"/>
    <cellStyle name="Porcentagem 2 2 38" xfId="16150" xr:uid="{00000000-0005-0000-0000-0000F6460000}"/>
    <cellStyle name="Porcentagem 2 2 39" xfId="16151" xr:uid="{00000000-0005-0000-0000-0000F7460000}"/>
    <cellStyle name="Porcentagem 2 2 4" xfId="16152" xr:uid="{00000000-0005-0000-0000-0000F8460000}"/>
    <cellStyle name="Porcentagem 2 2 40" xfId="15967" xr:uid="{00000000-0005-0000-0000-0000F9460000}"/>
    <cellStyle name="Porcentagem 2 2 5" xfId="16153" xr:uid="{00000000-0005-0000-0000-0000FA460000}"/>
    <cellStyle name="Porcentagem 2 2 6" xfId="16154" xr:uid="{00000000-0005-0000-0000-0000FB460000}"/>
    <cellStyle name="Porcentagem 2 2 7" xfId="16155" xr:uid="{00000000-0005-0000-0000-0000FC460000}"/>
    <cellStyle name="Porcentagem 2 2 7 2" xfId="16156" xr:uid="{00000000-0005-0000-0000-0000FD460000}"/>
    <cellStyle name="Porcentagem 2 2 7 3" xfId="16157" xr:uid="{00000000-0005-0000-0000-0000FE460000}"/>
    <cellStyle name="Porcentagem 2 2 8" xfId="16158" xr:uid="{00000000-0005-0000-0000-0000FF460000}"/>
    <cellStyle name="Porcentagem 2 2 8 2" xfId="16159" xr:uid="{00000000-0005-0000-0000-000000470000}"/>
    <cellStyle name="Porcentagem 2 2 8 3" xfId="16160" xr:uid="{00000000-0005-0000-0000-000001470000}"/>
    <cellStyle name="Porcentagem 2 2 9" xfId="16161" xr:uid="{00000000-0005-0000-0000-000002470000}"/>
    <cellStyle name="Porcentagem 2 2 9 2" xfId="16162" xr:uid="{00000000-0005-0000-0000-000003470000}"/>
    <cellStyle name="Porcentagem 2 2 9 3" xfId="16163" xr:uid="{00000000-0005-0000-0000-000004470000}"/>
    <cellStyle name="Porcentagem 2 20" xfId="16164" xr:uid="{00000000-0005-0000-0000-000005470000}"/>
    <cellStyle name="Porcentagem 2 20 2" xfId="16165" xr:uid="{00000000-0005-0000-0000-000006470000}"/>
    <cellStyle name="Porcentagem 2 20 3" xfId="16166" xr:uid="{00000000-0005-0000-0000-000007470000}"/>
    <cellStyle name="Porcentagem 2 20 4" xfId="16167" xr:uid="{00000000-0005-0000-0000-000008470000}"/>
    <cellStyle name="Porcentagem 2 21" xfId="16168" xr:uid="{00000000-0005-0000-0000-000009470000}"/>
    <cellStyle name="Porcentagem 2 21 2" xfId="16169" xr:uid="{00000000-0005-0000-0000-00000A470000}"/>
    <cellStyle name="Porcentagem 2 21 3" xfId="16170" xr:uid="{00000000-0005-0000-0000-00000B470000}"/>
    <cellStyle name="Porcentagem 2 21 4" xfId="16171" xr:uid="{00000000-0005-0000-0000-00000C470000}"/>
    <cellStyle name="Porcentagem 2 22" xfId="16172" xr:uid="{00000000-0005-0000-0000-00000D470000}"/>
    <cellStyle name="Porcentagem 2 22 2" xfId="16173" xr:uid="{00000000-0005-0000-0000-00000E470000}"/>
    <cellStyle name="Porcentagem 2 22 3" xfId="16174" xr:uid="{00000000-0005-0000-0000-00000F470000}"/>
    <cellStyle name="Porcentagem 2 22 4" xfId="16175" xr:uid="{00000000-0005-0000-0000-000010470000}"/>
    <cellStyle name="Porcentagem 2 23" xfId="16176" xr:uid="{00000000-0005-0000-0000-000011470000}"/>
    <cellStyle name="Porcentagem 2 23 2" xfId="16177" xr:uid="{00000000-0005-0000-0000-000012470000}"/>
    <cellStyle name="Porcentagem 2 23 3" xfId="16178" xr:uid="{00000000-0005-0000-0000-000013470000}"/>
    <cellStyle name="Porcentagem 2 23 4" xfId="16179" xr:uid="{00000000-0005-0000-0000-000014470000}"/>
    <cellStyle name="Porcentagem 2 24" xfId="16180" xr:uid="{00000000-0005-0000-0000-000015470000}"/>
    <cellStyle name="Porcentagem 2 24 2" xfId="16181" xr:uid="{00000000-0005-0000-0000-000016470000}"/>
    <cellStyle name="Porcentagem 2 24 3" xfId="16182" xr:uid="{00000000-0005-0000-0000-000017470000}"/>
    <cellStyle name="Porcentagem 2 24 4" xfId="16183" xr:uid="{00000000-0005-0000-0000-000018470000}"/>
    <cellStyle name="Porcentagem 2 25" xfId="16184" xr:uid="{00000000-0005-0000-0000-000019470000}"/>
    <cellStyle name="Porcentagem 2 25 2" xfId="16185" xr:uid="{00000000-0005-0000-0000-00001A470000}"/>
    <cellStyle name="Porcentagem 2 26" xfId="16186" xr:uid="{00000000-0005-0000-0000-00001B470000}"/>
    <cellStyle name="Porcentagem 2 26 2" xfId="16187" xr:uid="{00000000-0005-0000-0000-00001C470000}"/>
    <cellStyle name="Porcentagem 2 27" xfId="16188" xr:uid="{00000000-0005-0000-0000-00001D470000}"/>
    <cellStyle name="Porcentagem 2 27 2" xfId="16189" xr:uid="{00000000-0005-0000-0000-00001E470000}"/>
    <cellStyle name="Porcentagem 2 28" xfId="16190" xr:uid="{00000000-0005-0000-0000-00001F470000}"/>
    <cellStyle name="Porcentagem 2 28 2" xfId="16191" xr:uid="{00000000-0005-0000-0000-000020470000}"/>
    <cellStyle name="Porcentagem 2 29" xfId="16192" xr:uid="{00000000-0005-0000-0000-000021470000}"/>
    <cellStyle name="Porcentagem 2 29 2" xfId="16193" xr:uid="{00000000-0005-0000-0000-000022470000}"/>
    <cellStyle name="Porcentagem 2 3" xfId="564" xr:uid="{00000000-0005-0000-0000-000023470000}"/>
    <cellStyle name="Porcentagem 2 3 10" xfId="16194" xr:uid="{00000000-0005-0000-0000-000024470000}"/>
    <cellStyle name="Porcentagem 2 3 11" xfId="16195" xr:uid="{00000000-0005-0000-0000-000025470000}"/>
    <cellStyle name="Porcentagem 2 3 2" xfId="16196" xr:uid="{00000000-0005-0000-0000-000026470000}"/>
    <cellStyle name="Porcentagem 2 3 2 2" xfId="16197" xr:uid="{00000000-0005-0000-0000-000027470000}"/>
    <cellStyle name="Porcentagem 2 3 2 3" xfId="16198" xr:uid="{00000000-0005-0000-0000-000028470000}"/>
    <cellStyle name="Porcentagem 2 3 2 4" xfId="16199" xr:uid="{00000000-0005-0000-0000-000029470000}"/>
    <cellStyle name="Porcentagem 2 3 3" xfId="16200" xr:uid="{00000000-0005-0000-0000-00002A470000}"/>
    <cellStyle name="Porcentagem 2 3 4" xfId="16201" xr:uid="{00000000-0005-0000-0000-00002B470000}"/>
    <cellStyle name="Porcentagem 2 3 5" xfId="16202" xr:uid="{00000000-0005-0000-0000-00002C470000}"/>
    <cellStyle name="Porcentagem 2 3 6" xfId="16203" xr:uid="{00000000-0005-0000-0000-00002D470000}"/>
    <cellStyle name="Porcentagem 2 3 7" xfId="16204" xr:uid="{00000000-0005-0000-0000-00002E470000}"/>
    <cellStyle name="Porcentagem 2 3 8" xfId="16205" xr:uid="{00000000-0005-0000-0000-00002F470000}"/>
    <cellStyle name="Porcentagem 2 3 9" xfId="16206" xr:uid="{00000000-0005-0000-0000-000030470000}"/>
    <cellStyle name="Porcentagem 2 30" xfId="16207" xr:uid="{00000000-0005-0000-0000-000031470000}"/>
    <cellStyle name="Porcentagem 2 30 2" xfId="16208" xr:uid="{00000000-0005-0000-0000-000032470000}"/>
    <cellStyle name="Porcentagem 2 31" xfId="16209" xr:uid="{00000000-0005-0000-0000-000033470000}"/>
    <cellStyle name="Porcentagem 2 31 2" xfId="16210" xr:uid="{00000000-0005-0000-0000-000034470000}"/>
    <cellStyle name="Porcentagem 2 32" xfId="16211" xr:uid="{00000000-0005-0000-0000-000035470000}"/>
    <cellStyle name="Porcentagem 2 32 2" xfId="16212" xr:uid="{00000000-0005-0000-0000-000036470000}"/>
    <cellStyle name="Porcentagem 2 33" xfId="16213" xr:uid="{00000000-0005-0000-0000-000037470000}"/>
    <cellStyle name="Porcentagem 2 33 2" xfId="16214" xr:uid="{00000000-0005-0000-0000-000038470000}"/>
    <cellStyle name="Porcentagem 2 34" xfId="16215" xr:uid="{00000000-0005-0000-0000-000039470000}"/>
    <cellStyle name="Porcentagem 2 34 2" xfId="16216" xr:uid="{00000000-0005-0000-0000-00003A470000}"/>
    <cellStyle name="Porcentagem 2 35" xfId="16217" xr:uid="{00000000-0005-0000-0000-00003B470000}"/>
    <cellStyle name="Porcentagem 2 35 2" xfId="16218" xr:uid="{00000000-0005-0000-0000-00003C470000}"/>
    <cellStyle name="Porcentagem 2 36" xfId="16219" xr:uid="{00000000-0005-0000-0000-00003D470000}"/>
    <cellStyle name="Porcentagem 2 36 2" xfId="16220" xr:uid="{00000000-0005-0000-0000-00003E470000}"/>
    <cellStyle name="Porcentagem 2 37" xfId="16221" xr:uid="{00000000-0005-0000-0000-00003F470000}"/>
    <cellStyle name="Porcentagem 2 37 2" xfId="16222" xr:uid="{00000000-0005-0000-0000-000040470000}"/>
    <cellStyle name="Porcentagem 2 38" xfId="16223" xr:uid="{00000000-0005-0000-0000-000041470000}"/>
    <cellStyle name="Porcentagem 2 39" xfId="16224" xr:uid="{00000000-0005-0000-0000-000042470000}"/>
    <cellStyle name="Porcentagem 2 4" xfId="565" xr:uid="{00000000-0005-0000-0000-000043470000}"/>
    <cellStyle name="Porcentagem 2 4 10" xfId="16226" xr:uid="{00000000-0005-0000-0000-000044470000}"/>
    <cellStyle name="Porcentagem 2 4 11" xfId="16227" xr:uid="{00000000-0005-0000-0000-000045470000}"/>
    <cellStyle name="Porcentagem 2 4 12" xfId="16228" xr:uid="{00000000-0005-0000-0000-000046470000}"/>
    <cellStyle name="Porcentagem 2 4 13" xfId="16225" xr:uid="{00000000-0005-0000-0000-000047470000}"/>
    <cellStyle name="Porcentagem 2 4 2" xfId="16229" xr:uid="{00000000-0005-0000-0000-000048470000}"/>
    <cellStyle name="Porcentagem 2 4 3" xfId="16230" xr:uid="{00000000-0005-0000-0000-000049470000}"/>
    <cellStyle name="Porcentagem 2 4 4" xfId="16231" xr:uid="{00000000-0005-0000-0000-00004A470000}"/>
    <cellStyle name="Porcentagem 2 4 5" xfId="16232" xr:uid="{00000000-0005-0000-0000-00004B470000}"/>
    <cellStyle name="Porcentagem 2 4 6" xfId="16233" xr:uid="{00000000-0005-0000-0000-00004C470000}"/>
    <cellStyle name="Porcentagem 2 4 7" xfId="16234" xr:uid="{00000000-0005-0000-0000-00004D470000}"/>
    <cellStyle name="Porcentagem 2 4 8" xfId="16235" xr:uid="{00000000-0005-0000-0000-00004E470000}"/>
    <cellStyle name="Porcentagem 2 4 9" xfId="16236" xr:uid="{00000000-0005-0000-0000-00004F470000}"/>
    <cellStyle name="Porcentagem 2 40" xfId="16237" xr:uid="{00000000-0005-0000-0000-000050470000}"/>
    <cellStyle name="Porcentagem 2 41" xfId="16238" xr:uid="{00000000-0005-0000-0000-000051470000}"/>
    <cellStyle name="Porcentagem 2 42" xfId="16239" xr:uid="{00000000-0005-0000-0000-000052470000}"/>
    <cellStyle name="Porcentagem 2 43" xfId="16240" xr:uid="{00000000-0005-0000-0000-000053470000}"/>
    <cellStyle name="Porcentagem 2 44" xfId="16241" xr:uid="{00000000-0005-0000-0000-000054470000}"/>
    <cellStyle name="Porcentagem 2 45" xfId="16242" xr:uid="{00000000-0005-0000-0000-000055470000}"/>
    <cellStyle name="Porcentagem 2 46" xfId="16243" xr:uid="{00000000-0005-0000-0000-000056470000}"/>
    <cellStyle name="Porcentagem 2 47" xfId="16244" xr:uid="{00000000-0005-0000-0000-000057470000}"/>
    <cellStyle name="Porcentagem 2 48" xfId="16245" xr:uid="{00000000-0005-0000-0000-000058470000}"/>
    <cellStyle name="Porcentagem 2 49" xfId="16246" xr:uid="{00000000-0005-0000-0000-000059470000}"/>
    <cellStyle name="Porcentagem 2 5" xfId="566" xr:uid="{00000000-0005-0000-0000-00005A470000}"/>
    <cellStyle name="Porcentagem 2 5 10" xfId="16248" xr:uid="{00000000-0005-0000-0000-00005B470000}"/>
    <cellStyle name="Porcentagem 2 5 11" xfId="16249" xr:uid="{00000000-0005-0000-0000-00005C470000}"/>
    <cellStyle name="Porcentagem 2 5 12" xfId="16250" xr:uid="{00000000-0005-0000-0000-00005D470000}"/>
    <cellStyle name="Porcentagem 2 5 13" xfId="16247" xr:uid="{00000000-0005-0000-0000-00005E470000}"/>
    <cellStyle name="Porcentagem 2 5 2" xfId="16251" xr:uid="{00000000-0005-0000-0000-00005F470000}"/>
    <cellStyle name="Porcentagem 2 5 2 2" xfId="25994" xr:uid="{00000000-0005-0000-0000-000060470000}"/>
    <cellStyle name="Porcentagem 2 5 3" xfId="16252" xr:uid="{00000000-0005-0000-0000-000061470000}"/>
    <cellStyle name="Porcentagem 2 5 4" xfId="16253" xr:uid="{00000000-0005-0000-0000-000062470000}"/>
    <cellStyle name="Porcentagem 2 5 5" xfId="16254" xr:uid="{00000000-0005-0000-0000-000063470000}"/>
    <cellStyle name="Porcentagem 2 5 6" xfId="16255" xr:uid="{00000000-0005-0000-0000-000064470000}"/>
    <cellStyle name="Porcentagem 2 5 7" xfId="16256" xr:uid="{00000000-0005-0000-0000-000065470000}"/>
    <cellStyle name="Porcentagem 2 5 8" xfId="16257" xr:uid="{00000000-0005-0000-0000-000066470000}"/>
    <cellStyle name="Porcentagem 2 5 9" xfId="16258" xr:uid="{00000000-0005-0000-0000-000067470000}"/>
    <cellStyle name="Porcentagem 2 50" xfId="16259" xr:uid="{00000000-0005-0000-0000-000068470000}"/>
    <cellStyle name="Porcentagem 2 51" xfId="16260" xr:uid="{00000000-0005-0000-0000-000069470000}"/>
    <cellStyle name="Porcentagem 2 52" xfId="16261" xr:uid="{00000000-0005-0000-0000-00006A470000}"/>
    <cellStyle name="Porcentagem 2 53" xfId="16262" xr:uid="{00000000-0005-0000-0000-00006B470000}"/>
    <cellStyle name="Porcentagem 2 54" xfId="16263" xr:uid="{00000000-0005-0000-0000-00006C470000}"/>
    <cellStyle name="Porcentagem 2 55" xfId="16264" xr:uid="{00000000-0005-0000-0000-00006D470000}"/>
    <cellStyle name="Porcentagem 2 56" xfId="16265" xr:uid="{00000000-0005-0000-0000-00006E470000}"/>
    <cellStyle name="Porcentagem 2 57" xfId="16266" xr:uid="{00000000-0005-0000-0000-00006F470000}"/>
    <cellStyle name="Porcentagem 2 58" xfId="15926" xr:uid="{00000000-0005-0000-0000-000070470000}"/>
    <cellStyle name="Porcentagem 2 6" xfId="567" xr:uid="{00000000-0005-0000-0000-000071470000}"/>
    <cellStyle name="Porcentagem 2 6 10" xfId="16268" xr:uid="{00000000-0005-0000-0000-000072470000}"/>
    <cellStyle name="Porcentagem 2 6 11" xfId="16269" xr:uid="{00000000-0005-0000-0000-000073470000}"/>
    <cellStyle name="Porcentagem 2 6 12" xfId="16270" xr:uid="{00000000-0005-0000-0000-000074470000}"/>
    <cellStyle name="Porcentagem 2 6 13" xfId="16267" xr:uid="{00000000-0005-0000-0000-000075470000}"/>
    <cellStyle name="Porcentagem 2 6 2" xfId="16271" xr:uid="{00000000-0005-0000-0000-000076470000}"/>
    <cellStyle name="Porcentagem 2 6 3" xfId="16272" xr:uid="{00000000-0005-0000-0000-000077470000}"/>
    <cellStyle name="Porcentagem 2 6 4" xfId="16273" xr:uid="{00000000-0005-0000-0000-000078470000}"/>
    <cellStyle name="Porcentagem 2 6 5" xfId="16274" xr:uid="{00000000-0005-0000-0000-000079470000}"/>
    <cellStyle name="Porcentagem 2 6 6" xfId="16275" xr:uid="{00000000-0005-0000-0000-00007A470000}"/>
    <cellStyle name="Porcentagem 2 6 7" xfId="16276" xr:uid="{00000000-0005-0000-0000-00007B470000}"/>
    <cellStyle name="Porcentagem 2 6 8" xfId="16277" xr:uid="{00000000-0005-0000-0000-00007C470000}"/>
    <cellStyle name="Porcentagem 2 6 9" xfId="16278" xr:uid="{00000000-0005-0000-0000-00007D470000}"/>
    <cellStyle name="Porcentagem 2 7" xfId="568" xr:uid="{00000000-0005-0000-0000-00007E470000}"/>
    <cellStyle name="Porcentagem 2 7 2" xfId="16280" xr:uid="{00000000-0005-0000-0000-00007F470000}"/>
    <cellStyle name="Porcentagem 2 7 3" xfId="16281" xr:uid="{00000000-0005-0000-0000-000080470000}"/>
    <cellStyle name="Porcentagem 2 7 4" xfId="16282" xr:uid="{00000000-0005-0000-0000-000081470000}"/>
    <cellStyle name="Porcentagem 2 7 5" xfId="16279" xr:uid="{00000000-0005-0000-0000-000082470000}"/>
    <cellStyle name="Porcentagem 2 7 6" xfId="27147" xr:uid="{00000000-0005-0000-0000-000083470000}"/>
    <cellStyle name="Porcentagem 2 8" xfId="16283" xr:uid="{00000000-0005-0000-0000-000084470000}"/>
    <cellStyle name="Porcentagem 2 8 2" xfId="16284" xr:uid="{00000000-0005-0000-0000-000085470000}"/>
    <cellStyle name="Porcentagem 2 8 3" xfId="16285" xr:uid="{00000000-0005-0000-0000-000086470000}"/>
    <cellStyle name="Porcentagem 2 8 4" xfId="16286" xr:uid="{00000000-0005-0000-0000-000087470000}"/>
    <cellStyle name="Porcentagem 2 9" xfId="16287" xr:uid="{00000000-0005-0000-0000-000088470000}"/>
    <cellStyle name="Porcentagem 2 9 2" xfId="16288" xr:uid="{00000000-0005-0000-0000-000089470000}"/>
    <cellStyle name="Porcentagem 2 9 3" xfId="16289" xr:uid="{00000000-0005-0000-0000-00008A470000}"/>
    <cellStyle name="Porcentagem 2 9 4" xfId="16290" xr:uid="{00000000-0005-0000-0000-00008B470000}"/>
    <cellStyle name="Porcentagem 3" xfId="569" xr:uid="{00000000-0005-0000-0000-00008C470000}"/>
    <cellStyle name="Porcentagem 3 10" xfId="16291" xr:uid="{00000000-0005-0000-0000-00008D470000}"/>
    <cellStyle name="Porcentagem 3 11" xfId="16292" xr:uid="{00000000-0005-0000-0000-00008E470000}"/>
    <cellStyle name="Porcentagem 3 12" xfId="16293" xr:uid="{00000000-0005-0000-0000-00008F470000}"/>
    <cellStyle name="Porcentagem 3 13" xfId="16294" xr:uid="{00000000-0005-0000-0000-000090470000}"/>
    <cellStyle name="Porcentagem 3 14" xfId="16295" xr:uid="{00000000-0005-0000-0000-000091470000}"/>
    <cellStyle name="Porcentagem 3 15" xfId="16296" xr:uid="{00000000-0005-0000-0000-000092470000}"/>
    <cellStyle name="Porcentagem 3 16" xfId="16297" xr:uid="{00000000-0005-0000-0000-000093470000}"/>
    <cellStyle name="Porcentagem 3 2" xfId="570" xr:uid="{00000000-0005-0000-0000-000094470000}"/>
    <cellStyle name="Porcentagem 3 2 2" xfId="571" xr:uid="{00000000-0005-0000-0000-000095470000}"/>
    <cellStyle name="Porcentagem 3 2 2 2" xfId="16299" xr:uid="{00000000-0005-0000-0000-000096470000}"/>
    <cellStyle name="Porcentagem 3 2 3" xfId="16300" xr:uid="{00000000-0005-0000-0000-000097470000}"/>
    <cellStyle name="Porcentagem 3 2 4" xfId="16301" xr:uid="{00000000-0005-0000-0000-000098470000}"/>
    <cellStyle name="Porcentagem 3 2 5" xfId="16302" xr:uid="{00000000-0005-0000-0000-000099470000}"/>
    <cellStyle name="Porcentagem 3 2 6" xfId="16303" xr:uid="{00000000-0005-0000-0000-00009A470000}"/>
    <cellStyle name="Porcentagem 3 2 7" xfId="16298" xr:uid="{00000000-0005-0000-0000-00009B470000}"/>
    <cellStyle name="Porcentagem 3 3" xfId="572" xr:uid="{00000000-0005-0000-0000-00009C470000}"/>
    <cellStyle name="Porcentagem 3 3 2" xfId="16305" xr:uid="{00000000-0005-0000-0000-00009D470000}"/>
    <cellStyle name="Porcentagem 3 3 3" xfId="16306" xr:uid="{00000000-0005-0000-0000-00009E470000}"/>
    <cellStyle name="Porcentagem 3 3 4" xfId="16304" xr:uid="{00000000-0005-0000-0000-00009F470000}"/>
    <cellStyle name="Porcentagem 3 4" xfId="573" xr:uid="{00000000-0005-0000-0000-0000A0470000}"/>
    <cellStyle name="Porcentagem 3 5" xfId="574" xr:uid="{00000000-0005-0000-0000-0000A1470000}"/>
    <cellStyle name="Porcentagem 3 5 2" xfId="16307" xr:uid="{00000000-0005-0000-0000-0000A2470000}"/>
    <cellStyle name="Porcentagem 3 6" xfId="575" xr:uid="{00000000-0005-0000-0000-0000A3470000}"/>
    <cellStyle name="Porcentagem 3 6 2" xfId="16308" xr:uid="{00000000-0005-0000-0000-0000A4470000}"/>
    <cellStyle name="Porcentagem 3 7" xfId="16309" xr:uid="{00000000-0005-0000-0000-0000A5470000}"/>
    <cellStyle name="Porcentagem 3 8" xfId="16310" xr:uid="{00000000-0005-0000-0000-0000A6470000}"/>
    <cellStyle name="Porcentagem 3 9" xfId="16311" xr:uid="{00000000-0005-0000-0000-0000A7470000}"/>
    <cellStyle name="Porcentagem 30" xfId="16312" xr:uid="{00000000-0005-0000-0000-0000A8470000}"/>
    <cellStyle name="Porcentagem 30 2" xfId="16313" xr:uid="{00000000-0005-0000-0000-0000A9470000}"/>
    <cellStyle name="Porcentagem 31" xfId="16314" xr:uid="{00000000-0005-0000-0000-0000AA470000}"/>
    <cellStyle name="Porcentagem 31 2" xfId="16315" xr:uid="{00000000-0005-0000-0000-0000AB470000}"/>
    <cellStyle name="Porcentagem 4" xfId="576" xr:uid="{00000000-0005-0000-0000-0000AC470000}"/>
    <cellStyle name="Porcentagem 4 10" xfId="16316" xr:uid="{00000000-0005-0000-0000-0000AD470000}"/>
    <cellStyle name="Porcentagem 4 11" xfId="16317" xr:uid="{00000000-0005-0000-0000-0000AE470000}"/>
    <cellStyle name="Porcentagem 4 12" xfId="16318" xr:uid="{00000000-0005-0000-0000-0000AF470000}"/>
    <cellStyle name="Porcentagem 4 13" xfId="16319" xr:uid="{00000000-0005-0000-0000-0000B0470000}"/>
    <cellStyle name="Porcentagem 4 14" xfId="16320" xr:uid="{00000000-0005-0000-0000-0000B1470000}"/>
    <cellStyle name="Porcentagem 4 15" xfId="16321" xr:uid="{00000000-0005-0000-0000-0000B2470000}"/>
    <cellStyle name="Porcentagem 4 16" xfId="16322" xr:uid="{00000000-0005-0000-0000-0000B3470000}"/>
    <cellStyle name="Porcentagem 4 17" xfId="16323" xr:uid="{00000000-0005-0000-0000-0000B4470000}"/>
    <cellStyle name="Porcentagem 4 18" xfId="16324" xr:uid="{00000000-0005-0000-0000-0000B5470000}"/>
    <cellStyle name="Porcentagem 4 19" xfId="16325" xr:uid="{00000000-0005-0000-0000-0000B6470000}"/>
    <cellStyle name="Porcentagem 4 2" xfId="577" xr:uid="{00000000-0005-0000-0000-0000B7470000}"/>
    <cellStyle name="Porcentagem 4 2 10" xfId="16327" xr:uid="{00000000-0005-0000-0000-0000B8470000}"/>
    <cellStyle name="Porcentagem 4 2 11" xfId="16328" xr:uid="{00000000-0005-0000-0000-0000B9470000}"/>
    <cellStyle name="Porcentagem 4 2 12" xfId="16329" xr:uid="{00000000-0005-0000-0000-0000BA470000}"/>
    <cellStyle name="Porcentagem 4 2 13" xfId="16330" xr:uid="{00000000-0005-0000-0000-0000BB470000}"/>
    <cellStyle name="Porcentagem 4 2 14" xfId="16331" xr:uid="{00000000-0005-0000-0000-0000BC470000}"/>
    <cellStyle name="Porcentagem 4 2 15" xfId="16326" xr:uid="{00000000-0005-0000-0000-0000BD470000}"/>
    <cellStyle name="Porcentagem 4 2 2" xfId="578" xr:uid="{00000000-0005-0000-0000-0000BE470000}"/>
    <cellStyle name="Porcentagem 4 2 2 10" xfId="16332" xr:uid="{00000000-0005-0000-0000-0000BF470000}"/>
    <cellStyle name="Porcentagem 4 2 2 2" xfId="579" xr:uid="{00000000-0005-0000-0000-0000C0470000}"/>
    <cellStyle name="Porcentagem 4 2 2 2 2" xfId="580" xr:uid="{00000000-0005-0000-0000-0000C1470000}"/>
    <cellStyle name="Porcentagem 4 2 2 3" xfId="581" xr:uid="{00000000-0005-0000-0000-0000C2470000}"/>
    <cellStyle name="Porcentagem 4 2 2 4" xfId="16333" xr:uid="{00000000-0005-0000-0000-0000C3470000}"/>
    <cellStyle name="Porcentagem 4 2 2 5" xfId="16334" xr:uid="{00000000-0005-0000-0000-0000C4470000}"/>
    <cellStyle name="Porcentagem 4 2 2 6" xfId="16335" xr:uid="{00000000-0005-0000-0000-0000C5470000}"/>
    <cellStyle name="Porcentagem 4 2 2 7" xfId="16336" xr:uid="{00000000-0005-0000-0000-0000C6470000}"/>
    <cellStyle name="Porcentagem 4 2 2 8" xfId="16337" xr:uid="{00000000-0005-0000-0000-0000C7470000}"/>
    <cellStyle name="Porcentagem 4 2 2 9" xfId="16338" xr:uid="{00000000-0005-0000-0000-0000C8470000}"/>
    <cellStyle name="Porcentagem 4 2 3" xfId="582" xr:uid="{00000000-0005-0000-0000-0000C9470000}"/>
    <cellStyle name="Porcentagem 4 2 3 10" xfId="16339" xr:uid="{00000000-0005-0000-0000-0000CA470000}"/>
    <cellStyle name="Porcentagem 4 2 3 2" xfId="583" xr:uid="{00000000-0005-0000-0000-0000CB470000}"/>
    <cellStyle name="Porcentagem 4 2 3 3" xfId="16340" xr:uid="{00000000-0005-0000-0000-0000CC470000}"/>
    <cellStyle name="Porcentagem 4 2 3 4" xfId="16341" xr:uid="{00000000-0005-0000-0000-0000CD470000}"/>
    <cellStyle name="Porcentagem 4 2 3 5" xfId="16342" xr:uid="{00000000-0005-0000-0000-0000CE470000}"/>
    <cellStyle name="Porcentagem 4 2 3 6" xfId="16343" xr:uid="{00000000-0005-0000-0000-0000CF470000}"/>
    <cellStyle name="Porcentagem 4 2 3 7" xfId="16344" xr:uid="{00000000-0005-0000-0000-0000D0470000}"/>
    <cellStyle name="Porcentagem 4 2 3 8" xfId="16345" xr:uid="{00000000-0005-0000-0000-0000D1470000}"/>
    <cellStyle name="Porcentagem 4 2 3 9" xfId="16346" xr:uid="{00000000-0005-0000-0000-0000D2470000}"/>
    <cellStyle name="Porcentagem 4 2 4" xfId="584" xr:uid="{00000000-0005-0000-0000-0000D3470000}"/>
    <cellStyle name="Porcentagem 4 2 5" xfId="16347" xr:uid="{00000000-0005-0000-0000-0000D4470000}"/>
    <cellStyle name="Porcentagem 4 2 6" xfId="16348" xr:uid="{00000000-0005-0000-0000-0000D5470000}"/>
    <cellStyle name="Porcentagem 4 2 7" xfId="16349" xr:uid="{00000000-0005-0000-0000-0000D6470000}"/>
    <cellStyle name="Porcentagem 4 2 8" xfId="16350" xr:uid="{00000000-0005-0000-0000-0000D7470000}"/>
    <cellStyle name="Porcentagem 4 2 9" xfId="16351" xr:uid="{00000000-0005-0000-0000-0000D8470000}"/>
    <cellStyle name="Porcentagem 4 20" xfId="16352" xr:uid="{00000000-0005-0000-0000-0000D9470000}"/>
    <cellStyle name="Porcentagem 4 21" xfId="16353" xr:uid="{00000000-0005-0000-0000-0000DA470000}"/>
    <cellStyle name="Porcentagem 4 22" xfId="16354" xr:uid="{00000000-0005-0000-0000-0000DB470000}"/>
    <cellStyle name="Porcentagem 4 23" xfId="16355" xr:uid="{00000000-0005-0000-0000-0000DC470000}"/>
    <cellStyle name="Porcentagem 4 24" xfId="16356" xr:uid="{00000000-0005-0000-0000-0000DD470000}"/>
    <cellStyle name="Porcentagem 4 25" xfId="16357" xr:uid="{00000000-0005-0000-0000-0000DE470000}"/>
    <cellStyle name="Porcentagem 4 26" xfId="16358" xr:uid="{00000000-0005-0000-0000-0000DF470000}"/>
    <cellStyle name="Porcentagem 4 27" xfId="16359" xr:uid="{00000000-0005-0000-0000-0000E0470000}"/>
    <cellStyle name="Porcentagem 4 28" xfId="16360" xr:uid="{00000000-0005-0000-0000-0000E1470000}"/>
    <cellStyle name="Porcentagem 4 29" xfId="16361" xr:uid="{00000000-0005-0000-0000-0000E2470000}"/>
    <cellStyle name="Porcentagem 4 3" xfId="585" xr:uid="{00000000-0005-0000-0000-0000E3470000}"/>
    <cellStyle name="Porcentagem 4 3 10" xfId="16363" xr:uid="{00000000-0005-0000-0000-0000E4470000}"/>
    <cellStyle name="Porcentagem 4 3 11" xfId="16364" xr:uid="{00000000-0005-0000-0000-0000E5470000}"/>
    <cellStyle name="Porcentagem 4 3 12" xfId="16362" xr:uid="{00000000-0005-0000-0000-0000E6470000}"/>
    <cellStyle name="Porcentagem 4 3 2" xfId="16365" xr:uid="{00000000-0005-0000-0000-0000E7470000}"/>
    <cellStyle name="Porcentagem 4 3 3" xfId="16366" xr:uid="{00000000-0005-0000-0000-0000E8470000}"/>
    <cellStyle name="Porcentagem 4 3 4" xfId="16367" xr:uid="{00000000-0005-0000-0000-0000E9470000}"/>
    <cellStyle name="Porcentagem 4 3 5" xfId="16368" xr:uid="{00000000-0005-0000-0000-0000EA470000}"/>
    <cellStyle name="Porcentagem 4 3 6" xfId="16369" xr:uid="{00000000-0005-0000-0000-0000EB470000}"/>
    <cellStyle name="Porcentagem 4 3 7" xfId="16370" xr:uid="{00000000-0005-0000-0000-0000EC470000}"/>
    <cellStyle name="Porcentagem 4 3 8" xfId="16371" xr:uid="{00000000-0005-0000-0000-0000ED470000}"/>
    <cellStyle name="Porcentagem 4 3 9" xfId="16372" xr:uid="{00000000-0005-0000-0000-0000EE470000}"/>
    <cellStyle name="Porcentagem 4 30" xfId="16373" xr:uid="{00000000-0005-0000-0000-0000EF470000}"/>
    <cellStyle name="Porcentagem 4 31" xfId="16374" xr:uid="{00000000-0005-0000-0000-0000F0470000}"/>
    <cellStyle name="Porcentagem 4 32" xfId="16375" xr:uid="{00000000-0005-0000-0000-0000F1470000}"/>
    <cellStyle name="Porcentagem 4 33" xfId="16376" xr:uid="{00000000-0005-0000-0000-0000F2470000}"/>
    <cellStyle name="Porcentagem 4 34" xfId="16377" xr:uid="{00000000-0005-0000-0000-0000F3470000}"/>
    <cellStyle name="Porcentagem 4 35" xfId="16378" xr:uid="{00000000-0005-0000-0000-0000F4470000}"/>
    <cellStyle name="Porcentagem 4 36" xfId="16379" xr:uid="{00000000-0005-0000-0000-0000F5470000}"/>
    <cellStyle name="Porcentagem 4 37" xfId="16380" xr:uid="{00000000-0005-0000-0000-0000F6470000}"/>
    <cellStyle name="Porcentagem 4 38" xfId="16381" xr:uid="{00000000-0005-0000-0000-0000F7470000}"/>
    <cellStyle name="Porcentagem 4 39" xfId="16382" xr:uid="{00000000-0005-0000-0000-0000F8470000}"/>
    <cellStyle name="Porcentagem 4 4" xfId="586" xr:uid="{00000000-0005-0000-0000-0000F9470000}"/>
    <cellStyle name="Porcentagem 4 4 10" xfId="16383" xr:uid="{00000000-0005-0000-0000-0000FA470000}"/>
    <cellStyle name="Porcentagem 4 4 2" xfId="587" xr:uid="{00000000-0005-0000-0000-0000FB470000}"/>
    <cellStyle name="Porcentagem 4 4 2 2" xfId="588" xr:uid="{00000000-0005-0000-0000-0000FC470000}"/>
    <cellStyle name="Porcentagem 4 4 3" xfId="589" xr:uid="{00000000-0005-0000-0000-0000FD470000}"/>
    <cellStyle name="Porcentagem 4 4 4" xfId="16384" xr:uid="{00000000-0005-0000-0000-0000FE470000}"/>
    <cellStyle name="Porcentagem 4 4 5" xfId="16385" xr:uid="{00000000-0005-0000-0000-0000FF470000}"/>
    <cellStyle name="Porcentagem 4 4 6" xfId="16386" xr:uid="{00000000-0005-0000-0000-000000480000}"/>
    <cellStyle name="Porcentagem 4 4 7" xfId="16387" xr:uid="{00000000-0005-0000-0000-000001480000}"/>
    <cellStyle name="Porcentagem 4 4 8" xfId="16388" xr:uid="{00000000-0005-0000-0000-000002480000}"/>
    <cellStyle name="Porcentagem 4 4 9" xfId="16389" xr:uid="{00000000-0005-0000-0000-000003480000}"/>
    <cellStyle name="Porcentagem 4 40" xfId="16390" xr:uid="{00000000-0005-0000-0000-000004480000}"/>
    <cellStyle name="Porcentagem 4 41" xfId="16391" xr:uid="{00000000-0005-0000-0000-000005480000}"/>
    <cellStyle name="Porcentagem 4 42" xfId="16392" xr:uid="{00000000-0005-0000-0000-000006480000}"/>
    <cellStyle name="Porcentagem 4 43" xfId="16393" xr:uid="{00000000-0005-0000-0000-000007480000}"/>
    <cellStyle name="Porcentagem 4 44" xfId="16394" xr:uid="{00000000-0005-0000-0000-000008480000}"/>
    <cellStyle name="Porcentagem 4 45" xfId="16395" xr:uid="{00000000-0005-0000-0000-000009480000}"/>
    <cellStyle name="Porcentagem 4 46" xfId="16396" xr:uid="{00000000-0005-0000-0000-00000A480000}"/>
    <cellStyle name="Porcentagem 4 47" xfId="16397" xr:uid="{00000000-0005-0000-0000-00000B480000}"/>
    <cellStyle name="Porcentagem 4 48" xfId="16398" xr:uid="{00000000-0005-0000-0000-00000C480000}"/>
    <cellStyle name="Porcentagem 4 49" xfId="16399" xr:uid="{00000000-0005-0000-0000-00000D480000}"/>
    <cellStyle name="Porcentagem 4 5" xfId="590" xr:uid="{00000000-0005-0000-0000-00000E480000}"/>
    <cellStyle name="Porcentagem 4 5 2" xfId="591" xr:uid="{00000000-0005-0000-0000-00000F480000}"/>
    <cellStyle name="Porcentagem 4 5 3" xfId="16400" xr:uid="{00000000-0005-0000-0000-000010480000}"/>
    <cellStyle name="Porcentagem 4 5 4" xfId="16401" xr:uid="{00000000-0005-0000-0000-000011480000}"/>
    <cellStyle name="Porcentagem 4 50" xfId="16402" xr:uid="{00000000-0005-0000-0000-000012480000}"/>
    <cellStyle name="Porcentagem 4 51" xfId="16403" xr:uid="{00000000-0005-0000-0000-000013480000}"/>
    <cellStyle name="Porcentagem 4 52" xfId="16404" xr:uid="{00000000-0005-0000-0000-000014480000}"/>
    <cellStyle name="Porcentagem 4 53" xfId="16405" xr:uid="{00000000-0005-0000-0000-000015480000}"/>
    <cellStyle name="Porcentagem 4 54" xfId="16406" xr:uid="{00000000-0005-0000-0000-000016480000}"/>
    <cellStyle name="Porcentagem 4 6" xfId="592" xr:uid="{00000000-0005-0000-0000-000017480000}"/>
    <cellStyle name="Porcentagem 4 6 2" xfId="16408" xr:uid="{00000000-0005-0000-0000-000018480000}"/>
    <cellStyle name="Porcentagem 4 6 3" xfId="16409" xr:uid="{00000000-0005-0000-0000-000019480000}"/>
    <cellStyle name="Porcentagem 4 6 4" xfId="16410" xr:uid="{00000000-0005-0000-0000-00001A480000}"/>
    <cellStyle name="Porcentagem 4 6 5" xfId="16407" xr:uid="{00000000-0005-0000-0000-00001B480000}"/>
    <cellStyle name="Porcentagem 4 7" xfId="593" xr:uid="{00000000-0005-0000-0000-00001C480000}"/>
    <cellStyle name="Porcentagem 4 7 2" xfId="16411" xr:uid="{00000000-0005-0000-0000-00001D480000}"/>
    <cellStyle name="Porcentagem 4 7 3" xfId="16412" xr:uid="{00000000-0005-0000-0000-00001E480000}"/>
    <cellStyle name="Porcentagem 4 7 4" xfId="16413" xr:uid="{00000000-0005-0000-0000-00001F480000}"/>
    <cellStyle name="Porcentagem 4 8" xfId="16414" xr:uid="{00000000-0005-0000-0000-000020480000}"/>
    <cellStyle name="Porcentagem 4 8 2" xfId="16415" xr:uid="{00000000-0005-0000-0000-000021480000}"/>
    <cellStyle name="Porcentagem 4 8 3" xfId="16416" xr:uid="{00000000-0005-0000-0000-000022480000}"/>
    <cellStyle name="Porcentagem 4 8 4" xfId="16417" xr:uid="{00000000-0005-0000-0000-000023480000}"/>
    <cellStyle name="Porcentagem 4 9" xfId="16418" xr:uid="{00000000-0005-0000-0000-000024480000}"/>
    <cellStyle name="Porcentagem 4 9 2" xfId="16419" xr:uid="{00000000-0005-0000-0000-000025480000}"/>
    <cellStyle name="Porcentagem 4 9 3" xfId="16420" xr:uid="{00000000-0005-0000-0000-000026480000}"/>
    <cellStyle name="Porcentagem 4 9 4" xfId="16421" xr:uid="{00000000-0005-0000-0000-000027480000}"/>
    <cellStyle name="Porcentagem 45" xfId="16422" xr:uid="{00000000-0005-0000-0000-000028480000}"/>
    <cellStyle name="Porcentagem 45 2" xfId="16423" xr:uid="{00000000-0005-0000-0000-000029480000}"/>
    <cellStyle name="Porcentagem 5" xfId="594" xr:uid="{00000000-0005-0000-0000-00002A480000}"/>
    <cellStyle name="Porcentagem 5 10" xfId="16424" xr:uid="{00000000-0005-0000-0000-00002B480000}"/>
    <cellStyle name="Porcentagem 5 10 10" xfId="16425" xr:uid="{00000000-0005-0000-0000-00002C480000}"/>
    <cellStyle name="Porcentagem 5 10 11" xfId="16426" xr:uid="{00000000-0005-0000-0000-00002D480000}"/>
    <cellStyle name="Porcentagem 5 10 12" xfId="16427" xr:uid="{00000000-0005-0000-0000-00002E480000}"/>
    <cellStyle name="Porcentagem 5 10 13" xfId="16428" xr:uid="{00000000-0005-0000-0000-00002F480000}"/>
    <cellStyle name="Porcentagem 5 10 14" xfId="16429" xr:uid="{00000000-0005-0000-0000-000030480000}"/>
    <cellStyle name="Porcentagem 5 10 15" xfId="16430" xr:uid="{00000000-0005-0000-0000-000031480000}"/>
    <cellStyle name="Porcentagem 5 10 16" xfId="16431" xr:uid="{00000000-0005-0000-0000-000032480000}"/>
    <cellStyle name="Porcentagem 5 10 17" xfId="16432" xr:uid="{00000000-0005-0000-0000-000033480000}"/>
    <cellStyle name="Porcentagem 5 10 18" xfId="16433" xr:uid="{00000000-0005-0000-0000-000034480000}"/>
    <cellStyle name="Porcentagem 5 10 19" xfId="16434" xr:uid="{00000000-0005-0000-0000-000035480000}"/>
    <cellStyle name="Porcentagem 5 10 2" xfId="16435" xr:uid="{00000000-0005-0000-0000-000036480000}"/>
    <cellStyle name="Porcentagem 5 10 2 10" xfId="16436" xr:uid="{00000000-0005-0000-0000-000037480000}"/>
    <cellStyle name="Porcentagem 5 10 2 10 2" xfId="16437" xr:uid="{00000000-0005-0000-0000-000038480000}"/>
    <cellStyle name="Porcentagem 5 10 2 10 3" xfId="16438" xr:uid="{00000000-0005-0000-0000-000039480000}"/>
    <cellStyle name="Porcentagem 5 10 2 10 4" xfId="16439" xr:uid="{00000000-0005-0000-0000-00003A480000}"/>
    <cellStyle name="Porcentagem 5 10 2 11" xfId="16440" xr:uid="{00000000-0005-0000-0000-00003B480000}"/>
    <cellStyle name="Porcentagem 5 10 2 11 2" xfId="16441" xr:uid="{00000000-0005-0000-0000-00003C480000}"/>
    <cellStyle name="Porcentagem 5 10 2 11 3" xfId="16442" xr:uid="{00000000-0005-0000-0000-00003D480000}"/>
    <cellStyle name="Porcentagem 5 10 2 11 4" xfId="16443" xr:uid="{00000000-0005-0000-0000-00003E480000}"/>
    <cellStyle name="Porcentagem 5 10 2 12" xfId="16444" xr:uid="{00000000-0005-0000-0000-00003F480000}"/>
    <cellStyle name="Porcentagem 5 10 2 12 2" xfId="16445" xr:uid="{00000000-0005-0000-0000-000040480000}"/>
    <cellStyle name="Porcentagem 5 10 2 12 3" xfId="16446" xr:uid="{00000000-0005-0000-0000-000041480000}"/>
    <cellStyle name="Porcentagem 5 10 2 12 4" xfId="16447" xr:uid="{00000000-0005-0000-0000-000042480000}"/>
    <cellStyle name="Porcentagem 5 10 2 13" xfId="16448" xr:uid="{00000000-0005-0000-0000-000043480000}"/>
    <cellStyle name="Porcentagem 5 10 2 13 2" xfId="16449" xr:uid="{00000000-0005-0000-0000-000044480000}"/>
    <cellStyle name="Porcentagem 5 10 2 13 3" xfId="16450" xr:uid="{00000000-0005-0000-0000-000045480000}"/>
    <cellStyle name="Porcentagem 5 10 2 13 4" xfId="16451" xr:uid="{00000000-0005-0000-0000-000046480000}"/>
    <cellStyle name="Porcentagem 5 10 2 14" xfId="16452" xr:uid="{00000000-0005-0000-0000-000047480000}"/>
    <cellStyle name="Porcentagem 5 10 2 14 2" xfId="16453" xr:uid="{00000000-0005-0000-0000-000048480000}"/>
    <cellStyle name="Porcentagem 5 10 2 14 3" xfId="16454" xr:uid="{00000000-0005-0000-0000-000049480000}"/>
    <cellStyle name="Porcentagem 5 10 2 14 4" xfId="16455" xr:uid="{00000000-0005-0000-0000-00004A480000}"/>
    <cellStyle name="Porcentagem 5 10 2 15" xfId="16456" xr:uid="{00000000-0005-0000-0000-00004B480000}"/>
    <cellStyle name="Porcentagem 5 10 2 15 2" xfId="16457" xr:uid="{00000000-0005-0000-0000-00004C480000}"/>
    <cellStyle name="Porcentagem 5 10 2 15 3" xfId="16458" xr:uid="{00000000-0005-0000-0000-00004D480000}"/>
    <cellStyle name="Porcentagem 5 10 2 15 4" xfId="16459" xr:uid="{00000000-0005-0000-0000-00004E480000}"/>
    <cellStyle name="Porcentagem 5 10 2 16" xfId="16460" xr:uid="{00000000-0005-0000-0000-00004F480000}"/>
    <cellStyle name="Porcentagem 5 10 2 17" xfId="16461" xr:uid="{00000000-0005-0000-0000-000050480000}"/>
    <cellStyle name="Porcentagem 5 10 2 18" xfId="16462" xr:uid="{00000000-0005-0000-0000-000051480000}"/>
    <cellStyle name="Porcentagem 5 10 2 19" xfId="16463" xr:uid="{00000000-0005-0000-0000-000052480000}"/>
    <cellStyle name="Porcentagem 5 10 2 2" xfId="16464" xr:uid="{00000000-0005-0000-0000-000053480000}"/>
    <cellStyle name="Porcentagem 5 10 2 2 2" xfId="16465" xr:uid="{00000000-0005-0000-0000-000054480000}"/>
    <cellStyle name="Porcentagem 5 10 2 2 3" xfId="16466" xr:uid="{00000000-0005-0000-0000-000055480000}"/>
    <cellStyle name="Porcentagem 5 10 2 2 4" xfId="16467" xr:uid="{00000000-0005-0000-0000-000056480000}"/>
    <cellStyle name="Porcentagem 5 10 2 20" xfId="16468" xr:uid="{00000000-0005-0000-0000-000057480000}"/>
    <cellStyle name="Porcentagem 5 10 2 21" xfId="16469" xr:uid="{00000000-0005-0000-0000-000058480000}"/>
    <cellStyle name="Porcentagem 5 10 2 3" xfId="16470" xr:uid="{00000000-0005-0000-0000-000059480000}"/>
    <cellStyle name="Porcentagem 5 10 2 3 2" xfId="16471" xr:uid="{00000000-0005-0000-0000-00005A480000}"/>
    <cellStyle name="Porcentagem 5 10 2 3 3" xfId="16472" xr:uid="{00000000-0005-0000-0000-00005B480000}"/>
    <cellStyle name="Porcentagem 5 10 2 3 4" xfId="16473" xr:uid="{00000000-0005-0000-0000-00005C480000}"/>
    <cellStyle name="Porcentagem 5 10 2 4" xfId="16474" xr:uid="{00000000-0005-0000-0000-00005D480000}"/>
    <cellStyle name="Porcentagem 5 10 2 4 2" xfId="16475" xr:uid="{00000000-0005-0000-0000-00005E480000}"/>
    <cellStyle name="Porcentagem 5 10 2 4 3" xfId="16476" xr:uid="{00000000-0005-0000-0000-00005F480000}"/>
    <cellStyle name="Porcentagem 5 10 2 4 4" xfId="16477" xr:uid="{00000000-0005-0000-0000-000060480000}"/>
    <cellStyle name="Porcentagem 5 10 2 5" xfId="16478" xr:uid="{00000000-0005-0000-0000-000061480000}"/>
    <cellStyle name="Porcentagem 5 10 2 5 2" xfId="16479" xr:uid="{00000000-0005-0000-0000-000062480000}"/>
    <cellStyle name="Porcentagem 5 10 2 5 3" xfId="16480" xr:uid="{00000000-0005-0000-0000-000063480000}"/>
    <cellStyle name="Porcentagem 5 10 2 5 4" xfId="16481" xr:uid="{00000000-0005-0000-0000-000064480000}"/>
    <cellStyle name="Porcentagem 5 10 2 6" xfId="16482" xr:uid="{00000000-0005-0000-0000-000065480000}"/>
    <cellStyle name="Porcentagem 5 10 2 6 2" xfId="16483" xr:uid="{00000000-0005-0000-0000-000066480000}"/>
    <cellStyle name="Porcentagem 5 10 2 6 3" xfId="16484" xr:uid="{00000000-0005-0000-0000-000067480000}"/>
    <cellStyle name="Porcentagem 5 10 2 6 4" xfId="16485" xr:uid="{00000000-0005-0000-0000-000068480000}"/>
    <cellStyle name="Porcentagem 5 10 2 7" xfId="16486" xr:uid="{00000000-0005-0000-0000-000069480000}"/>
    <cellStyle name="Porcentagem 5 10 2 7 2" xfId="16487" xr:uid="{00000000-0005-0000-0000-00006A480000}"/>
    <cellStyle name="Porcentagem 5 10 2 7 3" xfId="16488" xr:uid="{00000000-0005-0000-0000-00006B480000}"/>
    <cellStyle name="Porcentagem 5 10 2 7 4" xfId="16489" xr:uid="{00000000-0005-0000-0000-00006C480000}"/>
    <cellStyle name="Porcentagem 5 10 2 8" xfId="16490" xr:uid="{00000000-0005-0000-0000-00006D480000}"/>
    <cellStyle name="Porcentagem 5 10 2 8 2" xfId="16491" xr:uid="{00000000-0005-0000-0000-00006E480000}"/>
    <cellStyle name="Porcentagem 5 10 2 8 3" xfId="16492" xr:uid="{00000000-0005-0000-0000-00006F480000}"/>
    <cellStyle name="Porcentagem 5 10 2 8 4" xfId="16493" xr:uid="{00000000-0005-0000-0000-000070480000}"/>
    <cellStyle name="Porcentagem 5 10 2 9" xfId="16494" xr:uid="{00000000-0005-0000-0000-000071480000}"/>
    <cellStyle name="Porcentagem 5 10 2 9 2" xfId="16495" xr:uid="{00000000-0005-0000-0000-000072480000}"/>
    <cellStyle name="Porcentagem 5 10 2 9 3" xfId="16496" xr:uid="{00000000-0005-0000-0000-000073480000}"/>
    <cellStyle name="Porcentagem 5 10 2 9 4" xfId="16497" xr:uid="{00000000-0005-0000-0000-000074480000}"/>
    <cellStyle name="Porcentagem 5 10 20" xfId="16498" xr:uid="{00000000-0005-0000-0000-000075480000}"/>
    <cellStyle name="Porcentagem 5 10 21" xfId="16499" xr:uid="{00000000-0005-0000-0000-000076480000}"/>
    <cellStyle name="Porcentagem 5 10 22" xfId="16500" xr:uid="{00000000-0005-0000-0000-000077480000}"/>
    <cellStyle name="Porcentagem 5 10 23" xfId="16501" xr:uid="{00000000-0005-0000-0000-000078480000}"/>
    <cellStyle name="Porcentagem 5 10 24" xfId="16502" xr:uid="{00000000-0005-0000-0000-000079480000}"/>
    <cellStyle name="Porcentagem 5 10 25" xfId="16503" xr:uid="{00000000-0005-0000-0000-00007A480000}"/>
    <cellStyle name="Porcentagem 5 10 26" xfId="16504" xr:uid="{00000000-0005-0000-0000-00007B480000}"/>
    <cellStyle name="Porcentagem 5 10 26 2" xfId="16505" xr:uid="{00000000-0005-0000-0000-00007C480000}"/>
    <cellStyle name="Porcentagem 5 10 26 3" xfId="16506" xr:uid="{00000000-0005-0000-0000-00007D480000}"/>
    <cellStyle name="Porcentagem 5 10 26 4" xfId="16507" xr:uid="{00000000-0005-0000-0000-00007E480000}"/>
    <cellStyle name="Porcentagem 5 10 27" xfId="16508" xr:uid="{00000000-0005-0000-0000-00007F480000}"/>
    <cellStyle name="Porcentagem 5 10 28" xfId="16509" xr:uid="{00000000-0005-0000-0000-000080480000}"/>
    <cellStyle name="Porcentagem 5 10 29" xfId="16510" xr:uid="{00000000-0005-0000-0000-000081480000}"/>
    <cellStyle name="Porcentagem 5 10 3" xfId="16511" xr:uid="{00000000-0005-0000-0000-000082480000}"/>
    <cellStyle name="Porcentagem 5 10 3 2" xfId="16512" xr:uid="{00000000-0005-0000-0000-000083480000}"/>
    <cellStyle name="Porcentagem 5 10 3 3" xfId="16513" xr:uid="{00000000-0005-0000-0000-000084480000}"/>
    <cellStyle name="Porcentagem 5 10 3 4" xfId="16514" xr:uid="{00000000-0005-0000-0000-000085480000}"/>
    <cellStyle name="Porcentagem 5 10 30" xfId="16515" xr:uid="{00000000-0005-0000-0000-000086480000}"/>
    <cellStyle name="Porcentagem 5 10 31" xfId="16516" xr:uid="{00000000-0005-0000-0000-000087480000}"/>
    <cellStyle name="Porcentagem 5 10 32" xfId="16517" xr:uid="{00000000-0005-0000-0000-000088480000}"/>
    <cellStyle name="Porcentagem 5 10 33" xfId="16518" xr:uid="{00000000-0005-0000-0000-000089480000}"/>
    <cellStyle name="Porcentagem 5 10 34" xfId="16519" xr:uid="{00000000-0005-0000-0000-00008A480000}"/>
    <cellStyle name="Porcentagem 5 10 35" xfId="16520" xr:uid="{00000000-0005-0000-0000-00008B480000}"/>
    <cellStyle name="Porcentagem 5 10 36" xfId="16521" xr:uid="{00000000-0005-0000-0000-00008C480000}"/>
    <cellStyle name="Porcentagem 5 10 4" xfId="16522" xr:uid="{00000000-0005-0000-0000-00008D480000}"/>
    <cellStyle name="Porcentagem 5 10 4 2" xfId="16523" xr:uid="{00000000-0005-0000-0000-00008E480000}"/>
    <cellStyle name="Porcentagem 5 10 4 3" xfId="16524" xr:uid="{00000000-0005-0000-0000-00008F480000}"/>
    <cellStyle name="Porcentagem 5 10 4 4" xfId="16525" xr:uid="{00000000-0005-0000-0000-000090480000}"/>
    <cellStyle name="Porcentagem 5 10 5" xfId="16526" xr:uid="{00000000-0005-0000-0000-000091480000}"/>
    <cellStyle name="Porcentagem 5 10 6" xfId="16527" xr:uid="{00000000-0005-0000-0000-000092480000}"/>
    <cellStyle name="Porcentagem 5 10 7" xfId="16528" xr:uid="{00000000-0005-0000-0000-000093480000}"/>
    <cellStyle name="Porcentagem 5 10 8" xfId="16529" xr:uid="{00000000-0005-0000-0000-000094480000}"/>
    <cellStyle name="Porcentagem 5 10 9" xfId="16530" xr:uid="{00000000-0005-0000-0000-000095480000}"/>
    <cellStyle name="Porcentagem 5 11" xfId="16531" xr:uid="{00000000-0005-0000-0000-000096480000}"/>
    <cellStyle name="Porcentagem 5 12" xfId="16532" xr:uid="{00000000-0005-0000-0000-000097480000}"/>
    <cellStyle name="Porcentagem 5 13" xfId="16533" xr:uid="{00000000-0005-0000-0000-000098480000}"/>
    <cellStyle name="Porcentagem 5 14" xfId="16534" xr:uid="{00000000-0005-0000-0000-000099480000}"/>
    <cellStyle name="Porcentagem 5 15" xfId="16535" xr:uid="{00000000-0005-0000-0000-00009A480000}"/>
    <cellStyle name="Porcentagem 5 16" xfId="16536" xr:uid="{00000000-0005-0000-0000-00009B480000}"/>
    <cellStyle name="Porcentagem 5 17" xfId="16537" xr:uid="{00000000-0005-0000-0000-00009C480000}"/>
    <cellStyle name="Porcentagem 5 18" xfId="16538" xr:uid="{00000000-0005-0000-0000-00009D480000}"/>
    <cellStyle name="Porcentagem 5 19" xfId="16539" xr:uid="{00000000-0005-0000-0000-00009E480000}"/>
    <cellStyle name="Porcentagem 5 2" xfId="595" xr:uid="{00000000-0005-0000-0000-00009F480000}"/>
    <cellStyle name="Porcentagem 5 2 10" xfId="16541" xr:uid="{00000000-0005-0000-0000-0000A0480000}"/>
    <cellStyle name="Porcentagem 5 2 11" xfId="16542" xr:uid="{00000000-0005-0000-0000-0000A1480000}"/>
    <cellStyle name="Porcentagem 5 2 12" xfId="16543" xr:uid="{00000000-0005-0000-0000-0000A2480000}"/>
    <cellStyle name="Porcentagem 5 2 13" xfId="16544" xr:uid="{00000000-0005-0000-0000-0000A3480000}"/>
    <cellStyle name="Porcentagem 5 2 14" xfId="16545" xr:uid="{00000000-0005-0000-0000-0000A4480000}"/>
    <cellStyle name="Porcentagem 5 2 15" xfId="16546" xr:uid="{00000000-0005-0000-0000-0000A5480000}"/>
    <cellStyle name="Porcentagem 5 2 16" xfId="16547" xr:uid="{00000000-0005-0000-0000-0000A6480000}"/>
    <cellStyle name="Porcentagem 5 2 17" xfId="16548" xr:uid="{00000000-0005-0000-0000-0000A7480000}"/>
    <cellStyle name="Porcentagem 5 2 18" xfId="16540" xr:uid="{00000000-0005-0000-0000-0000A8480000}"/>
    <cellStyle name="Porcentagem 5 2 2" xfId="596" xr:uid="{00000000-0005-0000-0000-0000A9480000}"/>
    <cellStyle name="Porcentagem 5 2 2 2" xfId="597" xr:uid="{00000000-0005-0000-0000-0000AA480000}"/>
    <cellStyle name="Porcentagem 5 2 2 2 2" xfId="16549" xr:uid="{00000000-0005-0000-0000-0000AB480000}"/>
    <cellStyle name="Porcentagem 5 2 2 3" xfId="16550" xr:uid="{00000000-0005-0000-0000-0000AC480000}"/>
    <cellStyle name="Porcentagem 5 2 3" xfId="598" xr:uid="{00000000-0005-0000-0000-0000AD480000}"/>
    <cellStyle name="Porcentagem 5 2 3 2" xfId="16551" xr:uid="{00000000-0005-0000-0000-0000AE480000}"/>
    <cellStyle name="Porcentagem 5 2 4" xfId="16552" xr:uid="{00000000-0005-0000-0000-0000AF480000}"/>
    <cellStyle name="Porcentagem 5 2 5" xfId="16553" xr:uid="{00000000-0005-0000-0000-0000B0480000}"/>
    <cellStyle name="Porcentagem 5 2 6" xfId="16554" xr:uid="{00000000-0005-0000-0000-0000B1480000}"/>
    <cellStyle name="Porcentagem 5 2 7" xfId="16555" xr:uid="{00000000-0005-0000-0000-0000B2480000}"/>
    <cellStyle name="Porcentagem 5 2 8" xfId="16556" xr:uid="{00000000-0005-0000-0000-0000B3480000}"/>
    <cellStyle name="Porcentagem 5 2 9" xfId="16557" xr:uid="{00000000-0005-0000-0000-0000B4480000}"/>
    <cellStyle name="Porcentagem 5 20" xfId="16558" xr:uid="{00000000-0005-0000-0000-0000B5480000}"/>
    <cellStyle name="Porcentagem 5 21" xfId="16559" xr:uid="{00000000-0005-0000-0000-0000B6480000}"/>
    <cellStyle name="Porcentagem 5 22" xfId="16560" xr:uid="{00000000-0005-0000-0000-0000B7480000}"/>
    <cellStyle name="Porcentagem 5 23" xfId="16561" xr:uid="{00000000-0005-0000-0000-0000B8480000}"/>
    <cellStyle name="Porcentagem 5 24" xfId="16562" xr:uid="{00000000-0005-0000-0000-0000B9480000}"/>
    <cellStyle name="Porcentagem 5 25" xfId="16563" xr:uid="{00000000-0005-0000-0000-0000BA480000}"/>
    <cellStyle name="Porcentagem 5 3" xfId="599" xr:uid="{00000000-0005-0000-0000-0000BB480000}"/>
    <cellStyle name="Porcentagem 5 3 10" xfId="16565" xr:uid="{00000000-0005-0000-0000-0000BC480000}"/>
    <cellStyle name="Porcentagem 5 3 11" xfId="16566" xr:uid="{00000000-0005-0000-0000-0000BD480000}"/>
    <cellStyle name="Porcentagem 5 3 12" xfId="16567" xr:uid="{00000000-0005-0000-0000-0000BE480000}"/>
    <cellStyle name="Porcentagem 5 3 13" xfId="16564" xr:uid="{00000000-0005-0000-0000-0000BF480000}"/>
    <cellStyle name="Porcentagem 5 3 2" xfId="600" xr:uid="{00000000-0005-0000-0000-0000C0480000}"/>
    <cellStyle name="Porcentagem 5 3 2 2" xfId="16568" xr:uid="{00000000-0005-0000-0000-0000C1480000}"/>
    <cellStyle name="Porcentagem 5 3 2 3" xfId="16569" xr:uid="{00000000-0005-0000-0000-0000C2480000}"/>
    <cellStyle name="Porcentagem 5 3 3" xfId="16570" xr:uid="{00000000-0005-0000-0000-0000C3480000}"/>
    <cellStyle name="Porcentagem 5 3 4" xfId="16571" xr:uid="{00000000-0005-0000-0000-0000C4480000}"/>
    <cellStyle name="Porcentagem 5 3 5" xfId="16572" xr:uid="{00000000-0005-0000-0000-0000C5480000}"/>
    <cellStyle name="Porcentagem 5 3 6" xfId="16573" xr:uid="{00000000-0005-0000-0000-0000C6480000}"/>
    <cellStyle name="Porcentagem 5 3 7" xfId="16574" xr:uid="{00000000-0005-0000-0000-0000C7480000}"/>
    <cellStyle name="Porcentagem 5 3 8" xfId="16575" xr:uid="{00000000-0005-0000-0000-0000C8480000}"/>
    <cellStyle name="Porcentagem 5 3 9" xfId="16576" xr:uid="{00000000-0005-0000-0000-0000C9480000}"/>
    <cellStyle name="Porcentagem 5 4" xfId="601" xr:uid="{00000000-0005-0000-0000-0000CA480000}"/>
    <cellStyle name="Porcentagem 5 4 10" xfId="16577" xr:uid="{00000000-0005-0000-0000-0000CB480000}"/>
    <cellStyle name="Porcentagem 5 4 2" xfId="16578" xr:uid="{00000000-0005-0000-0000-0000CC480000}"/>
    <cellStyle name="Porcentagem 5 4 3" xfId="16579" xr:uid="{00000000-0005-0000-0000-0000CD480000}"/>
    <cellStyle name="Porcentagem 5 4 4" xfId="16580" xr:uid="{00000000-0005-0000-0000-0000CE480000}"/>
    <cellStyle name="Porcentagem 5 4 5" xfId="16581" xr:uid="{00000000-0005-0000-0000-0000CF480000}"/>
    <cellStyle name="Porcentagem 5 4 6" xfId="16582" xr:uid="{00000000-0005-0000-0000-0000D0480000}"/>
    <cellStyle name="Porcentagem 5 4 7" xfId="16583" xr:uid="{00000000-0005-0000-0000-0000D1480000}"/>
    <cellStyle name="Porcentagem 5 4 8" xfId="16584" xr:uid="{00000000-0005-0000-0000-0000D2480000}"/>
    <cellStyle name="Porcentagem 5 4 9" xfId="16585" xr:uid="{00000000-0005-0000-0000-0000D3480000}"/>
    <cellStyle name="Porcentagem 5 5" xfId="16586" xr:uid="{00000000-0005-0000-0000-0000D4480000}"/>
    <cellStyle name="Porcentagem 5 5 2" xfId="16587" xr:uid="{00000000-0005-0000-0000-0000D5480000}"/>
    <cellStyle name="Porcentagem 5 5 3" xfId="16588" xr:uid="{00000000-0005-0000-0000-0000D6480000}"/>
    <cellStyle name="Porcentagem 5 5 4" xfId="16589" xr:uid="{00000000-0005-0000-0000-0000D7480000}"/>
    <cellStyle name="Porcentagem 5 6" xfId="16590" xr:uid="{00000000-0005-0000-0000-0000D8480000}"/>
    <cellStyle name="Porcentagem 5 6 2" xfId="16591" xr:uid="{00000000-0005-0000-0000-0000D9480000}"/>
    <cellStyle name="Porcentagem 5 6 3" xfId="16592" xr:uid="{00000000-0005-0000-0000-0000DA480000}"/>
    <cellStyle name="Porcentagem 5 6 4" xfId="16593" xr:uid="{00000000-0005-0000-0000-0000DB480000}"/>
    <cellStyle name="Porcentagem 5 7" xfId="16594" xr:uid="{00000000-0005-0000-0000-0000DC480000}"/>
    <cellStyle name="Porcentagem 5 7 2" xfId="16595" xr:uid="{00000000-0005-0000-0000-0000DD480000}"/>
    <cellStyle name="Porcentagem 5 7 3" xfId="16596" xr:uid="{00000000-0005-0000-0000-0000DE480000}"/>
    <cellStyle name="Porcentagem 5 7 4" xfId="16597" xr:uid="{00000000-0005-0000-0000-0000DF480000}"/>
    <cellStyle name="Porcentagem 5 8" xfId="16598" xr:uid="{00000000-0005-0000-0000-0000E0480000}"/>
    <cellStyle name="Porcentagem 5 8 2" xfId="16599" xr:uid="{00000000-0005-0000-0000-0000E1480000}"/>
    <cellStyle name="Porcentagem 5 8 3" xfId="16600" xr:uid="{00000000-0005-0000-0000-0000E2480000}"/>
    <cellStyle name="Porcentagem 5 8 4" xfId="16601" xr:uid="{00000000-0005-0000-0000-0000E3480000}"/>
    <cellStyle name="Porcentagem 5 9" xfId="16602" xr:uid="{00000000-0005-0000-0000-0000E4480000}"/>
    <cellStyle name="Porcentagem 5 9 2" xfId="16603" xr:uid="{00000000-0005-0000-0000-0000E5480000}"/>
    <cellStyle name="Porcentagem 5 9 2 2" xfId="16604" xr:uid="{00000000-0005-0000-0000-0000E6480000}"/>
    <cellStyle name="Porcentagem 5 9 2 3" xfId="16605" xr:uid="{00000000-0005-0000-0000-0000E7480000}"/>
    <cellStyle name="Porcentagem 5 9 2 4" xfId="16606" xr:uid="{00000000-0005-0000-0000-0000E8480000}"/>
    <cellStyle name="Porcentagem 5 9 3" xfId="16607" xr:uid="{00000000-0005-0000-0000-0000E9480000}"/>
    <cellStyle name="Porcentagem 5 9 3 2" xfId="16608" xr:uid="{00000000-0005-0000-0000-0000EA480000}"/>
    <cellStyle name="Porcentagem 5 9 3 3" xfId="16609" xr:uid="{00000000-0005-0000-0000-0000EB480000}"/>
    <cellStyle name="Porcentagem 5 9 3 4" xfId="16610" xr:uid="{00000000-0005-0000-0000-0000EC480000}"/>
    <cellStyle name="Porcentagem 5 9 4" xfId="16611" xr:uid="{00000000-0005-0000-0000-0000ED480000}"/>
    <cellStyle name="Porcentagem 6" xfId="602" xr:uid="{00000000-0005-0000-0000-0000EE480000}"/>
    <cellStyle name="Porcentagem 6 10" xfId="16612" xr:uid="{00000000-0005-0000-0000-0000EF480000}"/>
    <cellStyle name="Porcentagem 6 10 10" xfId="16613" xr:uid="{00000000-0005-0000-0000-0000F0480000}"/>
    <cellStyle name="Porcentagem 6 10 11" xfId="16614" xr:uid="{00000000-0005-0000-0000-0000F1480000}"/>
    <cellStyle name="Porcentagem 6 10 12" xfId="16615" xr:uid="{00000000-0005-0000-0000-0000F2480000}"/>
    <cellStyle name="Porcentagem 6 10 13" xfId="16616" xr:uid="{00000000-0005-0000-0000-0000F3480000}"/>
    <cellStyle name="Porcentagem 6 10 14" xfId="16617" xr:uid="{00000000-0005-0000-0000-0000F4480000}"/>
    <cellStyle name="Porcentagem 6 10 15" xfId="16618" xr:uid="{00000000-0005-0000-0000-0000F5480000}"/>
    <cellStyle name="Porcentagem 6 10 16" xfId="16619" xr:uid="{00000000-0005-0000-0000-0000F6480000}"/>
    <cellStyle name="Porcentagem 6 10 17" xfId="16620" xr:uid="{00000000-0005-0000-0000-0000F7480000}"/>
    <cellStyle name="Porcentagem 6 10 18" xfId="16621" xr:uid="{00000000-0005-0000-0000-0000F8480000}"/>
    <cellStyle name="Porcentagem 6 10 19" xfId="16622" xr:uid="{00000000-0005-0000-0000-0000F9480000}"/>
    <cellStyle name="Porcentagem 6 10 2" xfId="16623" xr:uid="{00000000-0005-0000-0000-0000FA480000}"/>
    <cellStyle name="Porcentagem 6 10 2 10" xfId="16624" xr:uid="{00000000-0005-0000-0000-0000FB480000}"/>
    <cellStyle name="Porcentagem 6 10 2 10 2" xfId="16625" xr:uid="{00000000-0005-0000-0000-0000FC480000}"/>
    <cellStyle name="Porcentagem 6 10 2 10 3" xfId="16626" xr:uid="{00000000-0005-0000-0000-0000FD480000}"/>
    <cellStyle name="Porcentagem 6 10 2 10 4" xfId="16627" xr:uid="{00000000-0005-0000-0000-0000FE480000}"/>
    <cellStyle name="Porcentagem 6 10 2 11" xfId="16628" xr:uid="{00000000-0005-0000-0000-0000FF480000}"/>
    <cellStyle name="Porcentagem 6 10 2 11 2" xfId="16629" xr:uid="{00000000-0005-0000-0000-000000490000}"/>
    <cellStyle name="Porcentagem 6 10 2 11 3" xfId="16630" xr:uid="{00000000-0005-0000-0000-000001490000}"/>
    <cellStyle name="Porcentagem 6 10 2 11 4" xfId="16631" xr:uid="{00000000-0005-0000-0000-000002490000}"/>
    <cellStyle name="Porcentagem 6 10 2 12" xfId="16632" xr:uid="{00000000-0005-0000-0000-000003490000}"/>
    <cellStyle name="Porcentagem 6 10 2 12 2" xfId="16633" xr:uid="{00000000-0005-0000-0000-000004490000}"/>
    <cellStyle name="Porcentagem 6 10 2 12 3" xfId="16634" xr:uid="{00000000-0005-0000-0000-000005490000}"/>
    <cellStyle name="Porcentagem 6 10 2 12 4" xfId="16635" xr:uid="{00000000-0005-0000-0000-000006490000}"/>
    <cellStyle name="Porcentagem 6 10 2 13" xfId="16636" xr:uid="{00000000-0005-0000-0000-000007490000}"/>
    <cellStyle name="Porcentagem 6 10 2 13 2" xfId="16637" xr:uid="{00000000-0005-0000-0000-000008490000}"/>
    <cellStyle name="Porcentagem 6 10 2 13 3" xfId="16638" xr:uid="{00000000-0005-0000-0000-000009490000}"/>
    <cellStyle name="Porcentagem 6 10 2 13 4" xfId="16639" xr:uid="{00000000-0005-0000-0000-00000A490000}"/>
    <cellStyle name="Porcentagem 6 10 2 14" xfId="16640" xr:uid="{00000000-0005-0000-0000-00000B490000}"/>
    <cellStyle name="Porcentagem 6 10 2 14 2" xfId="16641" xr:uid="{00000000-0005-0000-0000-00000C490000}"/>
    <cellStyle name="Porcentagem 6 10 2 14 3" xfId="16642" xr:uid="{00000000-0005-0000-0000-00000D490000}"/>
    <cellStyle name="Porcentagem 6 10 2 14 4" xfId="16643" xr:uid="{00000000-0005-0000-0000-00000E490000}"/>
    <cellStyle name="Porcentagem 6 10 2 15" xfId="16644" xr:uid="{00000000-0005-0000-0000-00000F490000}"/>
    <cellStyle name="Porcentagem 6 10 2 15 2" xfId="16645" xr:uid="{00000000-0005-0000-0000-000010490000}"/>
    <cellStyle name="Porcentagem 6 10 2 15 3" xfId="16646" xr:uid="{00000000-0005-0000-0000-000011490000}"/>
    <cellStyle name="Porcentagem 6 10 2 15 4" xfId="16647" xr:uid="{00000000-0005-0000-0000-000012490000}"/>
    <cellStyle name="Porcentagem 6 10 2 16" xfId="16648" xr:uid="{00000000-0005-0000-0000-000013490000}"/>
    <cellStyle name="Porcentagem 6 10 2 17" xfId="16649" xr:uid="{00000000-0005-0000-0000-000014490000}"/>
    <cellStyle name="Porcentagem 6 10 2 18" xfId="16650" xr:uid="{00000000-0005-0000-0000-000015490000}"/>
    <cellStyle name="Porcentagem 6 10 2 19" xfId="16651" xr:uid="{00000000-0005-0000-0000-000016490000}"/>
    <cellStyle name="Porcentagem 6 10 2 2" xfId="16652" xr:uid="{00000000-0005-0000-0000-000017490000}"/>
    <cellStyle name="Porcentagem 6 10 2 2 2" xfId="16653" xr:uid="{00000000-0005-0000-0000-000018490000}"/>
    <cellStyle name="Porcentagem 6 10 2 2 3" xfId="16654" xr:uid="{00000000-0005-0000-0000-000019490000}"/>
    <cellStyle name="Porcentagem 6 10 2 2 4" xfId="16655" xr:uid="{00000000-0005-0000-0000-00001A490000}"/>
    <cellStyle name="Porcentagem 6 10 2 20" xfId="16656" xr:uid="{00000000-0005-0000-0000-00001B490000}"/>
    <cellStyle name="Porcentagem 6 10 2 21" xfId="16657" xr:uid="{00000000-0005-0000-0000-00001C490000}"/>
    <cellStyle name="Porcentagem 6 10 2 3" xfId="16658" xr:uid="{00000000-0005-0000-0000-00001D490000}"/>
    <cellStyle name="Porcentagem 6 10 2 3 2" xfId="16659" xr:uid="{00000000-0005-0000-0000-00001E490000}"/>
    <cellStyle name="Porcentagem 6 10 2 3 3" xfId="16660" xr:uid="{00000000-0005-0000-0000-00001F490000}"/>
    <cellStyle name="Porcentagem 6 10 2 3 4" xfId="16661" xr:uid="{00000000-0005-0000-0000-000020490000}"/>
    <cellStyle name="Porcentagem 6 10 2 4" xfId="16662" xr:uid="{00000000-0005-0000-0000-000021490000}"/>
    <cellStyle name="Porcentagem 6 10 2 4 2" xfId="16663" xr:uid="{00000000-0005-0000-0000-000022490000}"/>
    <cellStyle name="Porcentagem 6 10 2 4 3" xfId="16664" xr:uid="{00000000-0005-0000-0000-000023490000}"/>
    <cellStyle name="Porcentagem 6 10 2 4 4" xfId="16665" xr:uid="{00000000-0005-0000-0000-000024490000}"/>
    <cellStyle name="Porcentagem 6 10 2 5" xfId="16666" xr:uid="{00000000-0005-0000-0000-000025490000}"/>
    <cellStyle name="Porcentagem 6 10 2 5 2" xfId="16667" xr:uid="{00000000-0005-0000-0000-000026490000}"/>
    <cellStyle name="Porcentagem 6 10 2 5 3" xfId="16668" xr:uid="{00000000-0005-0000-0000-000027490000}"/>
    <cellStyle name="Porcentagem 6 10 2 5 4" xfId="16669" xr:uid="{00000000-0005-0000-0000-000028490000}"/>
    <cellStyle name="Porcentagem 6 10 2 6" xfId="16670" xr:uid="{00000000-0005-0000-0000-000029490000}"/>
    <cellStyle name="Porcentagem 6 10 2 6 2" xfId="16671" xr:uid="{00000000-0005-0000-0000-00002A490000}"/>
    <cellStyle name="Porcentagem 6 10 2 6 3" xfId="16672" xr:uid="{00000000-0005-0000-0000-00002B490000}"/>
    <cellStyle name="Porcentagem 6 10 2 6 4" xfId="16673" xr:uid="{00000000-0005-0000-0000-00002C490000}"/>
    <cellStyle name="Porcentagem 6 10 2 7" xfId="16674" xr:uid="{00000000-0005-0000-0000-00002D490000}"/>
    <cellStyle name="Porcentagem 6 10 2 7 2" xfId="16675" xr:uid="{00000000-0005-0000-0000-00002E490000}"/>
    <cellStyle name="Porcentagem 6 10 2 7 3" xfId="16676" xr:uid="{00000000-0005-0000-0000-00002F490000}"/>
    <cellStyle name="Porcentagem 6 10 2 7 4" xfId="16677" xr:uid="{00000000-0005-0000-0000-000030490000}"/>
    <cellStyle name="Porcentagem 6 10 2 8" xfId="16678" xr:uid="{00000000-0005-0000-0000-000031490000}"/>
    <cellStyle name="Porcentagem 6 10 2 8 2" xfId="16679" xr:uid="{00000000-0005-0000-0000-000032490000}"/>
    <cellStyle name="Porcentagem 6 10 2 8 3" xfId="16680" xr:uid="{00000000-0005-0000-0000-000033490000}"/>
    <cellStyle name="Porcentagem 6 10 2 8 4" xfId="16681" xr:uid="{00000000-0005-0000-0000-000034490000}"/>
    <cellStyle name="Porcentagem 6 10 2 9" xfId="16682" xr:uid="{00000000-0005-0000-0000-000035490000}"/>
    <cellStyle name="Porcentagem 6 10 2 9 2" xfId="16683" xr:uid="{00000000-0005-0000-0000-000036490000}"/>
    <cellStyle name="Porcentagem 6 10 2 9 3" xfId="16684" xr:uid="{00000000-0005-0000-0000-000037490000}"/>
    <cellStyle name="Porcentagem 6 10 2 9 4" xfId="16685" xr:uid="{00000000-0005-0000-0000-000038490000}"/>
    <cellStyle name="Porcentagem 6 10 20" xfId="16686" xr:uid="{00000000-0005-0000-0000-000039490000}"/>
    <cellStyle name="Porcentagem 6 10 21" xfId="16687" xr:uid="{00000000-0005-0000-0000-00003A490000}"/>
    <cellStyle name="Porcentagem 6 10 22" xfId="16688" xr:uid="{00000000-0005-0000-0000-00003B490000}"/>
    <cellStyle name="Porcentagem 6 10 23" xfId="16689" xr:uid="{00000000-0005-0000-0000-00003C490000}"/>
    <cellStyle name="Porcentagem 6 10 24" xfId="16690" xr:uid="{00000000-0005-0000-0000-00003D490000}"/>
    <cellStyle name="Porcentagem 6 10 25" xfId="16691" xr:uid="{00000000-0005-0000-0000-00003E490000}"/>
    <cellStyle name="Porcentagem 6 10 26" xfId="16692" xr:uid="{00000000-0005-0000-0000-00003F490000}"/>
    <cellStyle name="Porcentagem 6 10 26 2" xfId="16693" xr:uid="{00000000-0005-0000-0000-000040490000}"/>
    <cellStyle name="Porcentagem 6 10 26 3" xfId="16694" xr:uid="{00000000-0005-0000-0000-000041490000}"/>
    <cellStyle name="Porcentagem 6 10 26 4" xfId="16695" xr:uid="{00000000-0005-0000-0000-000042490000}"/>
    <cellStyle name="Porcentagem 6 10 27" xfId="16696" xr:uid="{00000000-0005-0000-0000-000043490000}"/>
    <cellStyle name="Porcentagem 6 10 28" xfId="16697" xr:uid="{00000000-0005-0000-0000-000044490000}"/>
    <cellStyle name="Porcentagem 6 10 29" xfId="16698" xr:uid="{00000000-0005-0000-0000-000045490000}"/>
    <cellStyle name="Porcentagem 6 10 3" xfId="16699" xr:uid="{00000000-0005-0000-0000-000046490000}"/>
    <cellStyle name="Porcentagem 6 10 3 2" xfId="16700" xr:uid="{00000000-0005-0000-0000-000047490000}"/>
    <cellStyle name="Porcentagem 6 10 3 3" xfId="16701" xr:uid="{00000000-0005-0000-0000-000048490000}"/>
    <cellStyle name="Porcentagem 6 10 3 4" xfId="16702" xr:uid="{00000000-0005-0000-0000-000049490000}"/>
    <cellStyle name="Porcentagem 6 10 30" xfId="16703" xr:uid="{00000000-0005-0000-0000-00004A490000}"/>
    <cellStyle name="Porcentagem 6 10 31" xfId="16704" xr:uid="{00000000-0005-0000-0000-00004B490000}"/>
    <cellStyle name="Porcentagem 6 10 32" xfId="16705" xr:uid="{00000000-0005-0000-0000-00004C490000}"/>
    <cellStyle name="Porcentagem 6 10 33" xfId="16706" xr:uid="{00000000-0005-0000-0000-00004D490000}"/>
    <cellStyle name="Porcentagem 6 10 34" xfId="16707" xr:uid="{00000000-0005-0000-0000-00004E490000}"/>
    <cellStyle name="Porcentagem 6 10 35" xfId="16708" xr:uid="{00000000-0005-0000-0000-00004F490000}"/>
    <cellStyle name="Porcentagem 6 10 36" xfId="16709" xr:uid="{00000000-0005-0000-0000-000050490000}"/>
    <cellStyle name="Porcentagem 6 10 4" xfId="16710" xr:uid="{00000000-0005-0000-0000-000051490000}"/>
    <cellStyle name="Porcentagem 6 10 4 2" xfId="16711" xr:uid="{00000000-0005-0000-0000-000052490000}"/>
    <cellStyle name="Porcentagem 6 10 4 3" xfId="16712" xr:uid="{00000000-0005-0000-0000-000053490000}"/>
    <cellStyle name="Porcentagem 6 10 4 4" xfId="16713" xr:uid="{00000000-0005-0000-0000-000054490000}"/>
    <cellStyle name="Porcentagem 6 10 5" xfId="16714" xr:uid="{00000000-0005-0000-0000-000055490000}"/>
    <cellStyle name="Porcentagem 6 10 6" xfId="16715" xr:uid="{00000000-0005-0000-0000-000056490000}"/>
    <cellStyle name="Porcentagem 6 10 7" xfId="16716" xr:uid="{00000000-0005-0000-0000-000057490000}"/>
    <cellStyle name="Porcentagem 6 10 8" xfId="16717" xr:uid="{00000000-0005-0000-0000-000058490000}"/>
    <cellStyle name="Porcentagem 6 10 9" xfId="16718" xr:uid="{00000000-0005-0000-0000-000059490000}"/>
    <cellStyle name="Porcentagem 6 11" xfId="16719" xr:uid="{00000000-0005-0000-0000-00005A490000}"/>
    <cellStyle name="Porcentagem 6 12" xfId="16720" xr:uid="{00000000-0005-0000-0000-00005B490000}"/>
    <cellStyle name="Porcentagem 6 13" xfId="16721" xr:uid="{00000000-0005-0000-0000-00005C490000}"/>
    <cellStyle name="Porcentagem 6 14" xfId="16722" xr:uid="{00000000-0005-0000-0000-00005D490000}"/>
    <cellStyle name="Porcentagem 6 15" xfId="16723" xr:uid="{00000000-0005-0000-0000-00005E490000}"/>
    <cellStyle name="Porcentagem 6 16" xfId="16724" xr:uid="{00000000-0005-0000-0000-00005F490000}"/>
    <cellStyle name="Porcentagem 6 17" xfId="16725" xr:uid="{00000000-0005-0000-0000-000060490000}"/>
    <cellStyle name="Porcentagem 6 18" xfId="16726" xr:uid="{00000000-0005-0000-0000-000061490000}"/>
    <cellStyle name="Porcentagem 6 19" xfId="16727" xr:uid="{00000000-0005-0000-0000-000062490000}"/>
    <cellStyle name="Porcentagem 6 2" xfId="603" xr:uid="{00000000-0005-0000-0000-000063490000}"/>
    <cellStyle name="Porcentagem 6 2 10" xfId="16729" xr:uid="{00000000-0005-0000-0000-000064490000}"/>
    <cellStyle name="Porcentagem 6 2 11" xfId="16730" xr:uid="{00000000-0005-0000-0000-000065490000}"/>
    <cellStyle name="Porcentagem 6 2 12" xfId="16731" xr:uid="{00000000-0005-0000-0000-000066490000}"/>
    <cellStyle name="Porcentagem 6 2 13" xfId="16732" xr:uid="{00000000-0005-0000-0000-000067490000}"/>
    <cellStyle name="Porcentagem 6 2 14" xfId="16733" xr:uid="{00000000-0005-0000-0000-000068490000}"/>
    <cellStyle name="Porcentagem 6 2 15" xfId="16728" xr:uid="{00000000-0005-0000-0000-000069490000}"/>
    <cellStyle name="Porcentagem 6 2 2" xfId="604" xr:uid="{00000000-0005-0000-0000-00006A490000}"/>
    <cellStyle name="Porcentagem 6 2 2 10" xfId="16734" xr:uid="{00000000-0005-0000-0000-00006B490000}"/>
    <cellStyle name="Porcentagem 6 2 2 2" xfId="605" xr:uid="{00000000-0005-0000-0000-00006C490000}"/>
    <cellStyle name="Porcentagem 6 2 2 3" xfId="16735" xr:uid="{00000000-0005-0000-0000-00006D490000}"/>
    <cellStyle name="Porcentagem 6 2 2 4" xfId="16736" xr:uid="{00000000-0005-0000-0000-00006E490000}"/>
    <cellStyle name="Porcentagem 6 2 2 5" xfId="16737" xr:uid="{00000000-0005-0000-0000-00006F490000}"/>
    <cellStyle name="Porcentagem 6 2 2 6" xfId="16738" xr:uid="{00000000-0005-0000-0000-000070490000}"/>
    <cellStyle name="Porcentagem 6 2 2 7" xfId="16739" xr:uid="{00000000-0005-0000-0000-000071490000}"/>
    <cellStyle name="Porcentagem 6 2 2 8" xfId="16740" xr:uid="{00000000-0005-0000-0000-000072490000}"/>
    <cellStyle name="Porcentagem 6 2 2 9" xfId="16741" xr:uid="{00000000-0005-0000-0000-000073490000}"/>
    <cellStyle name="Porcentagem 6 2 3" xfId="606" xr:uid="{00000000-0005-0000-0000-000074490000}"/>
    <cellStyle name="Porcentagem 6 2 3 10" xfId="16742" xr:uid="{00000000-0005-0000-0000-000075490000}"/>
    <cellStyle name="Porcentagem 6 2 3 2" xfId="16743" xr:uid="{00000000-0005-0000-0000-000076490000}"/>
    <cellStyle name="Porcentagem 6 2 3 3" xfId="16744" xr:uid="{00000000-0005-0000-0000-000077490000}"/>
    <cellStyle name="Porcentagem 6 2 3 4" xfId="16745" xr:uid="{00000000-0005-0000-0000-000078490000}"/>
    <cellStyle name="Porcentagem 6 2 3 5" xfId="16746" xr:uid="{00000000-0005-0000-0000-000079490000}"/>
    <cellStyle name="Porcentagem 6 2 3 6" xfId="16747" xr:uid="{00000000-0005-0000-0000-00007A490000}"/>
    <cellStyle name="Porcentagem 6 2 3 7" xfId="16748" xr:uid="{00000000-0005-0000-0000-00007B490000}"/>
    <cellStyle name="Porcentagem 6 2 3 8" xfId="16749" xr:uid="{00000000-0005-0000-0000-00007C490000}"/>
    <cellStyle name="Porcentagem 6 2 3 9" xfId="16750" xr:uid="{00000000-0005-0000-0000-00007D490000}"/>
    <cellStyle name="Porcentagem 6 2 4" xfId="16751" xr:uid="{00000000-0005-0000-0000-00007E490000}"/>
    <cellStyle name="Porcentagem 6 2 5" xfId="16752" xr:uid="{00000000-0005-0000-0000-00007F490000}"/>
    <cellStyle name="Porcentagem 6 2 6" xfId="16753" xr:uid="{00000000-0005-0000-0000-000080490000}"/>
    <cellStyle name="Porcentagem 6 2 7" xfId="16754" xr:uid="{00000000-0005-0000-0000-000081490000}"/>
    <cellStyle name="Porcentagem 6 2 8" xfId="16755" xr:uid="{00000000-0005-0000-0000-000082490000}"/>
    <cellStyle name="Porcentagem 6 2 9" xfId="16756" xr:uid="{00000000-0005-0000-0000-000083490000}"/>
    <cellStyle name="Porcentagem 6 20" xfId="16757" xr:uid="{00000000-0005-0000-0000-000084490000}"/>
    <cellStyle name="Porcentagem 6 21" xfId="16758" xr:uid="{00000000-0005-0000-0000-000085490000}"/>
    <cellStyle name="Porcentagem 6 22" xfId="16759" xr:uid="{00000000-0005-0000-0000-000086490000}"/>
    <cellStyle name="Porcentagem 6 23" xfId="16760" xr:uid="{00000000-0005-0000-0000-000087490000}"/>
    <cellStyle name="Porcentagem 6 24" xfId="16761" xr:uid="{00000000-0005-0000-0000-000088490000}"/>
    <cellStyle name="Porcentagem 6 3" xfId="607" xr:uid="{00000000-0005-0000-0000-000089490000}"/>
    <cellStyle name="Porcentagem 6 3 10" xfId="16763" xr:uid="{00000000-0005-0000-0000-00008A490000}"/>
    <cellStyle name="Porcentagem 6 3 11" xfId="16764" xr:uid="{00000000-0005-0000-0000-00008B490000}"/>
    <cellStyle name="Porcentagem 6 3 12" xfId="16762" xr:uid="{00000000-0005-0000-0000-00008C490000}"/>
    <cellStyle name="Porcentagem 6 3 2" xfId="608" xr:uid="{00000000-0005-0000-0000-00008D490000}"/>
    <cellStyle name="Porcentagem 6 3 3" xfId="16765" xr:uid="{00000000-0005-0000-0000-00008E490000}"/>
    <cellStyle name="Porcentagem 6 3 4" xfId="16766" xr:uid="{00000000-0005-0000-0000-00008F490000}"/>
    <cellStyle name="Porcentagem 6 3 5" xfId="16767" xr:uid="{00000000-0005-0000-0000-000090490000}"/>
    <cellStyle name="Porcentagem 6 3 6" xfId="16768" xr:uid="{00000000-0005-0000-0000-000091490000}"/>
    <cellStyle name="Porcentagem 6 3 7" xfId="16769" xr:uid="{00000000-0005-0000-0000-000092490000}"/>
    <cellStyle name="Porcentagem 6 3 8" xfId="16770" xr:uid="{00000000-0005-0000-0000-000093490000}"/>
    <cellStyle name="Porcentagem 6 3 9" xfId="16771" xr:uid="{00000000-0005-0000-0000-000094490000}"/>
    <cellStyle name="Porcentagem 6 4" xfId="609" xr:uid="{00000000-0005-0000-0000-000095490000}"/>
    <cellStyle name="Porcentagem 6 4 10" xfId="16773" xr:uid="{00000000-0005-0000-0000-000096490000}"/>
    <cellStyle name="Porcentagem 6 4 11" xfId="16772" xr:uid="{00000000-0005-0000-0000-000097490000}"/>
    <cellStyle name="Porcentagem 6 4 2" xfId="16774" xr:uid="{00000000-0005-0000-0000-000098490000}"/>
    <cellStyle name="Porcentagem 6 4 3" xfId="16775" xr:uid="{00000000-0005-0000-0000-000099490000}"/>
    <cellStyle name="Porcentagem 6 4 4" xfId="16776" xr:uid="{00000000-0005-0000-0000-00009A490000}"/>
    <cellStyle name="Porcentagem 6 4 5" xfId="16777" xr:uid="{00000000-0005-0000-0000-00009B490000}"/>
    <cellStyle name="Porcentagem 6 4 6" xfId="16778" xr:uid="{00000000-0005-0000-0000-00009C490000}"/>
    <cellStyle name="Porcentagem 6 4 7" xfId="16779" xr:uid="{00000000-0005-0000-0000-00009D490000}"/>
    <cellStyle name="Porcentagem 6 4 8" xfId="16780" xr:uid="{00000000-0005-0000-0000-00009E490000}"/>
    <cellStyle name="Porcentagem 6 4 9" xfId="16781" xr:uid="{00000000-0005-0000-0000-00009F490000}"/>
    <cellStyle name="Porcentagem 6 5" xfId="610" xr:uid="{00000000-0005-0000-0000-0000A0490000}"/>
    <cellStyle name="Porcentagem 6 5 2" xfId="16782" xr:uid="{00000000-0005-0000-0000-0000A1490000}"/>
    <cellStyle name="Porcentagem 6 5 3" xfId="16783" xr:uid="{00000000-0005-0000-0000-0000A2490000}"/>
    <cellStyle name="Porcentagem 6 5 4" xfId="16784" xr:uid="{00000000-0005-0000-0000-0000A3490000}"/>
    <cellStyle name="Porcentagem 6 6" xfId="16785" xr:uid="{00000000-0005-0000-0000-0000A4490000}"/>
    <cellStyle name="Porcentagem 6 6 2" xfId="16786" xr:uid="{00000000-0005-0000-0000-0000A5490000}"/>
    <cellStyle name="Porcentagem 6 6 3" xfId="16787" xr:uid="{00000000-0005-0000-0000-0000A6490000}"/>
    <cellStyle name="Porcentagem 6 6 4" xfId="16788" xr:uid="{00000000-0005-0000-0000-0000A7490000}"/>
    <cellStyle name="Porcentagem 6 7" xfId="16789" xr:uid="{00000000-0005-0000-0000-0000A8490000}"/>
    <cellStyle name="Porcentagem 6 7 2" xfId="16790" xr:uid="{00000000-0005-0000-0000-0000A9490000}"/>
    <cellStyle name="Porcentagem 6 7 3" xfId="16791" xr:uid="{00000000-0005-0000-0000-0000AA490000}"/>
    <cellStyle name="Porcentagem 6 7 4" xfId="16792" xr:uid="{00000000-0005-0000-0000-0000AB490000}"/>
    <cellStyle name="Porcentagem 6 8" xfId="16793" xr:uid="{00000000-0005-0000-0000-0000AC490000}"/>
    <cellStyle name="Porcentagem 6 8 2" xfId="16794" xr:uid="{00000000-0005-0000-0000-0000AD490000}"/>
    <cellStyle name="Porcentagem 6 8 3" xfId="16795" xr:uid="{00000000-0005-0000-0000-0000AE490000}"/>
    <cellStyle name="Porcentagem 6 8 4" xfId="16796" xr:uid="{00000000-0005-0000-0000-0000AF490000}"/>
    <cellStyle name="Porcentagem 6 9" xfId="16797" xr:uid="{00000000-0005-0000-0000-0000B0490000}"/>
    <cellStyle name="Porcentagem 6 9 2" xfId="16798" xr:uid="{00000000-0005-0000-0000-0000B1490000}"/>
    <cellStyle name="Porcentagem 6 9 2 2" xfId="16799" xr:uid="{00000000-0005-0000-0000-0000B2490000}"/>
    <cellStyle name="Porcentagem 6 9 2 3" xfId="16800" xr:uid="{00000000-0005-0000-0000-0000B3490000}"/>
    <cellStyle name="Porcentagem 6 9 2 4" xfId="16801" xr:uid="{00000000-0005-0000-0000-0000B4490000}"/>
    <cellStyle name="Porcentagem 6 9 3" xfId="16802" xr:uid="{00000000-0005-0000-0000-0000B5490000}"/>
    <cellStyle name="Porcentagem 6 9 3 2" xfId="16803" xr:uid="{00000000-0005-0000-0000-0000B6490000}"/>
    <cellStyle name="Porcentagem 6 9 3 3" xfId="16804" xr:uid="{00000000-0005-0000-0000-0000B7490000}"/>
    <cellStyle name="Porcentagem 6 9 3 4" xfId="16805" xr:uid="{00000000-0005-0000-0000-0000B8490000}"/>
    <cellStyle name="Porcentagem 6 9 4" xfId="16806" xr:uid="{00000000-0005-0000-0000-0000B9490000}"/>
    <cellStyle name="Porcentagem 7" xfId="611" xr:uid="{00000000-0005-0000-0000-0000BA490000}"/>
    <cellStyle name="Porcentagem 7 10" xfId="16807" xr:uid="{00000000-0005-0000-0000-0000BB490000}"/>
    <cellStyle name="Porcentagem 7 10 10" xfId="16808" xr:uid="{00000000-0005-0000-0000-0000BC490000}"/>
    <cellStyle name="Porcentagem 7 10 11" xfId="16809" xr:uid="{00000000-0005-0000-0000-0000BD490000}"/>
    <cellStyle name="Porcentagem 7 10 12" xfId="16810" xr:uid="{00000000-0005-0000-0000-0000BE490000}"/>
    <cellStyle name="Porcentagem 7 10 13" xfId="16811" xr:uid="{00000000-0005-0000-0000-0000BF490000}"/>
    <cellStyle name="Porcentagem 7 10 14" xfId="16812" xr:uid="{00000000-0005-0000-0000-0000C0490000}"/>
    <cellStyle name="Porcentagem 7 10 15" xfId="16813" xr:uid="{00000000-0005-0000-0000-0000C1490000}"/>
    <cellStyle name="Porcentagem 7 10 16" xfId="16814" xr:uid="{00000000-0005-0000-0000-0000C2490000}"/>
    <cellStyle name="Porcentagem 7 10 17" xfId="16815" xr:uid="{00000000-0005-0000-0000-0000C3490000}"/>
    <cellStyle name="Porcentagem 7 10 18" xfId="16816" xr:uid="{00000000-0005-0000-0000-0000C4490000}"/>
    <cellStyle name="Porcentagem 7 10 19" xfId="16817" xr:uid="{00000000-0005-0000-0000-0000C5490000}"/>
    <cellStyle name="Porcentagem 7 10 2" xfId="16818" xr:uid="{00000000-0005-0000-0000-0000C6490000}"/>
    <cellStyle name="Porcentagem 7 10 2 10" xfId="16819" xr:uid="{00000000-0005-0000-0000-0000C7490000}"/>
    <cellStyle name="Porcentagem 7 10 2 10 2" xfId="16820" xr:uid="{00000000-0005-0000-0000-0000C8490000}"/>
    <cellStyle name="Porcentagem 7 10 2 10 3" xfId="16821" xr:uid="{00000000-0005-0000-0000-0000C9490000}"/>
    <cellStyle name="Porcentagem 7 10 2 10 4" xfId="16822" xr:uid="{00000000-0005-0000-0000-0000CA490000}"/>
    <cellStyle name="Porcentagem 7 10 2 11" xfId="16823" xr:uid="{00000000-0005-0000-0000-0000CB490000}"/>
    <cellStyle name="Porcentagem 7 10 2 11 2" xfId="16824" xr:uid="{00000000-0005-0000-0000-0000CC490000}"/>
    <cellStyle name="Porcentagem 7 10 2 11 3" xfId="16825" xr:uid="{00000000-0005-0000-0000-0000CD490000}"/>
    <cellStyle name="Porcentagem 7 10 2 11 4" xfId="16826" xr:uid="{00000000-0005-0000-0000-0000CE490000}"/>
    <cellStyle name="Porcentagem 7 10 2 12" xfId="16827" xr:uid="{00000000-0005-0000-0000-0000CF490000}"/>
    <cellStyle name="Porcentagem 7 10 2 12 2" xfId="16828" xr:uid="{00000000-0005-0000-0000-0000D0490000}"/>
    <cellStyle name="Porcentagem 7 10 2 12 3" xfId="16829" xr:uid="{00000000-0005-0000-0000-0000D1490000}"/>
    <cellStyle name="Porcentagem 7 10 2 12 4" xfId="16830" xr:uid="{00000000-0005-0000-0000-0000D2490000}"/>
    <cellStyle name="Porcentagem 7 10 2 13" xfId="16831" xr:uid="{00000000-0005-0000-0000-0000D3490000}"/>
    <cellStyle name="Porcentagem 7 10 2 13 2" xfId="16832" xr:uid="{00000000-0005-0000-0000-0000D4490000}"/>
    <cellStyle name="Porcentagem 7 10 2 13 3" xfId="16833" xr:uid="{00000000-0005-0000-0000-0000D5490000}"/>
    <cellStyle name="Porcentagem 7 10 2 13 4" xfId="16834" xr:uid="{00000000-0005-0000-0000-0000D6490000}"/>
    <cellStyle name="Porcentagem 7 10 2 14" xfId="16835" xr:uid="{00000000-0005-0000-0000-0000D7490000}"/>
    <cellStyle name="Porcentagem 7 10 2 14 2" xfId="16836" xr:uid="{00000000-0005-0000-0000-0000D8490000}"/>
    <cellStyle name="Porcentagem 7 10 2 14 3" xfId="16837" xr:uid="{00000000-0005-0000-0000-0000D9490000}"/>
    <cellStyle name="Porcentagem 7 10 2 14 4" xfId="16838" xr:uid="{00000000-0005-0000-0000-0000DA490000}"/>
    <cellStyle name="Porcentagem 7 10 2 15" xfId="16839" xr:uid="{00000000-0005-0000-0000-0000DB490000}"/>
    <cellStyle name="Porcentagem 7 10 2 15 2" xfId="16840" xr:uid="{00000000-0005-0000-0000-0000DC490000}"/>
    <cellStyle name="Porcentagem 7 10 2 15 3" xfId="16841" xr:uid="{00000000-0005-0000-0000-0000DD490000}"/>
    <cellStyle name="Porcentagem 7 10 2 15 4" xfId="16842" xr:uid="{00000000-0005-0000-0000-0000DE490000}"/>
    <cellStyle name="Porcentagem 7 10 2 16" xfId="16843" xr:uid="{00000000-0005-0000-0000-0000DF490000}"/>
    <cellStyle name="Porcentagem 7 10 2 17" xfId="16844" xr:uid="{00000000-0005-0000-0000-0000E0490000}"/>
    <cellStyle name="Porcentagem 7 10 2 18" xfId="16845" xr:uid="{00000000-0005-0000-0000-0000E1490000}"/>
    <cellStyle name="Porcentagem 7 10 2 19" xfId="16846" xr:uid="{00000000-0005-0000-0000-0000E2490000}"/>
    <cellStyle name="Porcentagem 7 10 2 2" xfId="16847" xr:uid="{00000000-0005-0000-0000-0000E3490000}"/>
    <cellStyle name="Porcentagem 7 10 2 2 2" xfId="16848" xr:uid="{00000000-0005-0000-0000-0000E4490000}"/>
    <cellStyle name="Porcentagem 7 10 2 2 3" xfId="16849" xr:uid="{00000000-0005-0000-0000-0000E5490000}"/>
    <cellStyle name="Porcentagem 7 10 2 2 4" xfId="16850" xr:uid="{00000000-0005-0000-0000-0000E6490000}"/>
    <cellStyle name="Porcentagem 7 10 2 20" xfId="16851" xr:uid="{00000000-0005-0000-0000-0000E7490000}"/>
    <cellStyle name="Porcentagem 7 10 2 21" xfId="16852" xr:uid="{00000000-0005-0000-0000-0000E8490000}"/>
    <cellStyle name="Porcentagem 7 10 2 3" xfId="16853" xr:uid="{00000000-0005-0000-0000-0000E9490000}"/>
    <cellStyle name="Porcentagem 7 10 2 3 2" xfId="16854" xr:uid="{00000000-0005-0000-0000-0000EA490000}"/>
    <cellStyle name="Porcentagem 7 10 2 3 3" xfId="16855" xr:uid="{00000000-0005-0000-0000-0000EB490000}"/>
    <cellStyle name="Porcentagem 7 10 2 3 4" xfId="16856" xr:uid="{00000000-0005-0000-0000-0000EC490000}"/>
    <cellStyle name="Porcentagem 7 10 2 4" xfId="16857" xr:uid="{00000000-0005-0000-0000-0000ED490000}"/>
    <cellStyle name="Porcentagem 7 10 2 4 2" xfId="16858" xr:uid="{00000000-0005-0000-0000-0000EE490000}"/>
    <cellStyle name="Porcentagem 7 10 2 4 3" xfId="16859" xr:uid="{00000000-0005-0000-0000-0000EF490000}"/>
    <cellStyle name="Porcentagem 7 10 2 4 4" xfId="16860" xr:uid="{00000000-0005-0000-0000-0000F0490000}"/>
    <cellStyle name="Porcentagem 7 10 2 5" xfId="16861" xr:uid="{00000000-0005-0000-0000-0000F1490000}"/>
    <cellStyle name="Porcentagem 7 10 2 5 2" xfId="16862" xr:uid="{00000000-0005-0000-0000-0000F2490000}"/>
    <cellStyle name="Porcentagem 7 10 2 5 3" xfId="16863" xr:uid="{00000000-0005-0000-0000-0000F3490000}"/>
    <cellStyle name="Porcentagem 7 10 2 5 4" xfId="16864" xr:uid="{00000000-0005-0000-0000-0000F4490000}"/>
    <cellStyle name="Porcentagem 7 10 2 6" xfId="16865" xr:uid="{00000000-0005-0000-0000-0000F5490000}"/>
    <cellStyle name="Porcentagem 7 10 2 6 2" xfId="16866" xr:uid="{00000000-0005-0000-0000-0000F6490000}"/>
    <cellStyle name="Porcentagem 7 10 2 6 3" xfId="16867" xr:uid="{00000000-0005-0000-0000-0000F7490000}"/>
    <cellStyle name="Porcentagem 7 10 2 6 4" xfId="16868" xr:uid="{00000000-0005-0000-0000-0000F8490000}"/>
    <cellStyle name="Porcentagem 7 10 2 7" xfId="16869" xr:uid="{00000000-0005-0000-0000-0000F9490000}"/>
    <cellStyle name="Porcentagem 7 10 2 7 2" xfId="16870" xr:uid="{00000000-0005-0000-0000-0000FA490000}"/>
    <cellStyle name="Porcentagem 7 10 2 7 3" xfId="16871" xr:uid="{00000000-0005-0000-0000-0000FB490000}"/>
    <cellStyle name="Porcentagem 7 10 2 7 4" xfId="16872" xr:uid="{00000000-0005-0000-0000-0000FC490000}"/>
    <cellStyle name="Porcentagem 7 10 2 8" xfId="16873" xr:uid="{00000000-0005-0000-0000-0000FD490000}"/>
    <cellStyle name="Porcentagem 7 10 2 8 2" xfId="16874" xr:uid="{00000000-0005-0000-0000-0000FE490000}"/>
    <cellStyle name="Porcentagem 7 10 2 8 3" xfId="16875" xr:uid="{00000000-0005-0000-0000-0000FF490000}"/>
    <cellStyle name="Porcentagem 7 10 2 8 4" xfId="16876" xr:uid="{00000000-0005-0000-0000-0000004A0000}"/>
    <cellStyle name="Porcentagem 7 10 2 9" xfId="16877" xr:uid="{00000000-0005-0000-0000-0000014A0000}"/>
    <cellStyle name="Porcentagem 7 10 2 9 2" xfId="16878" xr:uid="{00000000-0005-0000-0000-0000024A0000}"/>
    <cellStyle name="Porcentagem 7 10 2 9 3" xfId="16879" xr:uid="{00000000-0005-0000-0000-0000034A0000}"/>
    <cellStyle name="Porcentagem 7 10 2 9 4" xfId="16880" xr:uid="{00000000-0005-0000-0000-0000044A0000}"/>
    <cellStyle name="Porcentagem 7 10 20" xfId="16881" xr:uid="{00000000-0005-0000-0000-0000054A0000}"/>
    <cellStyle name="Porcentagem 7 10 21" xfId="16882" xr:uid="{00000000-0005-0000-0000-0000064A0000}"/>
    <cellStyle name="Porcentagem 7 10 22" xfId="16883" xr:uid="{00000000-0005-0000-0000-0000074A0000}"/>
    <cellStyle name="Porcentagem 7 10 23" xfId="16884" xr:uid="{00000000-0005-0000-0000-0000084A0000}"/>
    <cellStyle name="Porcentagem 7 10 24" xfId="16885" xr:uid="{00000000-0005-0000-0000-0000094A0000}"/>
    <cellStyle name="Porcentagem 7 10 25" xfId="16886" xr:uid="{00000000-0005-0000-0000-00000A4A0000}"/>
    <cellStyle name="Porcentagem 7 10 26" xfId="16887" xr:uid="{00000000-0005-0000-0000-00000B4A0000}"/>
    <cellStyle name="Porcentagem 7 10 26 2" xfId="16888" xr:uid="{00000000-0005-0000-0000-00000C4A0000}"/>
    <cellStyle name="Porcentagem 7 10 26 3" xfId="16889" xr:uid="{00000000-0005-0000-0000-00000D4A0000}"/>
    <cellStyle name="Porcentagem 7 10 26 4" xfId="16890" xr:uid="{00000000-0005-0000-0000-00000E4A0000}"/>
    <cellStyle name="Porcentagem 7 10 27" xfId="16891" xr:uid="{00000000-0005-0000-0000-00000F4A0000}"/>
    <cellStyle name="Porcentagem 7 10 28" xfId="16892" xr:uid="{00000000-0005-0000-0000-0000104A0000}"/>
    <cellStyle name="Porcentagem 7 10 29" xfId="16893" xr:uid="{00000000-0005-0000-0000-0000114A0000}"/>
    <cellStyle name="Porcentagem 7 10 3" xfId="16894" xr:uid="{00000000-0005-0000-0000-0000124A0000}"/>
    <cellStyle name="Porcentagem 7 10 3 2" xfId="16895" xr:uid="{00000000-0005-0000-0000-0000134A0000}"/>
    <cellStyle name="Porcentagem 7 10 3 3" xfId="16896" xr:uid="{00000000-0005-0000-0000-0000144A0000}"/>
    <cellStyle name="Porcentagem 7 10 3 4" xfId="16897" xr:uid="{00000000-0005-0000-0000-0000154A0000}"/>
    <cellStyle name="Porcentagem 7 10 30" xfId="16898" xr:uid="{00000000-0005-0000-0000-0000164A0000}"/>
    <cellStyle name="Porcentagem 7 10 31" xfId="16899" xr:uid="{00000000-0005-0000-0000-0000174A0000}"/>
    <cellStyle name="Porcentagem 7 10 32" xfId="16900" xr:uid="{00000000-0005-0000-0000-0000184A0000}"/>
    <cellStyle name="Porcentagem 7 10 33" xfId="16901" xr:uid="{00000000-0005-0000-0000-0000194A0000}"/>
    <cellStyle name="Porcentagem 7 10 34" xfId="16902" xr:uid="{00000000-0005-0000-0000-00001A4A0000}"/>
    <cellStyle name="Porcentagem 7 10 35" xfId="16903" xr:uid="{00000000-0005-0000-0000-00001B4A0000}"/>
    <cellStyle name="Porcentagem 7 10 36" xfId="16904" xr:uid="{00000000-0005-0000-0000-00001C4A0000}"/>
    <cellStyle name="Porcentagem 7 10 4" xfId="16905" xr:uid="{00000000-0005-0000-0000-00001D4A0000}"/>
    <cellStyle name="Porcentagem 7 10 4 2" xfId="16906" xr:uid="{00000000-0005-0000-0000-00001E4A0000}"/>
    <cellStyle name="Porcentagem 7 10 4 3" xfId="16907" xr:uid="{00000000-0005-0000-0000-00001F4A0000}"/>
    <cellStyle name="Porcentagem 7 10 4 4" xfId="16908" xr:uid="{00000000-0005-0000-0000-0000204A0000}"/>
    <cellStyle name="Porcentagem 7 10 5" xfId="16909" xr:uid="{00000000-0005-0000-0000-0000214A0000}"/>
    <cellStyle name="Porcentagem 7 10 6" xfId="16910" xr:uid="{00000000-0005-0000-0000-0000224A0000}"/>
    <cellStyle name="Porcentagem 7 10 7" xfId="16911" xr:uid="{00000000-0005-0000-0000-0000234A0000}"/>
    <cellStyle name="Porcentagem 7 10 8" xfId="16912" xr:uid="{00000000-0005-0000-0000-0000244A0000}"/>
    <cellStyle name="Porcentagem 7 10 9" xfId="16913" xr:uid="{00000000-0005-0000-0000-0000254A0000}"/>
    <cellStyle name="Porcentagem 7 11" xfId="16914" xr:uid="{00000000-0005-0000-0000-0000264A0000}"/>
    <cellStyle name="Porcentagem 7 12" xfId="16915" xr:uid="{00000000-0005-0000-0000-0000274A0000}"/>
    <cellStyle name="Porcentagem 7 13" xfId="16916" xr:uid="{00000000-0005-0000-0000-0000284A0000}"/>
    <cellStyle name="Porcentagem 7 14" xfId="16917" xr:uid="{00000000-0005-0000-0000-0000294A0000}"/>
    <cellStyle name="Porcentagem 7 15" xfId="16918" xr:uid="{00000000-0005-0000-0000-00002A4A0000}"/>
    <cellStyle name="Porcentagem 7 16" xfId="16919" xr:uid="{00000000-0005-0000-0000-00002B4A0000}"/>
    <cellStyle name="Porcentagem 7 17" xfId="16920" xr:uid="{00000000-0005-0000-0000-00002C4A0000}"/>
    <cellStyle name="Porcentagem 7 18" xfId="16921" xr:uid="{00000000-0005-0000-0000-00002D4A0000}"/>
    <cellStyle name="Porcentagem 7 19" xfId="16922" xr:uid="{00000000-0005-0000-0000-00002E4A0000}"/>
    <cellStyle name="Porcentagem 7 2" xfId="612" xr:uid="{00000000-0005-0000-0000-00002F4A0000}"/>
    <cellStyle name="Porcentagem 7 2 10" xfId="16923" xr:uid="{00000000-0005-0000-0000-0000304A0000}"/>
    <cellStyle name="Porcentagem 7 2 11" xfId="16924" xr:uid="{00000000-0005-0000-0000-0000314A0000}"/>
    <cellStyle name="Porcentagem 7 2 12" xfId="16925" xr:uid="{00000000-0005-0000-0000-0000324A0000}"/>
    <cellStyle name="Porcentagem 7 2 13" xfId="16926" xr:uid="{00000000-0005-0000-0000-0000334A0000}"/>
    <cellStyle name="Porcentagem 7 2 14" xfId="16927" xr:uid="{00000000-0005-0000-0000-0000344A0000}"/>
    <cellStyle name="Porcentagem 7 2 15" xfId="27123" xr:uid="{00000000-0005-0000-0000-0000354A0000}"/>
    <cellStyle name="Porcentagem 7 2 2" xfId="613" xr:uid="{00000000-0005-0000-0000-0000364A0000}"/>
    <cellStyle name="Porcentagem 7 2 2 10" xfId="16928" xr:uid="{00000000-0005-0000-0000-0000374A0000}"/>
    <cellStyle name="Porcentagem 7 2 2 2" xfId="614" xr:uid="{00000000-0005-0000-0000-0000384A0000}"/>
    <cellStyle name="Porcentagem 7 2 2 3" xfId="16929" xr:uid="{00000000-0005-0000-0000-0000394A0000}"/>
    <cellStyle name="Porcentagem 7 2 2 4" xfId="16930" xr:uid="{00000000-0005-0000-0000-00003A4A0000}"/>
    <cellStyle name="Porcentagem 7 2 2 5" xfId="16931" xr:uid="{00000000-0005-0000-0000-00003B4A0000}"/>
    <cellStyle name="Porcentagem 7 2 2 6" xfId="16932" xr:uid="{00000000-0005-0000-0000-00003C4A0000}"/>
    <cellStyle name="Porcentagem 7 2 2 7" xfId="16933" xr:uid="{00000000-0005-0000-0000-00003D4A0000}"/>
    <cellStyle name="Porcentagem 7 2 2 8" xfId="16934" xr:uid="{00000000-0005-0000-0000-00003E4A0000}"/>
    <cellStyle name="Porcentagem 7 2 2 9" xfId="16935" xr:uid="{00000000-0005-0000-0000-00003F4A0000}"/>
    <cellStyle name="Porcentagem 7 2 3" xfId="615" xr:uid="{00000000-0005-0000-0000-0000404A0000}"/>
    <cellStyle name="Porcentagem 7 2 3 10" xfId="16936" xr:uid="{00000000-0005-0000-0000-0000414A0000}"/>
    <cellStyle name="Porcentagem 7 2 3 2" xfId="16937" xr:uid="{00000000-0005-0000-0000-0000424A0000}"/>
    <cellStyle name="Porcentagem 7 2 3 3" xfId="16938" xr:uid="{00000000-0005-0000-0000-0000434A0000}"/>
    <cellStyle name="Porcentagem 7 2 3 4" xfId="16939" xr:uid="{00000000-0005-0000-0000-0000444A0000}"/>
    <cellStyle name="Porcentagem 7 2 3 5" xfId="16940" xr:uid="{00000000-0005-0000-0000-0000454A0000}"/>
    <cellStyle name="Porcentagem 7 2 3 6" xfId="16941" xr:uid="{00000000-0005-0000-0000-0000464A0000}"/>
    <cellStyle name="Porcentagem 7 2 3 7" xfId="16942" xr:uid="{00000000-0005-0000-0000-0000474A0000}"/>
    <cellStyle name="Porcentagem 7 2 3 8" xfId="16943" xr:uid="{00000000-0005-0000-0000-0000484A0000}"/>
    <cellStyle name="Porcentagem 7 2 3 9" xfId="16944" xr:uid="{00000000-0005-0000-0000-0000494A0000}"/>
    <cellStyle name="Porcentagem 7 2 4" xfId="16945" xr:uid="{00000000-0005-0000-0000-00004A4A0000}"/>
    <cellStyle name="Porcentagem 7 2 5" xfId="16946" xr:uid="{00000000-0005-0000-0000-00004B4A0000}"/>
    <cellStyle name="Porcentagem 7 2 6" xfId="16947" xr:uid="{00000000-0005-0000-0000-00004C4A0000}"/>
    <cellStyle name="Porcentagem 7 2 7" xfId="16948" xr:uid="{00000000-0005-0000-0000-00004D4A0000}"/>
    <cellStyle name="Porcentagem 7 2 8" xfId="16949" xr:uid="{00000000-0005-0000-0000-00004E4A0000}"/>
    <cellStyle name="Porcentagem 7 2 9" xfId="16950" xr:uid="{00000000-0005-0000-0000-00004F4A0000}"/>
    <cellStyle name="Porcentagem 7 20" xfId="16951" xr:uid="{00000000-0005-0000-0000-0000504A0000}"/>
    <cellStyle name="Porcentagem 7 21" xfId="16952" xr:uid="{00000000-0005-0000-0000-0000514A0000}"/>
    <cellStyle name="Porcentagem 7 22" xfId="16953" xr:uid="{00000000-0005-0000-0000-0000524A0000}"/>
    <cellStyle name="Porcentagem 7 23" xfId="16954" xr:uid="{00000000-0005-0000-0000-0000534A0000}"/>
    <cellStyle name="Porcentagem 7 24" xfId="16955" xr:uid="{00000000-0005-0000-0000-0000544A0000}"/>
    <cellStyle name="Porcentagem 7 3" xfId="616" xr:uid="{00000000-0005-0000-0000-0000554A0000}"/>
    <cellStyle name="Porcentagem 7 3 10" xfId="16957" xr:uid="{00000000-0005-0000-0000-0000564A0000}"/>
    <cellStyle name="Porcentagem 7 3 11" xfId="16958" xr:uid="{00000000-0005-0000-0000-0000574A0000}"/>
    <cellStyle name="Porcentagem 7 3 12" xfId="16956" xr:uid="{00000000-0005-0000-0000-0000584A0000}"/>
    <cellStyle name="Porcentagem 7 3 2" xfId="617" xr:uid="{00000000-0005-0000-0000-0000594A0000}"/>
    <cellStyle name="Porcentagem 7 3 3" xfId="16959" xr:uid="{00000000-0005-0000-0000-00005A4A0000}"/>
    <cellStyle name="Porcentagem 7 3 4" xfId="16960" xr:uid="{00000000-0005-0000-0000-00005B4A0000}"/>
    <cellStyle name="Porcentagem 7 3 5" xfId="16961" xr:uid="{00000000-0005-0000-0000-00005C4A0000}"/>
    <cellStyle name="Porcentagem 7 3 6" xfId="16962" xr:uid="{00000000-0005-0000-0000-00005D4A0000}"/>
    <cellStyle name="Porcentagem 7 3 7" xfId="16963" xr:uid="{00000000-0005-0000-0000-00005E4A0000}"/>
    <cellStyle name="Porcentagem 7 3 8" xfId="16964" xr:uid="{00000000-0005-0000-0000-00005F4A0000}"/>
    <cellStyle name="Porcentagem 7 3 9" xfId="16965" xr:uid="{00000000-0005-0000-0000-0000604A0000}"/>
    <cellStyle name="Porcentagem 7 4" xfId="618" xr:uid="{00000000-0005-0000-0000-0000614A0000}"/>
    <cellStyle name="Porcentagem 7 4 10" xfId="16967" xr:uid="{00000000-0005-0000-0000-0000624A0000}"/>
    <cellStyle name="Porcentagem 7 4 11" xfId="16966" xr:uid="{00000000-0005-0000-0000-0000634A0000}"/>
    <cellStyle name="Porcentagem 7 4 2" xfId="16968" xr:uid="{00000000-0005-0000-0000-0000644A0000}"/>
    <cellStyle name="Porcentagem 7 4 3" xfId="16969" xr:uid="{00000000-0005-0000-0000-0000654A0000}"/>
    <cellStyle name="Porcentagem 7 4 4" xfId="16970" xr:uid="{00000000-0005-0000-0000-0000664A0000}"/>
    <cellStyle name="Porcentagem 7 4 5" xfId="16971" xr:uid="{00000000-0005-0000-0000-0000674A0000}"/>
    <cellStyle name="Porcentagem 7 4 6" xfId="16972" xr:uid="{00000000-0005-0000-0000-0000684A0000}"/>
    <cellStyle name="Porcentagem 7 4 7" xfId="16973" xr:uid="{00000000-0005-0000-0000-0000694A0000}"/>
    <cellStyle name="Porcentagem 7 4 8" xfId="16974" xr:uid="{00000000-0005-0000-0000-00006A4A0000}"/>
    <cellStyle name="Porcentagem 7 4 9" xfId="16975" xr:uid="{00000000-0005-0000-0000-00006B4A0000}"/>
    <cellStyle name="Porcentagem 7 5" xfId="619" xr:uid="{00000000-0005-0000-0000-00006C4A0000}"/>
    <cellStyle name="Porcentagem 7 5 2" xfId="16976" xr:uid="{00000000-0005-0000-0000-00006D4A0000}"/>
    <cellStyle name="Porcentagem 7 5 3" xfId="16977" xr:uid="{00000000-0005-0000-0000-00006E4A0000}"/>
    <cellStyle name="Porcentagem 7 5 4" xfId="16978" xr:uid="{00000000-0005-0000-0000-00006F4A0000}"/>
    <cellStyle name="Porcentagem 7 6" xfId="16979" xr:uid="{00000000-0005-0000-0000-0000704A0000}"/>
    <cellStyle name="Porcentagem 7 6 2" xfId="16980" xr:uid="{00000000-0005-0000-0000-0000714A0000}"/>
    <cellStyle name="Porcentagem 7 6 3" xfId="16981" xr:uid="{00000000-0005-0000-0000-0000724A0000}"/>
    <cellStyle name="Porcentagem 7 6 4" xfId="16982" xr:uid="{00000000-0005-0000-0000-0000734A0000}"/>
    <cellStyle name="Porcentagem 7 7" xfId="16983" xr:uid="{00000000-0005-0000-0000-0000744A0000}"/>
    <cellStyle name="Porcentagem 7 7 2" xfId="16984" xr:uid="{00000000-0005-0000-0000-0000754A0000}"/>
    <cellStyle name="Porcentagem 7 7 3" xfId="16985" xr:uid="{00000000-0005-0000-0000-0000764A0000}"/>
    <cellStyle name="Porcentagem 7 7 4" xfId="16986" xr:uid="{00000000-0005-0000-0000-0000774A0000}"/>
    <cellStyle name="Porcentagem 7 8" xfId="16987" xr:uid="{00000000-0005-0000-0000-0000784A0000}"/>
    <cellStyle name="Porcentagem 7 8 2" xfId="16988" xr:uid="{00000000-0005-0000-0000-0000794A0000}"/>
    <cellStyle name="Porcentagem 7 8 3" xfId="16989" xr:uid="{00000000-0005-0000-0000-00007A4A0000}"/>
    <cellStyle name="Porcentagem 7 8 4" xfId="16990" xr:uid="{00000000-0005-0000-0000-00007B4A0000}"/>
    <cellStyle name="Porcentagem 7 9" xfId="16991" xr:uid="{00000000-0005-0000-0000-00007C4A0000}"/>
    <cellStyle name="Porcentagem 7 9 2" xfId="16992" xr:uid="{00000000-0005-0000-0000-00007D4A0000}"/>
    <cellStyle name="Porcentagem 7 9 2 2" xfId="16993" xr:uid="{00000000-0005-0000-0000-00007E4A0000}"/>
    <cellStyle name="Porcentagem 7 9 2 3" xfId="16994" xr:uid="{00000000-0005-0000-0000-00007F4A0000}"/>
    <cellStyle name="Porcentagem 7 9 2 4" xfId="16995" xr:uid="{00000000-0005-0000-0000-0000804A0000}"/>
    <cellStyle name="Porcentagem 7 9 3" xfId="16996" xr:uid="{00000000-0005-0000-0000-0000814A0000}"/>
    <cellStyle name="Porcentagem 7 9 3 2" xfId="16997" xr:uid="{00000000-0005-0000-0000-0000824A0000}"/>
    <cellStyle name="Porcentagem 7 9 3 3" xfId="16998" xr:uid="{00000000-0005-0000-0000-0000834A0000}"/>
    <cellStyle name="Porcentagem 7 9 3 4" xfId="16999" xr:uid="{00000000-0005-0000-0000-0000844A0000}"/>
    <cellStyle name="Porcentagem 7 9 4" xfId="17000" xr:uid="{00000000-0005-0000-0000-0000854A0000}"/>
    <cellStyle name="Porcentagem 8" xfId="620" xr:uid="{00000000-0005-0000-0000-0000864A0000}"/>
    <cellStyle name="Porcentagem 8 10" xfId="17001" xr:uid="{00000000-0005-0000-0000-0000874A0000}"/>
    <cellStyle name="Porcentagem 8 10 10" xfId="17002" xr:uid="{00000000-0005-0000-0000-0000884A0000}"/>
    <cellStyle name="Porcentagem 8 10 11" xfId="17003" xr:uid="{00000000-0005-0000-0000-0000894A0000}"/>
    <cellStyle name="Porcentagem 8 10 12" xfId="17004" xr:uid="{00000000-0005-0000-0000-00008A4A0000}"/>
    <cellStyle name="Porcentagem 8 10 13" xfId="17005" xr:uid="{00000000-0005-0000-0000-00008B4A0000}"/>
    <cellStyle name="Porcentagem 8 10 14" xfId="17006" xr:uid="{00000000-0005-0000-0000-00008C4A0000}"/>
    <cellStyle name="Porcentagem 8 10 15" xfId="17007" xr:uid="{00000000-0005-0000-0000-00008D4A0000}"/>
    <cellStyle name="Porcentagem 8 10 16" xfId="17008" xr:uid="{00000000-0005-0000-0000-00008E4A0000}"/>
    <cellStyle name="Porcentagem 8 10 17" xfId="17009" xr:uid="{00000000-0005-0000-0000-00008F4A0000}"/>
    <cellStyle name="Porcentagem 8 10 18" xfId="17010" xr:uid="{00000000-0005-0000-0000-0000904A0000}"/>
    <cellStyle name="Porcentagem 8 10 19" xfId="17011" xr:uid="{00000000-0005-0000-0000-0000914A0000}"/>
    <cellStyle name="Porcentagem 8 10 2" xfId="17012" xr:uid="{00000000-0005-0000-0000-0000924A0000}"/>
    <cellStyle name="Porcentagem 8 10 2 10" xfId="17013" xr:uid="{00000000-0005-0000-0000-0000934A0000}"/>
    <cellStyle name="Porcentagem 8 10 2 10 2" xfId="17014" xr:uid="{00000000-0005-0000-0000-0000944A0000}"/>
    <cellStyle name="Porcentagem 8 10 2 10 3" xfId="17015" xr:uid="{00000000-0005-0000-0000-0000954A0000}"/>
    <cellStyle name="Porcentagem 8 10 2 10 4" xfId="17016" xr:uid="{00000000-0005-0000-0000-0000964A0000}"/>
    <cellStyle name="Porcentagem 8 10 2 11" xfId="17017" xr:uid="{00000000-0005-0000-0000-0000974A0000}"/>
    <cellStyle name="Porcentagem 8 10 2 11 2" xfId="17018" xr:uid="{00000000-0005-0000-0000-0000984A0000}"/>
    <cellStyle name="Porcentagem 8 10 2 11 3" xfId="17019" xr:uid="{00000000-0005-0000-0000-0000994A0000}"/>
    <cellStyle name="Porcentagem 8 10 2 11 4" xfId="17020" xr:uid="{00000000-0005-0000-0000-00009A4A0000}"/>
    <cellStyle name="Porcentagem 8 10 2 12" xfId="17021" xr:uid="{00000000-0005-0000-0000-00009B4A0000}"/>
    <cellStyle name="Porcentagem 8 10 2 12 2" xfId="17022" xr:uid="{00000000-0005-0000-0000-00009C4A0000}"/>
    <cellStyle name="Porcentagem 8 10 2 12 3" xfId="17023" xr:uid="{00000000-0005-0000-0000-00009D4A0000}"/>
    <cellStyle name="Porcentagem 8 10 2 12 4" xfId="17024" xr:uid="{00000000-0005-0000-0000-00009E4A0000}"/>
    <cellStyle name="Porcentagem 8 10 2 13" xfId="17025" xr:uid="{00000000-0005-0000-0000-00009F4A0000}"/>
    <cellStyle name="Porcentagem 8 10 2 13 2" xfId="17026" xr:uid="{00000000-0005-0000-0000-0000A04A0000}"/>
    <cellStyle name="Porcentagem 8 10 2 13 3" xfId="17027" xr:uid="{00000000-0005-0000-0000-0000A14A0000}"/>
    <cellStyle name="Porcentagem 8 10 2 13 4" xfId="17028" xr:uid="{00000000-0005-0000-0000-0000A24A0000}"/>
    <cellStyle name="Porcentagem 8 10 2 14" xfId="17029" xr:uid="{00000000-0005-0000-0000-0000A34A0000}"/>
    <cellStyle name="Porcentagem 8 10 2 14 2" xfId="17030" xr:uid="{00000000-0005-0000-0000-0000A44A0000}"/>
    <cellStyle name="Porcentagem 8 10 2 14 3" xfId="17031" xr:uid="{00000000-0005-0000-0000-0000A54A0000}"/>
    <cellStyle name="Porcentagem 8 10 2 14 4" xfId="17032" xr:uid="{00000000-0005-0000-0000-0000A64A0000}"/>
    <cellStyle name="Porcentagem 8 10 2 15" xfId="17033" xr:uid="{00000000-0005-0000-0000-0000A74A0000}"/>
    <cellStyle name="Porcentagem 8 10 2 15 2" xfId="17034" xr:uid="{00000000-0005-0000-0000-0000A84A0000}"/>
    <cellStyle name="Porcentagem 8 10 2 15 3" xfId="17035" xr:uid="{00000000-0005-0000-0000-0000A94A0000}"/>
    <cellStyle name="Porcentagem 8 10 2 15 4" xfId="17036" xr:uid="{00000000-0005-0000-0000-0000AA4A0000}"/>
    <cellStyle name="Porcentagem 8 10 2 16" xfId="17037" xr:uid="{00000000-0005-0000-0000-0000AB4A0000}"/>
    <cellStyle name="Porcentagem 8 10 2 17" xfId="17038" xr:uid="{00000000-0005-0000-0000-0000AC4A0000}"/>
    <cellStyle name="Porcentagem 8 10 2 18" xfId="17039" xr:uid="{00000000-0005-0000-0000-0000AD4A0000}"/>
    <cellStyle name="Porcentagem 8 10 2 19" xfId="17040" xr:uid="{00000000-0005-0000-0000-0000AE4A0000}"/>
    <cellStyle name="Porcentagem 8 10 2 2" xfId="17041" xr:uid="{00000000-0005-0000-0000-0000AF4A0000}"/>
    <cellStyle name="Porcentagem 8 10 2 2 2" xfId="17042" xr:uid="{00000000-0005-0000-0000-0000B04A0000}"/>
    <cellStyle name="Porcentagem 8 10 2 2 3" xfId="17043" xr:uid="{00000000-0005-0000-0000-0000B14A0000}"/>
    <cellStyle name="Porcentagem 8 10 2 2 4" xfId="17044" xr:uid="{00000000-0005-0000-0000-0000B24A0000}"/>
    <cellStyle name="Porcentagem 8 10 2 20" xfId="17045" xr:uid="{00000000-0005-0000-0000-0000B34A0000}"/>
    <cellStyle name="Porcentagem 8 10 2 21" xfId="17046" xr:uid="{00000000-0005-0000-0000-0000B44A0000}"/>
    <cellStyle name="Porcentagem 8 10 2 3" xfId="17047" xr:uid="{00000000-0005-0000-0000-0000B54A0000}"/>
    <cellStyle name="Porcentagem 8 10 2 3 2" xfId="17048" xr:uid="{00000000-0005-0000-0000-0000B64A0000}"/>
    <cellStyle name="Porcentagem 8 10 2 3 3" xfId="17049" xr:uid="{00000000-0005-0000-0000-0000B74A0000}"/>
    <cellStyle name="Porcentagem 8 10 2 3 4" xfId="17050" xr:uid="{00000000-0005-0000-0000-0000B84A0000}"/>
    <cellStyle name="Porcentagem 8 10 2 4" xfId="17051" xr:uid="{00000000-0005-0000-0000-0000B94A0000}"/>
    <cellStyle name="Porcentagem 8 10 2 4 2" xfId="17052" xr:uid="{00000000-0005-0000-0000-0000BA4A0000}"/>
    <cellStyle name="Porcentagem 8 10 2 4 3" xfId="17053" xr:uid="{00000000-0005-0000-0000-0000BB4A0000}"/>
    <cellStyle name="Porcentagem 8 10 2 4 4" xfId="17054" xr:uid="{00000000-0005-0000-0000-0000BC4A0000}"/>
    <cellStyle name="Porcentagem 8 10 2 5" xfId="17055" xr:uid="{00000000-0005-0000-0000-0000BD4A0000}"/>
    <cellStyle name="Porcentagem 8 10 2 5 2" xfId="17056" xr:uid="{00000000-0005-0000-0000-0000BE4A0000}"/>
    <cellStyle name="Porcentagem 8 10 2 5 3" xfId="17057" xr:uid="{00000000-0005-0000-0000-0000BF4A0000}"/>
    <cellStyle name="Porcentagem 8 10 2 5 4" xfId="17058" xr:uid="{00000000-0005-0000-0000-0000C04A0000}"/>
    <cellStyle name="Porcentagem 8 10 2 6" xfId="17059" xr:uid="{00000000-0005-0000-0000-0000C14A0000}"/>
    <cellStyle name="Porcentagem 8 10 2 6 2" xfId="17060" xr:uid="{00000000-0005-0000-0000-0000C24A0000}"/>
    <cellStyle name="Porcentagem 8 10 2 6 3" xfId="17061" xr:uid="{00000000-0005-0000-0000-0000C34A0000}"/>
    <cellStyle name="Porcentagem 8 10 2 6 4" xfId="17062" xr:uid="{00000000-0005-0000-0000-0000C44A0000}"/>
    <cellStyle name="Porcentagem 8 10 2 7" xfId="17063" xr:uid="{00000000-0005-0000-0000-0000C54A0000}"/>
    <cellStyle name="Porcentagem 8 10 2 7 2" xfId="17064" xr:uid="{00000000-0005-0000-0000-0000C64A0000}"/>
    <cellStyle name="Porcentagem 8 10 2 7 3" xfId="17065" xr:uid="{00000000-0005-0000-0000-0000C74A0000}"/>
    <cellStyle name="Porcentagem 8 10 2 7 4" xfId="17066" xr:uid="{00000000-0005-0000-0000-0000C84A0000}"/>
    <cellStyle name="Porcentagem 8 10 2 8" xfId="17067" xr:uid="{00000000-0005-0000-0000-0000C94A0000}"/>
    <cellStyle name="Porcentagem 8 10 2 8 2" xfId="17068" xr:uid="{00000000-0005-0000-0000-0000CA4A0000}"/>
    <cellStyle name="Porcentagem 8 10 2 8 3" xfId="17069" xr:uid="{00000000-0005-0000-0000-0000CB4A0000}"/>
    <cellStyle name="Porcentagem 8 10 2 8 4" xfId="17070" xr:uid="{00000000-0005-0000-0000-0000CC4A0000}"/>
    <cellStyle name="Porcentagem 8 10 2 9" xfId="17071" xr:uid="{00000000-0005-0000-0000-0000CD4A0000}"/>
    <cellStyle name="Porcentagem 8 10 2 9 2" xfId="17072" xr:uid="{00000000-0005-0000-0000-0000CE4A0000}"/>
    <cellStyle name="Porcentagem 8 10 2 9 3" xfId="17073" xr:uid="{00000000-0005-0000-0000-0000CF4A0000}"/>
    <cellStyle name="Porcentagem 8 10 2 9 4" xfId="17074" xr:uid="{00000000-0005-0000-0000-0000D04A0000}"/>
    <cellStyle name="Porcentagem 8 10 20" xfId="17075" xr:uid="{00000000-0005-0000-0000-0000D14A0000}"/>
    <cellStyle name="Porcentagem 8 10 21" xfId="17076" xr:uid="{00000000-0005-0000-0000-0000D24A0000}"/>
    <cellStyle name="Porcentagem 8 10 22" xfId="17077" xr:uid="{00000000-0005-0000-0000-0000D34A0000}"/>
    <cellStyle name="Porcentagem 8 10 23" xfId="17078" xr:uid="{00000000-0005-0000-0000-0000D44A0000}"/>
    <cellStyle name="Porcentagem 8 10 24" xfId="17079" xr:uid="{00000000-0005-0000-0000-0000D54A0000}"/>
    <cellStyle name="Porcentagem 8 10 25" xfId="17080" xr:uid="{00000000-0005-0000-0000-0000D64A0000}"/>
    <cellStyle name="Porcentagem 8 10 26" xfId="17081" xr:uid="{00000000-0005-0000-0000-0000D74A0000}"/>
    <cellStyle name="Porcentagem 8 10 26 2" xfId="17082" xr:uid="{00000000-0005-0000-0000-0000D84A0000}"/>
    <cellStyle name="Porcentagem 8 10 26 3" xfId="17083" xr:uid="{00000000-0005-0000-0000-0000D94A0000}"/>
    <cellStyle name="Porcentagem 8 10 26 4" xfId="17084" xr:uid="{00000000-0005-0000-0000-0000DA4A0000}"/>
    <cellStyle name="Porcentagem 8 10 27" xfId="17085" xr:uid="{00000000-0005-0000-0000-0000DB4A0000}"/>
    <cellStyle name="Porcentagem 8 10 28" xfId="17086" xr:uid="{00000000-0005-0000-0000-0000DC4A0000}"/>
    <cellStyle name="Porcentagem 8 10 29" xfId="17087" xr:uid="{00000000-0005-0000-0000-0000DD4A0000}"/>
    <cellStyle name="Porcentagem 8 10 3" xfId="17088" xr:uid="{00000000-0005-0000-0000-0000DE4A0000}"/>
    <cellStyle name="Porcentagem 8 10 3 2" xfId="17089" xr:uid="{00000000-0005-0000-0000-0000DF4A0000}"/>
    <cellStyle name="Porcentagem 8 10 3 3" xfId="17090" xr:uid="{00000000-0005-0000-0000-0000E04A0000}"/>
    <cellStyle name="Porcentagem 8 10 3 4" xfId="17091" xr:uid="{00000000-0005-0000-0000-0000E14A0000}"/>
    <cellStyle name="Porcentagem 8 10 30" xfId="17092" xr:uid="{00000000-0005-0000-0000-0000E24A0000}"/>
    <cellStyle name="Porcentagem 8 10 31" xfId="17093" xr:uid="{00000000-0005-0000-0000-0000E34A0000}"/>
    <cellStyle name="Porcentagem 8 10 32" xfId="17094" xr:uid="{00000000-0005-0000-0000-0000E44A0000}"/>
    <cellStyle name="Porcentagem 8 10 33" xfId="17095" xr:uid="{00000000-0005-0000-0000-0000E54A0000}"/>
    <cellStyle name="Porcentagem 8 10 34" xfId="17096" xr:uid="{00000000-0005-0000-0000-0000E64A0000}"/>
    <cellStyle name="Porcentagem 8 10 35" xfId="17097" xr:uid="{00000000-0005-0000-0000-0000E74A0000}"/>
    <cellStyle name="Porcentagem 8 10 36" xfId="17098" xr:uid="{00000000-0005-0000-0000-0000E84A0000}"/>
    <cellStyle name="Porcentagem 8 10 4" xfId="17099" xr:uid="{00000000-0005-0000-0000-0000E94A0000}"/>
    <cellStyle name="Porcentagem 8 10 4 2" xfId="17100" xr:uid="{00000000-0005-0000-0000-0000EA4A0000}"/>
    <cellStyle name="Porcentagem 8 10 4 3" xfId="17101" xr:uid="{00000000-0005-0000-0000-0000EB4A0000}"/>
    <cellStyle name="Porcentagem 8 10 4 4" xfId="17102" xr:uid="{00000000-0005-0000-0000-0000EC4A0000}"/>
    <cellStyle name="Porcentagem 8 10 5" xfId="17103" xr:uid="{00000000-0005-0000-0000-0000ED4A0000}"/>
    <cellStyle name="Porcentagem 8 10 6" xfId="17104" xr:uid="{00000000-0005-0000-0000-0000EE4A0000}"/>
    <cellStyle name="Porcentagem 8 10 7" xfId="17105" xr:uid="{00000000-0005-0000-0000-0000EF4A0000}"/>
    <cellStyle name="Porcentagem 8 10 8" xfId="17106" xr:uid="{00000000-0005-0000-0000-0000F04A0000}"/>
    <cellStyle name="Porcentagem 8 10 9" xfId="17107" xr:uid="{00000000-0005-0000-0000-0000F14A0000}"/>
    <cellStyle name="Porcentagem 8 11" xfId="17108" xr:uid="{00000000-0005-0000-0000-0000F24A0000}"/>
    <cellStyle name="Porcentagem 8 12" xfId="17109" xr:uid="{00000000-0005-0000-0000-0000F34A0000}"/>
    <cellStyle name="Porcentagem 8 13" xfId="17110" xr:uid="{00000000-0005-0000-0000-0000F44A0000}"/>
    <cellStyle name="Porcentagem 8 14" xfId="17111" xr:uid="{00000000-0005-0000-0000-0000F54A0000}"/>
    <cellStyle name="Porcentagem 8 15" xfId="17112" xr:uid="{00000000-0005-0000-0000-0000F64A0000}"/>
    <cellStyle name="Porcentagem 8 16" xfId="17113" xr:uid="{00000000-0005-0000-0000-0000F74A0000}"/>
    <cellStyle name="Porcentagem 8 17" xfId="17114" xr:uid="{00000000-0005-0000-0000-0000F84A0000}"/>
    <cellStyle name="Porcentagem 8 18" xfId="17115" xr:uid="{00000000-0005-0000-0000-0000F94A0000}"/>
    <cellStyle name="Porcentagem 8 19" xfId="17116" xr:uid="{00000000-0005-0000-0000-0000FA4A0000}"/>
    <cellStyle name="Porcentagem 8 2" xfId="621" xr:uid="{00000000-0005-0000-0000-0000FB4A0000}"/>
    <cellStyle name="Porcentagem 8 2 10" xfId="17117" xr:uid="{00000000-0005-0000-0000-0000FC4A0000}"/>
    <cellStyle name="Porcentagem 8 2 11" xfId="17118" xr:uid="{00000000-0005-0000-0000-0000FD4A0000}"/>
    <cellStyle name="Porcentagem 8 2 12" xfId="17119" xr:uid="{00000000-0005-0000-0000-0000FE4A0000}"/>
    <cellStyle name="Porcentagem 8 2 13" xfId="17120" xr:uid="{00000000-0005-0000-0000-0000FF4A0000}"/>
    <cellStyle name="Porcentagem 8 2 2" xfId="622" xr:uid="{00000000-0005-0000-0000-0000004B0000}"/>
    <cellStyle name="Porcentagem 8 2 2 10" xfId="17121" xr:uid="{00000000-0005-0000-0000-0000014B0000}"/>
    <cellStyle name="Porcentagem 8 2 2 11" xfId="17122" xr:uid="{00000000-0005-0000-0000-0000024B0000}"/>
    <cellStyle name="Porcentagem 8 2 2 12" xfId="17123" xr:uid="{00000000-0005-0000-0000-0000034B0000}"/>
    <cellStyle name="Porcentagem 8 2 2 13" xfId="17124" xr:uid="{00000000-0005-0000-0000-0000044B0000}"/>
    <cellStyle name="Porcentagem 8 2 2 14" xfId="17125" xr:uid="{00000000-0005-0000-0000-0000054B0000}"/>
    <cellStyle name="Porcentagem 8 2 2 15" xfId="17126" xr:uid="{00000000-0005-0000-0000-0000064B0000}"/>
    <cellStyle name="Porcentagem 8 2 2 16" xfId="17127" xr:uid="{00000000-0005-0000-0000-0000074B0000}"/>
    <cellStyle name="Porcentagem 8 2 2 17" xfId="17128" xr:uid="{00000000-0005-0000-0000-0000084B0000}"/>
    <cellStyle name="Porcentagem 8 2 2 2" xfId="17129" xr:uid="{00000000-0005-0000-0000-0000094B0000}"/>
    <cellStyle name="Porcentagem 8 2 2 2 10" xfId="17130" xr:uid="{00000000-0005-0000-0000-00000A4B0000}"/>
    <cellStyle name="Porcentagem 8 2 2 2 11" xfId="17131" xr:uid="{00000000-0005-0000-0000-00000B4B0000}"/>
    <cellStyle name="Porcentagem 8 2 2 2 12" xfId="17132" xr:uid="{00000000-0005-0000-0000-00000C4B0000}"/>
    <cellStyle name="Porcentagem 8 2 2 2 13" xfId="17133" xr:uid="{00000000-0005-0000-0000-00000D4B0000}"/>
    <cellStyle name="Porcentagem 8 2 2 2 14" xfId="17134" xr:uid="{00000000-0005-0000-0000-00000E4B0000}"/>
    <cellStyle name="Porcentagem 8 2 2 2 2" xfId="17135" xr:uid="{00000000-0005-0000-0000-00000F4B0000}"/>
    <cellStyle name="Porcentagem 8 2 2 2 2 10" xfId="17136" xr:uid="{00000000-0005-0000-0000-0000104B0000}"/>
    <cellStyle name="Porcentagem 8 2 2 2 2 2" xfId="17137" xr:uid="{00000000-0005-0000-0000-0000114B0000}"/>
    <cellStyle name="Porcentagem 8 2 2 2 2 3" xfId="17138" xr:uid="{00000000-0005-0000-0000-0000124B0000}"/>
    <cellStyle name="Porcentagem 8 2 2 2 2 4" xfId="17139" xr:uid="{00000000-0005-0000-0000-0000134B0000}"/>
    <cellStyle name="Porcentagem 8 2 2 2 2 5" xfId="17140" xr:uid="{00000000-0005-0000-0000-0000144B0000}"/>
    <cellStyle name="Porcentagem 8 2 2 2 2 6" xfId="17141" xr:uid="{00000000-0005-0000-0000-0000154B0000}"/>
    <cellStyle name="Porcentagem 8 2 2 2 2 7" xfId="17142" xr:uid="{00000000-0005-0000-0000-0000164B0000}"/>
    <cellStyle name="Porcentagem 8 2 2 2 2 8" xfId="17143" xr:uid="{00000000-0005-0000-0000-0000174B0000}"/>
    <cellStyle name="Porcentagem 8 2 2 2 2 9" xfId="17144" xr:uid="{00000000-0005-0000-0000-0000184B0000}"/>
    <cellStyle name="Porcentagem 8 2 2 2 3" xfId="17145" xr:uid="{00000000-0005-0000-0000-0000194B0000}"/>
    <cellStyle name="Porcentagem 8 2 2 2 3 10" xfId="17146" xr:uid="{00000000-0005-0000-0000-00001A4B0000}"/>
    <cellStyle name="Porcentagem 8 2 2 2 3 2" xfId="17147" xr:uid="{00000000-0005-0000-0000-00001B4B0000}"/>
    <cellStyle name="Porcentagem 8 2 2 2 3 3" xfId="17148" xr:uid="{00000000-0005-0000-0000-00001C4B0000}"/>
    <cellStyle name="Porcentagem 8 2 2 2 3 4" xfId="17149" xr:uid="{00000000-0005-0000-0000-00001D4B0000}"/>
    <cellStyle name="Porcentagem 8 2 2 2 3 5" xfId="17150" xr:uid="{00000000-0005-0000-0000-00001E4B0000}"/>
    <cellStyle name="Porcentagem 8 2 2 2 3 6" xfId="17151" xr:uid="{00000000-0005-0000-0000-00001F4B0000}"/>
    <cellStyle name="Porcentagem 8 2 2 2 3 7" xfId="17152" xr:uid="{00000000-0005-0000-0000-0000204B0000}"/>
    <cellStyle name="Porcentagem 8 2 2 2 3 8" xfId="17153" xr:uid="{00000000-0005-0000-0000-0000214B0000}"/>
    <cellStyle name="Porcentagem 8 2 2 2 3 9" xfId="17154" xr:uid="{00000000-0005-0000-0000-0000224B0000}"/>
    <cellStyle name="Porcentagem 8 2 2 2 4" xfId="17155" xr:uid="{00000000-0005-0000-0000-0000234B0000}"/>
    <cellStyle name="Porcentagem 8 2 2 2 5" xfId="17156" xr:uid="{00000000-0005-0000-0000-0000244B0000}"/>
    <cellStyle name="Porcentagem 8 2 2 2 6" xfId="17157" xr:uid="{00000000-0005-0000-0000-0000254B0000}"/>
    <cellStyle name="Porcentagem 8 2 2 2 7" xfId="17158" xr:uid="{00000000-0005-0000-0000-0000264B0000}"/>
    <cellStyle name="Porcentagem 8 2 2 2 8" xfId="17159" xr:uid="{00000000-0005-0000-0000-0000274B0000}"/>
    <cellStyle name="Porcentagem 8 2 2 2 9" xfId="17160" xr:uid="{00000000-0005-0000-0000-0000284B0000}"/>
    <cellStyle name="Porcentagem 8 2 2 3" xfId="17161" xr:uid="{00000000-0005-0000-0000-0000294B0000}"/>
    <cellStyle name="Porcentagem 8 2 2 3 10" xfId="17162" xr:uid="{00000000-0005-0000-0000-00002A4B0000}"/>
    <cellStyle name="Porcentagem 8 2 2 3 2" xfId="17163" xr:uid="{00000000-0005-0000-0000-00002B4B0000}"/>
    <cellStyle name="Porcentagem 8 2 2 3 3" xfId="17164" xr:uid="{00000000-0005-0000-0000-00002C4B0000}"/>
    <cellStyle name="Porcentagem 8 2 2 3 4" xfId="17165" xr:uid="{00000000-0005-0000-0000-00002D4B0000}"/>
    <cellStyle name="Porcentagem 8 2 2 3 5" xfId="17166" xr:uid="{00000000-0005-0000-0000-00002E4B0000}"/>
    <cellStyle name="Porcentagem 8 2 2 3 6" xfId="17167" xr:uid="{00000000-0005-0000-0000-00002F4B0000}"/>
    <cellStyle name="Porcentagem 8 2 2 3 7" xfId="17168" xr:uid="{00000000-0005-0000-0000-0000304B0000}"/>
    <cellStyle name="Porcentagem 8 2 2 3 8" xfId="17169" xr:uid="{00000000-0005-0000-0000-0000314B0000}"/>
    <cellStyle name="Porcentagem 8 2 2 3 9" xfId="17170" xr:uid="{00000000-0005-0000-0000-0000324B0000}"/>
    <cellStyle name="Porcentagem 8 2 2 4" xfId="17171" xr:uid="{00000000-0005-0000-0000-0000334B0000}"/>
    <cellStyle name="Porcentagem 8 2 2 4 10" xfId="17172" xr:uid="{00000000-0005-0000-0000-0000344B0000}"/>
    <cellStyle name="Porcentagem 8 2 2 4 2" xfId="17173" xr:uid="{00000000-0005-0000-0000-0000354B0000}"/>
    <cellStyle name="Porcentagem 8 2 2 4 3" xfId="17174" xr:uid="{00000000-0005-0000-0000-0000364B0000}"/>
    <cellStyle name="Porcentagem 8 2 2 4 4" xfId="17175" xr:uid="{00000000-0005-0000-0000-0000374B0000}"/>
    <cellStyle name="Porcentagem 8 2 2 4 5" xfId="17176" xr:uid="{00000000-0005-0000-0000-0000384B0000}"/>
    <cellStyle name="Porcentagem 8 2 2 4 6" xfId="17177" xr:uid="{00000000-0005-0000-0000-0000394B0000}"/>
    <cellStyle name="Porcentagem 8 2 2 4 7" xfId="17178" xr:uid="{00000000-0005-0000-0000-00003A4B0000}"/>
    <cellStyle name="Porcentagem 8 2 2 4 8" xfId="17179" xr:uid="{00000000-0005-0000-0000-00003B4B0000}"/>
    <cellStyle name="Porcentagem 8 2 2 4 9" xfId="17180" xr:uid="{00000000-0005-0000-0000-00003C4B0000}"/>
    <cellStyle name="Porcentagem 8 2 2 5" xfId="17181" xr:uid="{00000000-0005-0000-0000-00003D4B0000}"/>
    <cellStyle name="Porcentagem 8 2 2 5 2" xfId="17182" xr:uid="{00000000-0005-0000-0000-00003E4B0000}"/>
    <cellStyle name="Porcentagem 8 2 2 5 3" xfId="17183" xr:uid="{00000000-0005-0000-0000-00003F4B0000}"/>
    <cellStyle name="Porcentagem 8 2 2 5 4" xfId="17184" xr:uid="{00000000-0005-0000-0000-0000404B0000}"/>
    <cellStyle name="Porcentagem 8 2 2 6" xfId="17185" xr:uid="{00000000-0005-0000-0000-0000414B0000}"/>
    <cellStyle name="Porcentagem 8 2 2 6 2" xfId="17186" xr:uid="{00000000-0005-0000-0000-0000424B0000}"/>
    <cellStyle name="Porcentagem 8 2 2 6 3" xfId="17187" xr:uid="{00000000-0005-0000-0000-0000434B0000}"/>
    <cellStyle name="Porcentagem 8 2 2 6 4" xfId="17188" xr:uid="{00000000-0005-0000-0000-0000444B0000}"/>
    <cellStyle name="Porcentagem 8 2 2 7" xfId="17189" xr:uid="{00000000-0005-0000-0000-0000454B0000}"/>
    <cellStyle name="Porcentagem 8 2 2 7 2" xfId="17190" xr:uid="{00000000-0005-0000-0000-0000464B0000}"/>
    <cellStyle name="Porcentagem 8 2 2 7 3" xfId="17191" xr:uid="{00000000-0005-0000-0000-0000474B0000}"/>
    <cellStyle name="Porcentagem 8 2 2 7 4" xfId="17192" xr:uid="{00000000-0005-0000-0000-0000484B0000}"/>
    <cellStyle name="Porcentagem 8 2 2 8" xfId="17193" xr:uid="{00000000-0005-0000-0000-0000494B0000}"/>
    <cellStyle name="Porcentagem 8 2 2 8 2" xfId="17194" xr:uid="{00000000-0005-0000-0000-00004A4B0000}"/>
    <cellStyle name="Porcentagem 8 2 2 8 3" xfId="17195" xr:uid="{00000000-0005-0000-0000-00004B4B0000}"/>
    <cellStyle name="Porcentagem 8 2 2 8 4" xfId="17196" xr:uid="{00000000-0005-0000-0000-00004C4B0000}"/>
    <cellStyle name="Porcentagem 8 2 2 9" xfId="17197" xr:uid="{00000000-0005-0000-0000-00004D4B0000}"/>
    <cellStyle name="Porcentagem 8 2 2 9 2" xfId="17198" xr:uid="{00000000-0005-0000-0000-00004E4B0000}"/>
    <cellStyle name="Porcentagem 8 2 2 9 3" xfId="17199" xr:uid="{00000000-0005-0000-0000-00004F4B0000}"/>
    <cellStyle name="Porcentagem 8 2 2 9 4" xfId="17200" xr:uid="{00000000-0005-0000-0000-0000504B0000}"/>
    <cellStyle name="Porcentagem 8 2 3" xfId="17201" xr:uid="{00000000-0005-0000-0000-0000514B0000}"/>
    <cellStyle name="Porcentagem 8 2 3 10" xfId="17202" xr:uid="{00000000-0005-0000-0000-0000524B0000}"/>
    <cellStyle name="Porcentagem 8 2 3 2" xfId="17203" xr:uid="{00000000-0005-0000-0000-0000534B0000}"/>
    <cellStyle name="Porcentagem 8 2 3 3" xfId="17204" xr:uid="{00000000-0005-0000-0000-0000544B0000}"/>
    <cellStyle name="Porcentagem 8 2 3 4" xfId="17205" xr:uid="{00000000-0005-0000-0000-0000554B0000}"/>
    <cellStyle name="Porcentagem 8 2 3 5" xfId="17206" xr:uid="{00000000-0005-0000-0000-0000564B0000}"/>
    <cellStyle name="Porcentagem 8 2 3 6" xfId="17207" xr:uid="{00000000-0005-0000-0000-0000574B0000}"/>
    <cellStyle name="Porcentagem 8 2 3 7" xfId="17208" xr:uid="{00000000-0005-0000-0000-0000584B0000}"/>
    <cellStyle name="Porcentagem 8 2 3 8" xfId="17209" xr:uid="{00000000-0005-0000-0000-0000594B0000}"/>
    <cellStyle name="Porcentagem 8 2 3 9" xfId="17210" xr:uid="{00000000-0005-0000-0000-00005A4B0000}"/>
    <cellStyle name="Porcentagem 8 2 4" xfId="17211" xr:uid="{00000000-0005-0000-0000-00005B4B0000}"/>
    <cellStyle name="Porcentagem 8 2 5" xfId="17212" xr:uid="{00000000-0005-0000-0000-00005C4B0000}"/>
    <cellStyle name="Porcentagem 8 2 6" xfId="17213" xr:uid="{00000000-0005-0000-0000-00005D4B0000}"/>
    <cellStyle name="Porcentagem 8 2 7" xfId="17214" xr:uid="{00000000-0005-0000-0000-00005E4B0000}"/>
    <cellStyle name="Porcentagem 8 2 8" xfId="17215" xr:uid="{00000000-0005-0000-0000-00005F4B0000}"/>
    <cellStyle name="Porcentagem 8 2 9" xfId="17216" xr:uid="{00000000-0005-0000-0000-0000604B0000}"/>
    <cellStyle name="Porcentagem 8 20" xfId="17217" xr:uid="{00000000-0005-0000-0000-0000614B0000}"/>
    <cellStyle name="Porcentagem 8 21" xfId="17218" xr:uid="{00000000-0005-0000-0000-0000624B0000}"/>
    <cellStyle name="Porcentagem 8 22" xfId="17219" xr:uid="{00000000-0005-0000-0000-0000634B0000}"/>
    <cellStyle name="Porcentagem 8 23" xfId="17220" xr:uid="{00000000-0005-0000-0000-0000644B0000}"/>
    <cellStyle name="Porcentagem 8 24" xfId="17221" xr:uid="{00000000-0005-0000-0000-0000654B0000}"/>
    <cellStyle name="Porcentagem 8 25" xfId="17222" xr:uid="{00000000-0005-0000-0000-0000664B0000}"/>
    <cellStyle name="Porcentagem 8 3" xfId="623" xr:uid="{00000000-0005-0000-0000-0000674B0000}"/>
    <cellStyle name="Porcentagem 8 3 10" xfId="17224" xr:uid="{00000000-0005-0000-0000-0000684B0000}"/>
    <cellStyle name="Porcentagem 8 3 11" xfId="17225" xr:uid="{00000000-0005-0000-0000-0000694B0000}"/>
    <cellStyle name="Porcentagem 8 3 12" xfId="17223" xr:uid="{00000000-0005-0000-0000-00006A4B0000}"/>
    <cellStyle name="Porcentagem 8 3 2" xfId="17226" xr:uid="{00000000-0005-0000-0000-00006B4B0000}"/>
    <cellStyle name="Porcentagem 8 3 3" xfId="17227" xr:uid="{00000000-0005-0000-0000-00006C4B0000}"/>
    <cellStyle name="Porcentagem 8 3 4" xfId="17228" xr:uid="{00000000-0005-0000-0000-00006D4B0000}"/>
    <cellStyle name="Porcentagem 8 3 5" xfId="17229" xr:uid="{00000000-0005-0000-0000-00006E4B0000}"/>
    <cellStyle name="Porcentagem 8 3 6" xfId="17230" xr:uid="{00000000-0005-0000-0000-00006F4B0000}"/>
    <cellStyle name="Porcentagem 8 3 7" xfId="17231" xr:uid="{00000000-0005-0000-0000-0000704B0000}"/>
    <cellStyle name="Porcentagem 8 3 8" xfId="17232" xr:uid="{00000000-0005-0000-0000-0000714B0000}"/>
    <cellStyle name="Porcentagem 8 3 9" xfId="17233" xr:uid="{00000000-0005-0000-0000-0000724B0000}"/>
    <cellStyle name="Porcentagem 8 4" xfId="624" xr:uid="{00000000-0005-0000-0000-0000734B0000}"/>
    <cellStyle name="Porcentagem 8 4 10" xfId="17235" xr:uid="{00000000-0005-0000-0000-0000744B0000}"/>
    <cellStyle name="Porcentagem 8 4 11" xfId="17234" xr:uid="{00000000-0005-0000-0000-0000754B0000}"/>
    <cellStyle name="Porcentagem 8 4 2" xfId="17236" xr:uid="{00000000-0005-0000-0000-0000764B0000}"/>
    <cellStyle name="Porcentagem 8 4 3" xfId="17237" xr:uid="{00000000-0005-0000-0000-0000774B0000}"/>
    <cellStyle name="Porcentagem 8 4 4" xfId="17238" xr:uid="{00000000-0005-0000-0000-0000784B0000}"/>
    <cellStyle name="Porcentagem 8 4 5" xfId="17239" xr:uid="{00000000-0005-0000-0000-0000794B0000}"/>
    <cellStyle name="Porcentagem 8 4 6" xfId="17240" xr:uid="{00000000-0005-0000-0000-00007A4B0000}"/>
    <cellStyle name="Porcentagem 8 4 7" xfId="17241" xr:uid="{00000000-0005-0000-0000-00007B4B0000}"/>
    <cellStyle name="Porcentagem 8 4 8" xfId="17242" xr:uid="{00000000-0005-0000-0000-00007C4B0000}"/>
    <cellStyle name="Porcentagem 8 4 9" xfId="17243" xr:uid="{00000000-0005-0000-0000-00007D4B0000}"/>
    <cellStyle name="Porcentagem 8 5" xfId="17244" xr:uid="{00000000-0005-0000-0000-00007E4B0000}"/>
    <cellStyle name="Porcentagem 8 5 2" xfId="17245" xr:uid="{00000000-0005-0000-0000-00007F4B0000}"/>
    <cellStyle name="Porcentagem 8 5 3" xfId="17246" xr:uid="{00000000-0005-0000-0000-0000804B0000}"/>
    <cellStyle name="Porcentagem 8 5 4" xfId="17247" xr:uid="{00000000-0005-0000-0000-0000814B0000}"/>
    <cellStyle name="Porcentagem 8 6" xfId="17248" xr:uid="{00000000-0005-0000-0000-0000824B0000}"/>
    <cellStyle name="Porcentagem 8 6 2" xfId="17249" xr:uid="{00000000-0005-0000-0000-0000834B0000}"/>
    <cellStyle name="Porcentagem 8 6 3" xfId="17250" xr:uid="{00000000-0005-0000-0000-0000844B0000}"/>
    <cellStyle name="Porcentagem 8 6 4" xfId="17251" xr:uid="{00000000-0005-0000-0000-0000854B0000}"/>
    <cellStyle name="Porcentagem 8 7" xfId="17252" xr:uid="{00000000-0005-0000-0000-0000864B0000}"/>
    <cellStyle name="Porcentagem 8 7 2" xfId="17253" xr:uid="{00000000-0005-0000-0000-0000874B0000}"/>
    <cellStyle name="Porcentagem 8 7 3" xfId="17254" xr:uid="{00000000-0005-0000-0000-0000884B0000}"/>
    <cellStyle name="Porcentagem 8 7 4" xfId="17255" xr:uid="{00000000-0005-0000-0000-0000894B0000}"/>
    <cellStyle name="Porcentagem 8 8" xfId="17256" xr:uid="{00000000-0005-0000-0000-00008A4B0000}"/>
    <cellStyle name="Porcentagem 8 8 2" xfId="17257" xr:uid="{00000000-0005-0000-0000-00008B4B0000}"/>
    <cellStyle name="Porcentagem 8 8 3" xfId="17258" xr:uid="{00000000-0005-0000-0000-00008C4B0000}"/>
    <cellStyle name="Porcentagem 8 8 4" xfId="17259" xr:uid="{00000000-0005-0000-0000-00008D4B0000}"/>
    <cellStyle name="Porcentagem 8 9" xfId="17260" xr:uid="{00000000-0005-0000-0000-00008E4B0000}"/>
    <cellStyle name="Porcentagem 8 9 2" xfId="17261" xr:uid="{00000000-0005-0000-0000-00008F4B0000}"/>
    <cellStyle name="Porcentagem 8 9 2 2" xfId="17262" xr:uid="{00000000-0005-0000-0000-0000904B0000}"/>
    <cellStyle name="Porcentagem 8 9 2 3" xfId="17263" xr:uid="{00000000-0005-0000-0000-0000914B0000}"/>
    <cellStyle name="Porcentagem 8 9 2 4" xfId="17264" xr:uid="{00000000-0005-0000-0000-0000924B0000}"/>
    <cellStyle name="Porcentagem 8 9 3" xfId="17265" xr:uid="{00000000-0005-0000-0000-0000934B0000}"/>
    <cellStyle name="Porcentagem 8 9 3 2" xfId="17266" xr:uid="{00000000-0005-0000-0000-0000944B0000}"/>
    <cellStyle name="Porcentagem 8 9 3 3" xfId="17267" xr:uid="{00000000-0005-0000-0000-0000954B0000}"/>
    <cellStyle name="Porcentagem 8 9 3 4" xfId="17268" xr:uid="{00000000-0005-0000-0000-0000964B0000}"/>
    <cellStyle name="Porcentagem 8 9 4" xfId="17269" xr:uid="{00000000-0005-0000-0000-0000974B0000}"/>
    <cellStyle name="Porcentagem 9" xfId="625" xr:uid="{00000000-0005-0000-0000-0000984B0000}"/>
    <cellStyle name="Porcentagem 9 10" xfId="17270" xr:uid="{00000000-0005-0000-0000-0000994B0000}"/>
    <cellStyle name="Porcentagem 9 11" xfId="17271" xr:uid="{00000000-0005-0000-0000-00009A4B0000}"/>
    <cellStyle name="Porcentagem 9 12" xfId="17272" xr:uid="{00000000-0005-0000-0000-00009B4B0000}"/>
    <cellStyle name="Porcentagem 9 13" xfId="17273" xr:uid="{00000000-0005-0000-0000-00009C4B0000}"/>
    <cellStyle name="Porcentagem 9 14" xfId="17274" xr:uid="{00000000-0005-0000-0000-00009D4B0000}"/>
    <cellStyle name="Porcentagem 9 15" xfId="17275" xr:uid="{00000000-0005-0000-0000-00009E4B0000}"/>
    <cellStyle name="Porcentagem 9 16" xfId="17276" xr:uid="{00000000-0005-0000-0000-00009F4B0000}"/>
    <cellStyle name="Porcentagem 9 17" xfId="17277" xr:uid="{00000000-0005-0000-0000-0000A04B0000}"/>
    <cellStyle name="Porcentagem 9 18" xfId="17278" xr:uid="{00000000-0005-0000-0000-0000A14B0000}"/>
    <cellStyle name="Porcentagem 9 2" xfId="626" xr:uid="{00000000-0005-0000-0000-0000A24B0000}"/>
    <cellStyle name="Porcentagem 9 2 10" xfId="17280" xr:uid="{00000000-0005-0000-0000-0000A34B0000}"/>
    <cellStyle name="Porcentagem 9 2 11" xfId="17281" xr:uid="{00000000-0005-0000-0000-0000A44B0000}"/>
    <cellStyle name="Porcentagem 9 2 12" xfId="17282" xr:uid="{00000000-0005-0000-0000-0000A54B0000}"/>
    <cellStyle name="Porcentagem 9 2 13" xfId="17283" xr:uid="{00000000-0005-0000-0000-0000A64B0000}"/>
    <cellStyle name="Porcentagem 9 2 14" xfId="17284" xr:uid="{00000000-0005-0000-0000-0000A74B0000}"/>
    <cellStyle name="Porcentagem 9 2 15" xfId="17285" xr:uid="{00000000-0005-0000-0000-0000A84B0000}"/>
    <cellStyle name="Porcentagem 9 2 16" xfId="17286" xr:uid="{00000000-0005-0000-0000-0000A94B0000}"/>
    <cellStyle name="Porcentagem 9 2 17" xfId="17279" xr:uid="{00000000-0005-0000-0000-0000AA4B0000}"/>
    <cellStyle name="Porcentagem 9 2 2" xfId="17287" xr:uid="{00000000-0005-0000-0000-0000AB4B0000}"/>
    <cellStyle name="Porcentagem 9 2 2 10" xfId="17288" xr:uid="{00000000-0005-0000-0000-0000AC4B0000}"/>
    <cellStyle name="Porcentagem 9 2 2 11" xfId="17289" xr:uid="{00000000-0005-0000-0000-0000AD4B0000}"/>
    <cellStyle name="Porcentagem 9 2 2 2" xfId="17290" xr:uid="{00000000-0005-0000-0000-0000AE4B0000}"/>
    <cellStyle name="Porcentagem 9 2 2 3" xfId="17291" xr:uid="{00000000-0005-0000-0000-0000AF4B0000}"/>
    <cellStyle name="Porcentagem 9 2 2 4" xfId="17292" xr:uid="{00000000-0005-0000-0000-0000B04B0000}"/>
    <cellStyle name="Porcentagem 9 2 2 5" xfId="17293" xr:uid="{00000000-0005-0000-0000-0000B14B0000}"/>
    <cellStyle name="Porcentagem 9 2 2 6" xfId="17294" xr:uid="{00000000-0005-0000-0000-0000B24B0000}"/>
    <cellStyle name="Porcentagem 9 2 2 7" xfId="17295" xr:uid="{00000000-0005-0000-0000-0000B34B0000}"/>
    <cellStyle name="Porcentagem 9 2 2 8" xfId="17296" xr:uid="{00000000-0005-0000-0000-0000B44B0000}"/>
    <cellStyle name="Porcentagem 9 2 2 9" xfId="17297" xr:uid="{00000000-0005-0000-0000-0000B54B0000}"/>
    <cellStyle name="Porcentagem 9 2 3" xfId="17298" xr:uid="{00000000-0005-0000-0000-0000B64B0000}"/>
    <cellStyle name="Porcentagem 9 2 3 10" xfId="17299" xr:uid="{00000000-0005-0000-0000-0000B74B0000}"/>
    <cellStyle name="Porcentagem 9 2 3 2" xfId="17300" xr:uid="{00000000-0005-0000-0000-0000B84B0000}"/>
    <cellStyle name="Porcentagem 9 2 3 3" xfId="17301" xr:uid="{00000000-0005-0000-0000-0000B94B0000}"/>
    <cellStyle name="Porcentagem 9 2 3 4" xfId="17302" xr:uid="{00000000-0005-0000-0000-0000BA4B0000}"/>
    <cellStyle name="Porcentagem 9 2 3 5" xfId="17303" xr:uid="{00000000-0005-0000-0000-0000BB4B0000}"/>
    <cellStyle name="Porcentagem 9 2 3 6" xfId="17304" xr:uid="{00000000-0005-0000-0000-0000BC4B0000}"/>
    <cellStyle name="Porcentagem 9 2 3 7" xfId="17305" xr:uid="{00000000-0005-0000-0000-0000BD4B0000}"/>
    <cellStyle name="Porcentagem 9 2 3 8" xfId="17306" xr:uid="{00000000-0005-0000-0000-0000BE4B0000}"/>
    <cellStyle name="Porcentagem 9 2 3 9" xfId="17307" xr:uid="{00000000-0005-0000-0000-0000BF4B0000}"/>
    <cellStyle name="Porcentagem 9 2 4" xfId="17308" xr:uid="{00000000-0005-0000-0000-0000C04B0000}"/>
    <cellStyle name="Porcentagem 9 2 4 2" xfId="17309" xr:uid="{00000000-0005-0000-0000-0000C14B0000}"/>
    <cellStyle name="Porcentagem 9 2 4 3" xfId="17310" xr:uid="{00000000-0005-0000-0000-0000C24B0000}"/>
    <cellStyle name="Porcentagem 9 2 4 4" xfId="17311" xr:uid="{00000000-0005-0000-0000-0000C34B0000}"/>
    <cellStyle name="Porcentagem 9 2 5" xfId="17312" xr:uid="{00000000-0005-0000-0000-0000C44B0000}"/>
    <cellStyle name="Porcentagem 9 2 5 2" xfId="17313" xr:uid="{00000000-0005-0000-0000-0000C54B0000}"/>
    <cellStyle name="Porcentagem 9 2 5 3" xfId="17314" xr:uid="{00000000-0005-0000-0000-0000C64B0000}"/>
    <cellStyle name="Porcentagem 9 2 5 4" xfId="17315" xr:uid="{00000000-0005-0000-0000-0000C74B0000}"/>
    <cellStyle name="Porcentagem 9 2 6" xfId="17316" xr:uid="{00000000-0005-0000-0000-0000C84B0000}"/>
    <cellStyle name="Porcentagem 9 2 6 2" xfId="17317" xr:uid="{00000000-0005-0000-0000-0000C94B0000}"/>
    <cellStyle name="Porcentagem 9 2 6 3" xfId="17318" xr:uid="{00000000-0005-0000-0000-0000CA4B0000}"/>
    <cellStyle name="Porcentagem 9 2 6 4" xfId="17319" xr:uid="{00000000-0005-0000-0000-0000CB4B0000}"/>
    <cellStyle name="Porcentagem 9 2 7" xfId="17320" xr:uid="{00000000-0005-0000-0000-0000CC4B0000}"/>
    <cellStyle name="Porcentagem 9 2 7 2" xfId="17321" xr:uid="{00000000-0005-0000-0000-0000CD4B0000}"/>
    <cellStyle name="Porcentagem 9 2 7 3" xfId="17322" xr:uid="{00000000-0005-0000-0000-0000CE4B0000}"/>
    <cellStyle name="Porcentagem 9 2 7 4" xfId="17323" xr:uid="{00000000-0005-0000-0000-0000CF4B0000}"/>
    <cellStyle name="Porcentagem 9 2 8" xfId="17324" xr:uid="{00000000-0005-0000-0000-0000D04B0000}"/>
    <cellStyle name="Porcentagem 9 2 8 2" xfId="17325" xr:uid="{00000000-0005-0000-0000-0000D14B0000}"/>
    <cellStyle name="Porcentagem 9 2 8 3" xfId="17326" xr:uid="{00000000-0005-0000-0000-0000D24B0000}"/>
    <cellStyle name="Porcentagem 9 2 8 4" xfId="17327" xr:uid="{00000000-0005-0000-0000-0000D34B0000}"/>
    <cellStyle name="Porcentagem 9 2 9" xfId="17328" xr:uid="{00000000-0005-0000-0000-0000D44B0000}"/>
    <cellStyle name="Porcentagem 9 3" xfId="627" xr:uid="{00000000-0005-0000-0000-0000D54B0000}"/>
    <cellStyle name="Porcentagem 9 3 10" xfId="17330" xr:uid="{00000000-0005-0000-0000-0000D64B0000}"/>
    <cellStyle name="Porcentagem 9 3 11" xfId="17331" xr:uid="{00000000-0005-0000-0000-0000D74B0000}"/>
    <cellStyle name="Porcentagem 9 3 12" xfId="17329" xr:uid="{00000000-0005-0000-0000-0000D84B0000}"/>
    <cellStyle name="Porcentagem 9 3 2" xfId="17332" xr:uid="{00000000-0005-0000-0000-0000D94B0000}"/>
    <cellStyle name="Porcentagem 9 3 3" xfId="17333" xr:uid="{00000000-0005-0000-0000-0000DA4B0000}"/>
    <cellStyle name="Porcentagem 9 3 4" xfId="17334" xr:uid="{00000000-0005-0000-0000-0000DB4B0000}"/>
    <cellStyle name="Porcentagem 9 3 5" xfId="17335" xr:uid="{00000000-0005-0000-0000-0000DC4B0000}"/>
    <cellStyle name="Porcentagem 9 3 6" xfId="17336" xr:uid="{00000000-0005-0000-0000-0000DD4B0000}"/>
    <cellStyle name="Porcentagem 9 3 7" xfId="17337" xr:uid="{00000000-0005-0000-0000-0000DE4B0000}"/>
    <cellStyle name="Porcentagem 9 3 8" xfId="17338" xr:uid="{00000000-0005-0000-0000-0000DF4B0000}"/>
    <cellStyle name="Porcentagem 9 3 9" xfId="17339" xr:uid="{00000000-0005-0000-0000-0000E04B0000}"/>
    <cellStyle name="Porcentagem 9 4" xfId="628" xr:uid="{00000000-0005-0000-0000-0000E14B0000}"/>
    <cellStyle name="Porcentagem 9 4 2" xfId="17340" xr:uid="{00000000-0005-0000-0000-0000E24B0000}"/>
    <cellStyle name="Porcentagem 9 5" xfId="17341" xr:uid="{00000000-0005-0000-0000-0000E34B0000}"/>
    <cellStyle name="Porcentagem 9 6" xfId="17342" xr:uid="{00000000-0005-0000-0000-0000E44B0000}"/>
    <cellStyle name="Porcentagem 9 7" xfId="17343" xr:uid="{00000000-0005-0000-0000-0000E54B0000}"/>
    <cellStyle name="Porcentagem 9 8" xfId="17344" xr:uid="{00000000-0005-0000-0000-0000E64B0000}"/>
    <cellStyle name="Porcentagem 9 9" xfId="17345" xr:uid="{00000000-0005-0000-0000-0000E74B0000}"/>
    <cellStyle name="Price" xfId="629" xr:uid="{00000000-0005-0000-0000-0000E84B0000}"/>
    <cellStyle name="Red" xfId="17346" xr:uid="{00000000-0005-0000-0000-0000E94B0000}"/>
    <cellStyle name="Red Text" xfId="17347" xr:uid="{00000000-0005-0000-0000-0000EA4B0000}"/>
    <cellStyle name="Ruim" xfId="154" builtinId="27" customBuiltin="1"/>
    <cellStyle name="S0" xfId="17348" xr:uid="{00000000-0005-0000-0000-0000EB4B0000}"/>
    <cellStyle name="S3" xfId="17349" xr:uid="{00000000-0005-0000-0000-0000EC4B0000}"/>
    <cellStyle name="S5" xfId="17350" xr:uid="{00000000-0005-0000-0000-0000ED4B0000}"/>
    <cellStyle name="S6" xfId="17351" xr:uid="{00000000-0005-0000-0000-0000EE4B0000}"/>
    <cellStyle name="Saída" xfId="630" builtinId="21" customBuiltin="1"/>
    <cellStyle name="Saída 2" xfId="17352" xr:uid="{00000000-0005-0000-0000-0000F04B0000}"/>
    <cellStyle name="Saída 2 10" xfId="25995" xr:uid="{00000000-0005-0000-0000-0000F14B0000}"/>
    <cellStyle name="Saída 2 2" xfId="17353" xr:uid="{00000000-0005-0000-0000-0000F24B0000}"/>
    <cellStyle name="Saída 2 2 2" xfId="17354" xr:uid="{00000000-0005-0000-0000-0000F34B0000}"/>
    <cellStyle name="Saída 2 2 3" xfId="24854" xr:uid="{00000000-0005-0000-0000-0000F44B0000}"/>
    <cellStyle name="Saída 2 2 4" xfId="25996" xr:uid="{00000000-0005-0000-0000-0000F54B0000}"/>
    <cellStyle name="Saída 2 2 5" xfId="27291" xr:uid="{00000000-0005-0000-0000-0000F64B0000}"/>
    <cellStyle name="Saída 2 2 5 2" xfId="33130" xr:uid="{78B1AE08-A979-4EA5-BB62-C4F42C5150DD}"/>
    <cellStyle name="Saída 2 3" xfId="17355" xr:uid="{00000000-0005-0000-0000-0000F74B0000}"/>
    <cellStyle name="Saída 2 3 2" xfId="17356" xr:uid="{00000000-0005-0000-0000-0000F84B0000}"/>
    <cellStyle name="Saída 2 3 2 2" xfId="24856" xr:uid="{00000000-0005-0000-0000-0000F94B0000}"/>
    <cellStyle name="Saída 2 3 2 2 2" xfId="32862" xr:uid="{433330D2-637A-4AB4-82A3-CDD23805EE2E}"/>
    <cellStyle name="Saída 2 3 3" xfId="24855" xr:uid="{00000000-0005-0000-0000-0000FA4B0000}"/>
    <cellStyle name="Saída 2 4" xfId="17357" xr:uid="{00000000-0005-0000-0000-0000FB4B0000}"/>
    <cellStyle name="Saída 2 4 2" xfId="17358" xr:uid="{00000000-0005-0000-0000-0000FC4B0000}"/>
    <cellStyle name="Saída 2 4 2 2" xfId="24858" xr:uid="{00000000-0005-0000-0000-0000FD4B0000}"/>
    <cellStyle name="Saída 2 4 2 2 2" xfId="32864" xr:uid="{60E2DAD1-C7AF-4444-88B2-A1EDF19E4AFE}"/>
    <cellStyle name="Saída 2 4 3" xfId="24857" xr:uid="{00000000-0005-0000-0000-0000FE4B0000}"/>
    <cellStyle name="Saída 2 4 3 2" xfId="32863" xr:uid="{1B3BD531-4AF2-47BD-A6A1-1BE3D6134462}"/>
    <cellStyle name="Saída 2 5" xfId="17359" xr:uid="{00000000-0005-0000-0000-0000FF4B0000}"/>
    <cellStyle name="Saída 2 5 2" xfId="17360" xr:uid="{00000000-0005-0000-0000-0000004C0000}"/>
    <cellStyle name="Saída 2 5 2 2" xfId="24860" xr:uid="{00000000-0005-0000-0000-0000014C0000}"/>
    <cellStyle name="Saída 2 5 2 2 2" xfId="32866" xr:uid="{D1AE2C75-93DD-47EF-BC25-ACF5EA90B02A}"/>
    <cellStyle name="Saída 2 5 3" xfId="24859" xr:uid="{00000000-0005-0000-0000-0000024C0000}"/>
    <cellStyle name="Saída 2 5 3 2" xfId="32865" xr:uid="{0A0DBA34-0408-4560-B083-DCE4B35F8BF1}"/>
    <cellStyle name="Saída 2 6" xfId="17361" xr:uid="{00000000-0005-0000-0000-0000034C0000}"/>
    <cellStyle name="Saída 2 6 2" xfId="17362" xr:uid="{00000000-0005-0000-0000-0000044C0000}"/>
    <cellStyle name="Saída 2 6 2 2" xfId="24862" xr:uid="{00000000-0005-0000-0000-0000054C0000}"/>
    <cellStyle name="Saída 2 6 2 2 2" xfId="32868" xr:uid="{2188E92E-1A05-4F37-968C-78DF99D5FF3C}"/>
    <cellStyle name="Saída 2 6 3" xfId="24861" xr:uid="{00000000-0005-0000-0000-0000064C0000}"/>
    <cellStyle name="Saída 2 6 3 2" xfId="32867" xr:uid="{E43D8413-B3AE-42E7-B569-4382B9011E73}"/>
    <cellStyle name="Saída 2 7" xfId="17363" xr:uid="{00000000-0005-0000-0000-0000074C0000}"/>
    <cellStyle name="Saída 2 7 2" xfId="17364" xr:uid="{00000000-0005-0000-0000-0000084C0000}"/>
    <cellStyle name="Saída 2 7 2 2" xfId="24864" xr:uid="{00000000-0005-0000-0000-0000094C0000}"/>
    <cellStyle name="Saída 2 7 2 2 2" xfId="32870" xr:uid="{DFB55416-F165-489F-B777-D8E0F6ECB855}"/>
    <cellStyle name="Saída 2 7 3" xfId="24863" xr:uid="{00000000-0005-0000-0000-00000A4C0000}"/>
    <cellStyle name="Saída 2 7 3 2" xfId="32869" xr:uid="{301A9C1B-5C6A-4115-BA9C-9DBA5BA5997A}"/>
    <cellStyle name="Saída 2 8" xfId="17365" xr:uid="{00000000-0005-0000-0000-00000B4C0000}"/>
    <cellStyle name="Saída 2 8 2" xfId="24865" xr:uid="{00000000-0005-0000-0000-00000C4C0000}"/>
    <cellStyle name="Saída 2 8 2 2" xfId="32871" xr:uid="{FD976F8C-54A7-4075-80E4-05689AB03B34}"/>
    <cellStyle name="Saída 2 9" xfId="24853" xr:uid="{00000000-0005-0000-0000-00000D4C0000}"/>
    <cellStyle name="Saída 3" xfId="17366" xr:uid="{00000000-0005-0000-0000-00000E4C0000}"/>
    <cellStyle name="Saída 3 2" xfId="17367" xr:uid="{00000000-0005-0000-0000-00000F4C0000}"/>
    <cellStyle name="Saída 3 2 2" xfId="17368" xr:uid="{00000000-0005-0000-0000-0000104C0000}"/>
    <cellStyle name="Saída 3 2 3" xfId="24867" xr:uid="{00000000-0005-0000-0000-0000114C0000}"/>
    <cellStyle name="Saída 3 2 3 2" xfId="32873" xr:uid="{A7F477CE-9732-4D64-9DA5-0B5B8852B33D}"/>
    <cellStyle name="Saída 3 2 4" xfId="25998" xr:uid="{00000000-0005-0000-0000-0000124C0000}"/>
    <cellStyle name="Saída 3 3" xfId="17369" xr:uid="{00000000-0005-0000-0000-0000134C0000}"/>
    <cellStyle name="Saída 3 3 2" xfId="17370" xr:uid="{00000000-0005-0000-0000-0000144C0000}"/>
    <cellStyle name="Saída 3 3 2 2" xfId="24868" xr:uid="{00000000-0005-0000-0000-0000154C0000}"/>
    <cellStyle name="Saída 3 3 2 2 2" xfId="32874" xr:uid="{BB02DD71-D720-48D1-93AF-6DDC2015E6AA}"/>
    <cellStyle name="Saída 3 4" xfId="17371" xr:uid="{00000000-0005-0000-0000-0000164C0000}"/>
    <cellStyle name="Saída 3 4 2" xfId="17372" xr:uid="{00000000-0005-0000-0000-0000174C0000}"/>
    <cellStyle name="Saída 3 4 2 2" xfId="24870" xr:uid="{00000000-0005-0000-0000-0000184C0000}"/>
    <cellStyle name="Saída 3 4 2 2 2" xfId="32876" xr:uid="{C335AFCC-39D2-4775-89EA-04398BAB05E7}"/>
    <cellStyle name="Saída 3 4 3" xfId="24869" xr:uid="{00000000-0005-0000-0000-0000194C0000}"/>
    <cellStyle name="Saída 3 4 3 2" xfId="32875" xr:uid="{5EF254EA-6874-43DF-A165-4913902B6040}"/>
    <cellStyle name="Saída 3 5" xfId="17373" xr:uid="{00000000-0005-0000-0000-00001A4C0000}"/>
    <cellStyle name="Saída 3 5 2" xfId="17374" xr:uid="{00000000-0005-0000-0000-00001B4C0000}"/>
    <cellStyle name="Saída 3 5 2 2" xfId="24872" xr:uid="{00000000-0005-0000-0000-00001C4C0000}"/>
    <cellStyle name="Saída 3 5 2 2 2" xfId="32878" xr:uid="{9F37B72F-DBEE-42AA-930E-A17D3C30AAC7}"/>
    <cellStyle name="Saída 3 5 3" xfId="24871" xr:uid="{00000000-0005-0000-0000-00001D4C0000}"/>
    <cellStyle name="Saída 3 5 3 2" xfId="32877" xr:uid="{2A02F8D0-153B-4AF9-AC3D-BB8C874A204A}"/>
    <cellStyle name="Saída 3 6" xfId="17375" xr:uid="{00000000-0005-0000-0000-00001E4C0000}"/>
    <cellStyle name="Saída 3 6 2" xfId="24873" xr:uid="{00000000-0005-0000-0000-00001F4C0000}"/>
    <cellStyle name="Saída 3 6 2 2" xfId="32879" xr:uid="{D5D8AFFE-B215-42F3-8111-8A5C36398464}"/>
    <cellStyle name="Saída 3 7" xfId="24866" xr:uid="{00000000-0005-0000-0000-0000204C0000}"/>
    <cellStyle name="Saída 3 7 2" xfId="32872" xr:uid="{F91BBD19-D8FF-44ED-9CD8-93017BDF4F87}"/>
    <cellStyle name="Saída 3 8" xfId="25997" xr:uid="{00000000-0005-0000-0000-0000214C0000}"/>
    <cellStyle name="Saída 4" xfId="17376" xr:uid="{00000000-0005-0000-0000-0000224C0000}"/>
    <cellStyle name="Saída 4 2" xfId="17377" xr:uid="{00000000-0005-0000-0000-0000234C0000}"/>
    <cellStyle name="Saída 4 2 2" xfId="17378" xr:uid="{00000000-0005-0000-0000-0000244C0000}"/>
    <cellStyle name="Saída 4 2 2 2" xfId="24876" xr:uid="{00000000-0005-0000-0000-0000254C0000}"/>
    <cellStyle name="Saída 4 2 2 2 2" xfId="32882" xr:uid="{052DE5E7-94C0-4821-921C-5655454FE3B5}"/>
    <cellStyle name="Saída 4 2 3" xfId="24875" xr:uid="{00000000-0005-0000-0000-0000264C0000}"/>
    <cellStyle name="Saída 4 2 3 2" xfId="32881" xr:uid="{18C0A934-D980-4262-BCA2-D26A799A73C0}"/>
    <cellStyle name="Saída 4 3" xfId="17379" xr:uid="{00000000-0005-0000-0000-0000274C0000}"/>
    <cellStyle name="Saída 4 3 2" xfId="17380" xr:uid="{00000000-0005-0000-0000-0000284C0000}"/>
    <cellStyle name="Saída 4 3 2 2" xfId="24878" xr:uid="{00000000-0005-0000-0000-0000294C0000}"/>
    <cellStyle name="Saída 4 3 2 2 2" xfId="32884" xr:uid="{053A8086-57D6-4FFC-AC2C-9DDBC19D66FF}"/>
    <cellStyle name="Saída 4 3 3" xfId="24877" xr:uid="{00000000-0005-0000-0000-00002A4C0000}"/>
    <cellStyle name="Saída 4 3 3 2" xfId="32883" xr:uid="{5494B2FA-F44F-468D-8D2C-270E54A854BC}"/>
    <cellStyle name="Saída 4 4" xfId="17381" xr:uid="{00000000-0005-0000-0000-00002B4C0000}"/>
    <cellStyle name="Saída 4 4 2" xfId="17382" xr:uid="{00000000-0005-0000-0000-00002C4C0000}"/>
    <cellStyle name="Saída 4 4 2 2" xfId="24880" xr:uid="{00000000-0005-0000-0000-00002D4C0000}"/>
    <cellStyle name="Saída 4 4 2 2 2" xfId="32886" xr:uid="{2ACD65A7-6575-40AA-8D5B-33E0B9474678}"/>
    <cellStyle name="Saída 4 4 3" xfId="24879" xr:uid="{00000000-0005-0000-0000-00002E4C0000}"/>
    <cellStyle name="Saída 4 4 3 2" xfId="32885" xr:uid="{B852A741-5D74-414D-A902-44DEFDDC30FF}"/>
    <cellStyle name="Saída 4 5" xfId="17383" xr:uid="{00000000-0005-0000-0000-00002F4C0000}"/>
    <cellStyle name="Saída 4 5 2" xfId="17384" xr:uid="{00000000-0005-0000-0000-0000304C0000}"/>
    <cellStyle name="Saída 4 5 2 2" xfId="24882" xr:uid="{00000000-0005-0000-0000-0000314C0000}"/>
    <cellStyle name="Saída 4 5 2 2 2" xfId="32888" xr:uid="{4775560F-2F3E-41F6-9BEB-B4944D8C7124}"/>
    <cellStyle name="Saída 4 5 3" xfId="24881" xr:uid="{00000000-0005-0000-0000-0000324C0000}"/>
    <cellStyle name="Saída 4 5 3 2" xfId="32887" xr:uid="{27E25EB0-5CDC-4AE0-BF0A-27AB29D5369C}"/>
    <cellStyle name="Saída 4 6" xfId="17385" xr:uid="{00000000-0005-0000-0000-0000334C0000}"/>
    <cellStyle name="Saída 4 6 2" xfId="24883" xr:uid="{00000000-0005-0000-0000-0000344C0000}"/>
    <cellStyle name="Saída 4 6 2 2" xfId="32889" xr:uid="{42AD5364-8341-42EC-826B-62EAB9BA8659}"/>
    <cellStyle name="Saída 4 7" xfId="24874" xr:uid="{00000000-0005-0000-0000-0000354C0000}"/>
    <cellStyle name="Saída 4 7 2" xfId="32880" xr:uid="{86DED511-A515-4A13-B3BB-B8E19DE655C5}"/>
    <cellStyle name="Saída 5" xfId="17386" xr:uid="{00000000-0005-0000-0000-0000364C0000}"/>
    <cellStyle name="Saída 5 2" xfId="17387" xr:uid="{00000000-0005-0000-0000-0000374C0000}"/>
    <cellStyle name="Saída 5 2 2" xfId="24885" xr:uid="{00000000-0005-0000-0000-0000384C0000}"/>
    <cellStyle name="Saída 5 2 2 2" xfId="32891" xr:uid="{435250AD-CF5F-49BB-8ED5-E31E5A3042CA}"/>
    <cellStyle name="Saída 5 2 3" xfId="25999" xr:uid="{00000000-0005-0000-0000-0000394C0000}"/>
    <cellStyle name="Saída 5 3" xfId="24884" xr:uid="{00000000-0005-0000-0000-00003A4C0000}"/>
    <cellStyle name="Saída 5 3 2" xfId="32890" xr:uid="{74944C88-F455-43FC-8BD0-1B0437465FF6}"/>
    <cellStyle name="Saída 6" xfId="17388" xr:uid="{00000000-0005-0000-0000-00003B4C0000}"/>
    <cellStyle name="Saída 6 2" xfId="17389" xr:uid="{00000000-0005-0000-0000-00003C4C0000}"/>
    <cellStyle name="Saída 6 2 2" xfId="24887" xr:uid="{00000000-0005-0000-0000-00003D4C0000}"/>
    <cellStyle name="Saída 6 2 2 2" xfId="32893" xr:uid="{639EDC54-3115-4DCD-B0CB-4E86B40A210E}"/>
    <cellStyle name="Saída 6 3" xfId="24886" xr:uid="{00000000-0005-0000-0000-00003E4C0000}"/>
    <cellStyle name="Saída 6 3 2" xfId="32892" xr:uid="{DBCC8B11-FFDA-435A-AFC3-940F6441F448}"/>
    <cellStyle name="Saída 7" xfId="17390" xr:uid="{00000000-0005-0000-0000-00003F4C0000}"/>
    <cellStyle name="Saída 7 2" xfId="17391" xr:uid="{00000000-0005-0000-0000-0000404C0000}"/>
    <cellStyle name="Saída 7 2 2" xfId="24889" xr:uid="{00000000-0005-0000-0000-0000414C0000}"/>
    <cellStyle name="Saída 7 2 2 2" xfId="32895" xr:uid="{A3EFCDE9-8044-4431-B56E-901644CF00E6}"/>
    <cellStyle name="Saída 7 3" xfId="24888" xr:uid="{00000000-0005-0000-0000-0000424C0000}"/>
    <cellStyle name="Saída 7 3 2" xfId="32894" xr:uid="{C0669762-74D4-49D7-A27A-E2E3103D188F}"/>
    <cellStyle name="Salida" xfId="17392" xr:uid="{00000000-0005-0000-0000-0000434C0000}"/>
    <cellStyle name="Salida 2" xfId="24890" xr:uid="{00000000-0005-0000-0000-0000444C0000}"/>
    <cellStyle name="Salida 2 2" xfId="32896" xr:uid="{258EF8CC-BF8E-45CF-B35F-2B2AED117A1F}"/>
    <cellStyle name="SAPBEXaggData" xfId="17393" xr:uid="{00000000-0005-0000-0000-0000454C0000}"/>
    <cellStyle name="SAPBEXaggData 2" xfId="24891" xr:uid="{00000000-0005-0000-0000-0000464C0000}"/>
    <cellStyle name="SAPBEXaggDataEmph" xfId="17394" xr:uid="{00000000-0005-0000-0000-0000474C0000}"/>
    <cellStyle name="SAPBEXaggDataEmph 2" xfId="24892" xr:uid="{00000000-0005-0000-0000-0000484C0000}"/>
    <cellStyle name="SAPBEXaggItem" xfId="17395" xr:uid="{00000000-0005-0000-0000-0000494C0000}"/>
    <cellStyle name="SAPBEXaggItem 2" xfId="24893" xr:uid="{00000000-0005-0000-0000-00004A4C0000}"/>
    <cellStyle name="SAPBEXaggItemX" xfId="17396" xr:uid="{00000000-0005-0000-0000-00004B4C0000}"/>
    <cellStyle name="SAPBEXaggItemX 2" xfId="24894" xr:uid="{00000000-0005-0000-0000-00004C4C0000}"/>
    <cellStyle name="SAPBEXchaText" xfId="17397" xr:uid="{00000000-0005-0000-0000-00004D4C0000}"/>
    <cellStyle name="SAPBEXexcBad7" xfId="17398" xr:uid="{00000000-0005-0000-0000-00004E4C0000}"/>
    <cellStyle name="SAPBEXexcBad7 2" xfId="24895" xr:uid="{00000000-0005-0000-0000-00004F4C0000}"/>
    <cellStyle name="SAPBEXexcBad8" xfId="17399" xr:uid="{00000000-0005-0000-0000-0000504C0000}"/>
    <cellStyle name="SAPBEXexcBad8 2" xfId="24896" xr:uid="{00000000-0005-0000-0000-0000514C0000}"/>
    <cellStyle name="SAPBEXexcBad9" xfId="17400" xr:uid="{00000000-0005-0000-0000-0000524C0000}"/>
    <cellStyle name="SAPBEXexcBad9 2" xfId="24897" xr:uid="{00000000-0005-0000-0000-0000534C0000}"/>
    <cellStyle name="SAPBEXexcCritical4" xfId="17401" xr:uid="{00000000-0005-0000-0000-0000544C0000}"/>
    <cellStyle name="SAPBEXexcCritical4 2" xfId="17402" xr:uid="{00000000-0005-0000-0000-0000554C0000}"/>
    <cellStyle name="SAPBEXexcCritical4 2 2" xfId="24899" xr:uid="{00000000-0005-0000-0000-0000564C0000}"/>
    <cellStyle name="SAPBEXexcCritical4 3" xfId="24898" xr:uid="{00000000-0005-0000-0000-0000574C0000}"/>
    <cellStyle name="SAPBEXexcCritical5" xfId="17403" xr:uid="{00000000-0005-0000-0000-0000584C0000}"/>
    <cellStyle name="SAPBEXexcCritical5 2" xfId="24900" xr:uid="{00000000-0005-0000-0000-0000594C0000}"/>
    <cellStyle name="SAPBEXexcCritical6" xfId="17404" xr:uid="{00000000-0005-0000-0000-00005A4C0000}"/>
    <cellStyle name="SAPBEXexcCritical6 2" xfId="24901" xr:uid="{00000000-0005-0000-0000-00005B4C0000}"/>
    <cellStyle name="SAPBEXexcGood1" xfId="17405" xr:uid="{00000000-0005-0000-0000-00005C4C0000}"/>
    <cellStyle name="SAPBEXexcGood1 2" xfId="24902" xr:uid="{00000000-0005-0000-0000-00005D4C0000}"/>
    <cellStyle name="SAPBEXexcGood2" xfId="17406" xr:uid="{00000000-0005-0000-0000-00005E4C0000}"/>
    <cellStyle name="SAPBEXexcGood2 2" xfId="24903" xr:uid="{00000000-0005-0000-0000-00005F4C0000}"/>
    <cellStyle name="SAPBEXexcGood3" xfId="17407" xr:uid="{00000000-0005-0000-0000-0000604C0000}"/>
    <cellStyle name="SAPBEXexcGood3 2" xfId="24904" xr:uid="{00000000-0005-0000-0000-0000614C0000}"/>
    <cellStyle name="SAPBEXfilterDrill" xfId="17408" xr:uid="{00000000-0005-0000-0000-0000624C0000}"/>
    <cellStyle name="SAPBEXfilterItem" xfId="17409" xr:uid="{00000000-0005-0000-0000-0000634C0000}"/>
    <cellStyle name="SAPBEXfilterText" xfId="17410" xr:uid="{00000000-0005-0000-0000-0000644C0000}"/>
    <cellStyle name="SAPBEXformats" xfId="17411" xr:uid="{00000000-0005-0000-0000-0000654C0000}"/>
    <cellStyle name="SAPBEXformats 2" xfId="24905" xr:uid="{00000000-0005-0000-0000-0000664C0000}"/>
    <cellStyle name="SAPBEXheaderItem" xfId="17412" xr:uid="{00000000-0005-0000-0000-0000674C0000}"/>
    <cellStyle name="SAPBEXheaderText" xfId="17413" xr:uid="{00000000-0005-0000-0000-0000684C0000}"/>
    <cellStyle name="SAPBEXHLevel0" xfId="17414" xr:uid="{00000000-0005-0000-0000-0000694C0000}"/>
    <cellStyle name="SAPBEXHLevel0 2" xfId="17415" xr:uid="{00000000-0005-0000-0000-00006A4C0000}"/>
    <cellStyle name="SAPBEXHLevel0 2 2" xfId="24907" xr:uid="{00000000-0005-0000-0000-00006B4C0000}"/>
    <cellStyle name="SAPBEXHLevel0 3" xfId="17416" xr:uid="{00000000-0005-0000-0000-00006C4C0000}"/>
    <cellStyle name="SAPBEXHLevel0 3 2" xfId="24908" xr:uid="{00000000-0005-0000-0000-00006D4C0000}"/>
    <cellStyle name="SAPBEXHLevel0 4" xfId="17417" xr:uid="{00000000-0005-0000-0000-00006E4C0000}"/>
    <cellStyle name="SAPBEXHLevel0 4 2" xfId="24909" xr:uid="{00000000-0005-0000-0000-00006F4C0000}"/>
    <cellStyle name="SAPBEXHLevel0 5" xfId="17418" xr:uid="{00000000-0005-0000-0000-0000704C0000}"/>
    <cellStyle name="SAPBEXHLevel0 5 2" xfId="24910" xr:uid="{00000000-0005-0000-0000-0000714C0000}"/>
    <cellStyle name="SAPBEXHLevel0 6" xfId="24906" xr:uid="{00000000-0005-0000-0000-0000724C0000}"/>
    <cellStyle name="SAPBEXHLevel0X" xfId="17419" xr:uid="{00000000-0005-0000-0000-0000734C0000}"/>
    <cellStyle name="SAPBEXHLevel0X 2" xfId="17420" xr:uid="{00000000-0005-0000-0000-0000744C0000}"/>
    <cellStyle name="SAPBEXHLevel0X 2 2" xfId="24912" xr:uid="{00000000-0005-0000-0000-0000754C0000}"/>
    <cellStyle name="SAPBEXHLevel0X 3" xfId="17421" xr:uid="{00000000-0005-0000-0000-0000764C0000}"/>
    <cellStyle name="SAPBEXHLevel0X 3 2" xfId="24913" xr:uid="{00000000-0005-0000-0000-0000774C0000}"/>
    <cellStyle name="SAPBEXHLevel0X 4" xfId="17422" xr:uid="{00000000-0005-0000-0000-0000784C0000}"/>
    <cellStyle name="SAPBEXHLevel0X 4 2" xfId="24914" xr:uid="{00000000-0005-0000-0000-0000794C0000}"/>
    <cellStyle name="SAPBEXHLevel0X 5" xfId="17423" xr:uid="{00000000-0005-0000-0000-00007A4C0000}"/>
    <cellStyle name="SAPBEXHLevel0X 5 2" xfId="24915" xr:uid="{00000000-0005-0000-0000-00007B4C0000}"/>
    <cellStyle name="SAPBEXHLevel0X 6" xfId="24911" xr:uid="{00000000-0005-0000-0000-00007C4C0000}"/>
    <cellStyle name="SAPBEXHLevel1" xfId="17424" xr:uid="{00000000-0005-0000-0000-00007D4C0000}"/>
    <cellStyle name="SAPBEXHLevel1 2" xfId="17425" xr:uid="{00000000-0005-0000-0000-00007E4C0000}"/>
    <cellStyle name="SAPBEXHLevel1 2 2" xfId="24917" xr:uid="{00000000-0005-0000-0000-00007F4C0000}"/>
    <cellStyle name="SAPBEXHLevel1 3" xfId="17426" xr:uid="{00000000-0005-0000-0000-0000804C0000}"/>
    <cellStyle name="SAPBEXHLevel1 3 2" xfId="24918" xr:uid="{00000000-0005-0000-0000-0000814C0000}"/>
    <cellStyle name="SAPBEXHLevel1 4" xfId="17427" xr:uid="{00000000-0005-0000-0000-0000824C0000}"/>
    <cellStyle name="SAPBEXHLevel1 4 2" xfId="24919" xr:uid="{00000000-0005-0000-0000-0000834C0000}"/>
    <cellStyle name="SAPBEXHLevel1 5" xfId="17428" xr:uid="{00000000-0005-0000-0000-0000844C0000}"/>
    <cellStyle name="SAPBEXHLevel1 5 2" xfId="24920" xr:uid="{00000000-0005-0000-0000-0000854C0000}"/>
    <cellStyle name="SAPBEXHLevel1 6" xfId="24916" xr:uid="{00000000-0005-0000-0000-0000864C0000}"/>
    <cellStyle name="SAPBEXHLevel1X" xfId="17429" xr:uid="{00000000-0005-0000-0000-0000874C0000}"/>
    <cellStyle name="SAPBEXHLevel1X 2" xfId="17430" xr:uid="{00000000-0005-0000-0000-0000884C0000}"/>
    <cellStyle name="SAPBEXHLevel1X 2 2" xfId="24922" xr:uid="{00000000-0005-0000-0000-0000894C0000}"/>
    <cellStyle name="SAPBEXHLevel1X 3" xfId="17431" xr:uid="{00000000-0005-0000-0000-00008A4C0000}"/>
    <cellStyle name="SAPBEXHLevel1X 3 2" xfId="24923" xr:uid="{00000000-0005-0000-0000-00008B4C0000}"/>
    <cellStyle name="SAPBEXHLevel1X 4" xfId="17432" xr:uid="{00000000-0005-0000-0000-00008C4C0000}"/>
    <cellStyle name="SAPBEXHLevel1X 4 2" xfId="24924" xr:uid="{00000000-0005-0000-0000-00008D4C0000}"/>
    <cellStyle name="SAPBEXHLevel1X 5" xfId="17433" xr:uid="{00000000-0005-0000-0000-00008E4C0000}"/>
    <cellStyle name="SAPBEXHLevel1X 5 2" xfId="24925" xr:uid="{00000000-0005-0000-0000-00008F4C0000}"/>
    <cellStyle name="SAPBEXHLevel1X 6" xfId="24921" xr:uid="{00000000-0005-0000-0000-0000904C0000}"/>
    <cellStyle name="SAPBEXHLevel2" xfId="17434" xr:uid="{00000000-0005-0000-0000-0000914C0000}"/>
    <cellStyle name="SAPBEXHLevel2 2" xfId="17435" xr:uid="{00000000-0005-0000-0000-0000924C0000}"/>
    <cellStyle name="SAPBEXHLevel2 2 2" xfId="24927" xr:uid="{00000000-0005-0000-0000-0000934C0000}"/>
    <cellStyle name="SAPBEXHLevel2 3" xfId="17436" xr:uid="{00000000-0005-0000-0000-0000944C0000}"/>
    <cellStyle name="SAPBEXHLevel2 3 2" xfId="24928" xr:uid="{00000000-0005-0000-0000-0000954C0000}"/>
    <cellStyle name="SAPBEXHLevel2 4" xfId="17437" xr:uid="{00000000-0005-0000-0000-0000964C0000}"/>
    <cellStyle name="SAPBEXHLevel2 4 2" xfId="24929" xr:uid="{00000000-0005-0000-0000-0000974C0000}"/>
    <cellStyle name="SAPBEXHLevel2 5" xfId="17438" xr:uid="{00000000-0005-0000-0000-0000984C0000}"/>
    <cellStyle name="SAPBEXHLevel2 5 2" xfId="24930" xr:uid="{00000000-0005-0000-0000-0000994C0000}"/>
    <cellStyle name="SAPBEXHLevel2 6" xfId="24926" xr:uid="{00000000-0005-0000-0000-00009A4C0000}"/>
    <cellStyle name="SAPBEXHLevel2X" xfId="17439" xr:uid="{00000000-0005-0000-0000-00009B4C0000}"/>
    <cellStyle name="SAPBEXHLevel2X 2" xfId="17440" xr:uid="{00000000-0005-0000-0000-00009C4C0000}"/>
    <cellStyle name="SAPBEXHLevel2X 2 2" xfId="24932" xr:uid="{00000000-0005-0000-0000-00009D4C0000}"/>
    <cellStyle name="SAPBEXHLevel2X 3" xfId="17441" xr:uid="{00000000-0005-0000-0000-00009E4C0000}"/>
    <cellStyle name="SAPBEXHLevel2X 3 2" xfId="24933" xr:uid="{00000000-0005-0000-0000-00009F4C0000}"/>
    <cellStyle name="SAPBEXHLevel2X 4" xfId="17442" xr:uid="{00000000-0005-0000-0000-0000A04C0000}"/>
    <cellStyle name="SAPBEXHLevel2X 4 2" xfId="24934" xr:uid="{00000000-0005-0000-0000-0000A14C0000}"/>
    <cellStyle name="SAPBEXHLevel2X 5" xfId="17443" xr:uid="{00000000-0005-0000-0000-0000A24C0000}"/>
    <cellStyle name="SAPBEXHLevel2X 5 2" xfId="24935" xr:uid="{00000000-0005-0000-0000-0000A34C0000}"/>
    <cellStyle name="SAPBEXHLevel2X 6" xfId="24931" xr:uid="{00000000-0005-0000-0000-0000A44C0000}"/>
    <cellStyle name="SAPBEXHLevel3" xfId="17444" xr:uid="{00000000-0005-0000-0000-0000A54C0000}"/>
    <cellStyle name="SAPBEXHLevel3 2" xfId="17445" xr:uid="{00000000-0005-0000-0000-0000A64C0000}"/>
    <cellStyle name="SAPBEXHLevel3 2 2" xfId="24937" xr:uid="{00000000-0005-0000-0000-0000A74C0000}"/>
    <cellStyle name="SAPBEXHLevel3 3" xfId="17446" xr:uid="{00000000-0005-0000-0000-0000A84C0000}"/>
    <cellStyle name="SAPBEXHLevel3 3 2" xfId="24938" xr:uid="{00000000-0005-0000-0000-0000A94C0000}"/>
    <cellStyle name="SAPBEXHLevel3 4" xfId="17447" xr:uid="{00000000-0005-0000-0000-0000AA4C0000}"/>
    <cellStyle name="SAPBEXHLevel3 4 2" xfId="24939" xr:uid="{00000000-0005-0000-0000-0000AB4C0000}"/>
    <cellStyle name="SAPBEXHLevel3 5" xfId="17448" xr:uid="{00000000-0005-0000-0000-0000AC4C0000}"/>
    <cellStyle name="SAPBEXHLevel3 5 2" xfId="24940" xr:uid="{00000000-0005-0000-0000-0000AD4C0000}"/>
    <cellStyle name="SAPBEXHLevel3 6" xfId="24936" xr:uid="{00000000-0005-0000-0000-0000AE4C0000}"/>
    <cellStyle name="SAPBEXHLevel3X" xfId="17449" xr:uid="{00000000-0005-0000-0000-0000AF4C0000}"/>
    <cellStyle name="SAPBEXHLevel3X 2" xfId="17450" xr:uid="{00000000-0005-0000-0000-0000B04C0000}"/>
    <cellStyle name="SAPBEXHLevel3X 2 2" xfId="24942" xr:uid="{00000000-0005-0000-0000-0000B14C0000}"/>
    <cellStyle name="SAPBEXHLevel3X 3" xfId="17451" xr:uid="{00000000-0005-0000-0000-0000B24C0000}"/>
    <cellStyle name="SAPBEXHLevel3X 3 2" xfId="24943" xr:uid="{00000000-0005-0000-0000-0000B34C0000}"/>
    <cellStyle name="SAPBEXHLevel3X 4" xfId="17452" xr:uid="{00000000-0005-0000-0000-0000B44C0000}"/>
    <cellStyle name="SAPBEXHLevel3X 4 2" xfId="24944" xr:uid="{00000000-0005-0000-0000-0000B54C0000}"/>
    <cellStyle name="SAPBEXHLevel3X 5" xfId="17453" xr:uid="{00000000-0005-0000-0000-0000B64C0000}"/>
    <cellStyle name="SAPBEXHLevel3X 5 2" xfId="24945" xr:uid="{00000000-0005-0000-0000-0000B74C0000}"/>
    <cellStyle name="SAPBEXHLevel3X 6" xfId="24941" xr:uid="{00000000-0005-0000-0000-0000B84C0000}"/>
    <cellStyle name="SAPBEXresData" xfId="17454" xr:uid="{00000000-0005-0000-0000-0000B94C0000}"/>
    <cellStyle name="SAPBEXresData 2" xfId="24946" xr:uid="{00000000-0005-0000-0000-0000BA4C0000}"/>
    <cellStyle name="SAPBEXresDataEmph" xfId="17455" xr:uid="{00000000-0005-0000-0000-0000BB4C0000}"/>
    <cellStyle name="SAPBEXresDataEmph 2" xfId="24947" xr:uid="{00000000-0005-0000-0000-0000BC4C0000}"/>
    <cellStyle name="SAPBEXresItem" xfId="17456" xr:uid="{00000000-0005-0000-0000-0000BD4C0000}"/>
    <cellStyle name="SAPBEXresItem 2" xfId="24948" xr:uid="{00000000-0005-0000-0000-0000BE4C0000}"/>
    <cellStyle name="SAPBEXresItemX" xfId="17457" xr:uid="{00000000-0005-0000-0000-0000BF4C0000}"/>
    <cellStyle name="SAPBEXresItemX 2" xfId="24949" xr:uid="{00000000-0005-0000-0000-0000C04C0000}"/>
    <cellStyle name="SAPBEXstdData" xfId="17458" xr:uid="{00000000-0005-0000-0000-0000C14C0000}"/>
    <cellStyle name="SAPBEXstdData 2" xfId="24950" xr:uid="{00000000-0005-0000-0000-0000C24C0000}"/>
    <cellStyle name="SAPBEXstdDataEmph" xfId="17459" xr:uid="{00000000-0005-0000-0000-0000C34C0000}"/>
    <cellStyle name="SAPBEXstdDataEmph 2" xfId="24951" xr:uid="{00000000-0005-0000-0000-0000C44C0000}"/>
    <cellStyle name="SAPBEXstdItem" xfId="17460" xr:uid="{00000000-0005-0000-0000-0000C54C0000}"/>
    <cellStyle name="SAPBEXstdItem 2" xfId="24952" xr:uid="{00000000-0005-0000-0000-0000C64C0000}"/>
    <cellStyle name="SAPBEXstdItemX" xfId="17461" xr:uid="{00000000-0005-0000-0000-0000C74C0000}"/>
    <cellStyle name="SAPBEXstdItemX 2" xfId="24953" xr:uid="{00000000-0005-0000-0000-0000C84C0000}"/>
    <cellStyle name="SAPBEXtitle" xfId="17462" xr:uid="{00000000-0005-0000-0000-0000C94C0000}"/>
    <cellStyle name="SAPBEXundefined" xfId="17463" xr:uid="{00000000-0005-0000-0000-0000CA4C0000}"/>
    <cellStyle name="SAPBEXundefined 2" xfId="24954" xr:uid="{00000000-0005-0000-0000-0000CB4C0000}"/>
    <cellStyle name="SAPError" xfId="17464" xr:uid="{00000000-0005-0000-0000-0000CC4C0000}"/>
    <cellStyle name="SAPKey" xfId="17465" xr:uid="{00000000-0005-0000-0000-0000CD4C0000}"/>
    <cellStyle name="SAPLocked" xfId="17466" xr:uid="{00000000-0005-0000-0000-0000CE4C0000}"/>
    <cellStyle name="SAPOutput" xfId="17467" xr:uid="{00000000-0005-0000-0000-0000CF4C0000}"/>
    <cellStyle name="SAPSpace" xfId="17468" xr:uid="{00000000-0005-0000-0000-0000D04C0000}"/>
    <cellStyle name="SAPText" xfId="17469" xr:uid="{00000000-0005-0000-0000-0000D14C0000}"/>
    <cellStyle name="SAPUnLocked" xfId="17470" xr:uid="{00000000-0005-0000-0000-0000D24C0000}"/>
    <cellStyle name="Sep. milhar [0]" xfId="631" xr:uid="{00000000-0005-0000-0000-0000D34C0000}"/>
    <cellStyle name="Separador de m" xfId="17471" xr:uid="{00000000-0005-0000-0000-0000D44C0000}"/>
    <cellStyle name="Separador de milhares [0] 2" xfId="17472" xr:uid="{00000000-0005-0000-0000-0000D54C0000}"/>
    <cellStyle name="Separador de milhares [0] 2 2" xfId="28297" xr:uid="{7639D6D2-6F93-47CD-9056-1CA302C39611}"/>
    <cellStyle name="Separador de milhares 10" xfId="632" xr:uid="{00000000-0005-0000-0000-0000D64C0000}"/>
    <cellStyle name="Separador de milhares 10 10" xfId="17474" xr:uid="{00000000-0005-0000-0000-0000D74C0000}"/>
    <cellStyle name="Separador de milhares 10 10 10" xfId="17475" xr:uid="{00000000-0005-0000-0000-0000D84C0000}"/>
    <cellStyle name="Separador de milhares 10 10 11" xfId="17476" xr:uid="{00000000-0005-0000-0000-0000D94C0000}"/>
    <cellStyle name="Separador de milhares 10 10 12" xfId="17477" xr:uid="{00000000-0005-0000-0000-0000DA4C0000}"/>
    <cellStyle name="Separador de milhares 10 10 13" xfId="17478" xr:uid="{00000000-0005-0000-0000-0000DB4C0000}"/>
    <cellStyle name="Separador de milhares 10 10 14" xfId="17479" xr:uid="{00000000-0005-0000-0000-0000DC4C0000}"/>
    <cellStyle name="Separador de milhares 10 10 15" xfId="17480" xr:uid="{00000000-0005-0000-0000-0000DD4C0000}"/>
    <cellStyle name="Separador de milhares 10 10 16" xfId="17481" xr:uid="{00000000-0005-0000-0000-0000DE4C0000}"/>
    <cellStyle name="Separador de milhares 10 10 17" xfId="17482" xr:uid="{00000000-0005-0000-0000-0000DF4C0000}"/>
    <cellStyle name="Separador de milhares 10 10 18" xfId="17483" xr:uid="{00000000-0005-0000-0000-0000E04C0000}"/>
    <cellStyle name="Separador de milhares 10 10 19" xfId="17484" xr:uid="{00000000-0005-0000-0000-0000E14C0000}"/>
    <cellStyle name="Separador de milhares 10 10 2" xfId="17485" xr:uid="{00000000-0005-0000-0000-0000E24C0000}"/>
    <cellStyle name="Separador de milhares 10 10 2 10" xfId="17486" xr:uid="{00000000-0005-0000-0000-0000E34C0000}"/>
    <cellStyle name="Separador de milhares 10 10 2 10 2" xfId="17487" xr:uid="{00000000-0005-0000-0000-0000E44C0000}"/>
    <cellStyle name="Separador de milhares 10 10 2 10 3" xfId="17488" xr:uid="{00000000-0005-0000-0000-0000E54C0000}"/>
    <cellStyle name="Separador de milhares 10 10 2 10 4" xfId="17489" xr:uid="{00000000-0005-0000-0000-0000E64C0000}"/>
    <cellStyle name="Separador de milhares 10 10 2 11" xfId="17490" xr:uid="{00000000-0005-0000-0000-0000E74C0000}"/>
    <cellStyle name="Separador de milhares 10 10 2 11 2" xfId="17491" xr:uid="{00000000-0005-0000-0000-0000E84C0000}"/>
    <cellStyle name="Separador de milhares 10 10 2 11 3" xfId="17492" xr:uid="{00000000-0005-0000-0000-0000E94C0000}"/>
    <cellStyle name="Separador de milhares 10 10 2 11 4" xfId="17493" xr:uid="{00000000-0005-0000-0000-0000EA4C0000}"/>
    <cellStyle name="Separador de milhares 10 10 2 12" xfId="17494" xr:uid="{00000000-0005-0000-0000-0000EB4C0000}"/>
    <cellStyle name="Separador de milhares 10 10 2 12 2" xfId="17495" xr:uid="{00000000-0005-0000-0000-0000EC4C0000}"/>
    <cellStyle name="Separador de milhares 10 10 2 12 3" xfId="17496" xr:uid="{00000000-0005-0000-0000-0000ED4C0000}"/>
    <cellStyle name="Separador de milhares 10 10 2 12 4" xfId="17497" xr:uid="{00000000-0005-0000-0000-0000EE4C0000}"/>
    <cellStyle name="Separador de milhares 10 10 2 13" xfId="17498" xr:uid="{00000000-0005-0000-0000-0000EF4C0000}"/>
    <cellStyle name="Separador de milhares 10 10 2 13 2" xfId="17499" xr:uid="{00000000-0005-0000-0000-0000F04C0000}"/>
    <cellStyle name="Separador de milhares 10 10 2 13 3" xfId="17500" xr:uid="{00000000-0005-0000-0000-0000F14C0000}"/>
    <cellStyle name="Separador de milhares 10 10 2 13 4" xfId="17501" xr:uid="{00000000-0005-0000-0000-0000F24C0000}"/>
    <cellStyle name="Separador de milhares 10 10 2 14" xfId="17502" xr:uid="{00000000-0005-0000-0000-0000F34C0000}"/>
    <cellStyle name="Separador de milhares 10 10 2 14 2" xfId="17503" xr:uid="{00000000-0005-0000-0000-0000F44C0000}"/>
    <cellStyle name="Separador de milhares 10 10 2 14 3" xfId="17504" xr:uid="{00000000-0005-0000-0000-0000F54C0000}"/>
    <cellStyle name="Separador de milhares 10 10 2 14 4" xfId="17505" xr:uid="{00000000-0005-0000-0000-0000F64C0000}"/>
    <cellStyle name="Separador de milhares 10 10 2 15" xfId="17506" xr:uid="{00000000-0005-0000-0000-0000F74C0000}"/>
    <cellStyle name="Separador de milhares 10 10 2 15 2" xfId="17507" xr:uid="{00000000-0005-0000-0000-0000F84C0000}"/>
    <cellStyle name="Separador de milhares 10 10 2 15 3" xfId="17508" xr:uid="{00000000-0005-0000-0000-0000F94C0000}"/>
    <cellStyle name="Separador de milhares 10 10 2 15 4" xfId="17509" xr:uid="{00000000-0005-0000-0000-0000FA4C0000}"/>
    <cellStyle name="Separador de milhares 10 10 2 16" xfId="17510" xr:uid="{00000000-0005-0000-0000-0000FB4C0000}"/>
    <cellStyle name="Separador de milhares 10 10 2 17" xfId="17511" xr:uid="{00000000-0005-0000-0000-0000FC4C0000}"/>
    <cellStyle name="Separador de milhares 10 10 2 18" xfId="17512" xr:uid="{00000000-0005-0000-0000-0000FD4C0000}"/>
    <cellStyle name="Separador de milhares 10 10 2 19" xfId="17513" xr:uid="{00000000-0005-0000-0000-0000FE4C0000}"/>
    <cellStyle name="Separador de milhares 10 10 2 2" xfId="17514" xr:uid="{00000000-0005-0000-0000-0000FF4C0000}"/>
    <cellStyle name="Separador de milhares 10 10 2 2 2" xfId="17515" xr:uid="{00000000-0005-0000-0000-0000004D0000}"/>
    <cellStyle name="Separador de milhares 10 10 2 2 3" xfId="17516" xr:uid="{00000000-0005-0000-0000-0000014D0000}"/>
    <cellStyle name="Separador de milhares 10 10 2 2 4" xfId="17517" xr:uid="{00000000-0005-0000-0000-0000024D0000}"/>
    <cellStyle name="Separador de milhares 10 10 2 20" xfId="17518" xr:uid="{00000000-0005-0000-0000-0000034D0000}"/>
    <cellStyle name="Separador de milhares 10 10 2 21" xfId="17519" xr:uid="{00000000-0005-0000-0000-0000044D0000}"/>
    <cellStyle name="Separador de milhares 10 10 2 3" xfId="17520" xr:uid="{00000000-0005-0000-0000-0000054D0000}"/>
    <cellStyle name="Separador de milhares 10 10 2 3 2" xfId="17521" xr:uid="{00000000-0005-0000-0000-0000064D0000}"/>
    <cellStyle name="Separador de milhares 10 10 2 3 3" xfId="17522" xr:uid="{00000000-0005-0000-0000-0000074D0000}"/>
    <cellStyle name="Separador de milhares 10 10 2 3 4" xfId="17523" xr:uid="{00000000-0005-0000-0000-0000084D0000}"/>
    <cellStyle name="Separador de milhares 10 10 2 4" xfId="17524" xr:uid="{00000000-0005-0000-0000-0000094D0000}"/>
    <cellStyle name="Separador de milhares 10 10 2 4 2" xfId="17525" xr:uid="{00000000-0005-0000-0000-00000A4D0000}"/>
    <cellStyle name="Separador de milhares 10 10 2 4 3" xfId="17526" xr:uid="{00000000-0005-0000-0000-00000B4D0000}"/>
    <cellStyle name="Separador de milhares 10 10 2 4 4" xfId="17527" xr:uid="{00000000-0005-0000-0000-00000C4D0000}"/>
    <cellStyle name="Separador de milhares 10 10 2 5" xfId="17528" xr:uid="{00000000-0005-0000-0000-00000D4D0000}"/>
    <cellStyle name="Separador de milhares 10 10 2 5 2" xfId="17529" xr:uid="{00000000-0005-0000-0000-00000E4D0000}"/>
    <cellStyle name="Separador de milhares 10 10 2 5 3" xfId="17530" xr:uid="{00000000-0005-0000-0000-00000F4D0000}"/>
    <cellStyle name="Separador de milhares 10 10 2 5 4" xfId="17531" xr:uid="{00000000-0005-0000-0000-0000104D0000}"/>
    <cellStyle name="Separador de milhares 10 10 2 6" xfId="17532" xr:uid="{00000000-0005-0000-0000-0000114D0000}"/>
    <cellStyle name="Separador de milhares 10 10 2 6 2" xfId="17533" xr:uid="{00000000-0005-0000-0000-0000124D0000}"/>
    <cellStyle name="Separador de milhares 10 10 2 6 3" xfId="17534" xr:uid="{00000000-0005-0000-0000-0000134D0000}"/>
    <cellStyle name="Separador de milhares 10 10 2 6 4" xfId="17535" xr:uid="{00000000-0005-0000-0000-0000144D0000}"/>
    <cellStyle name="Separador de milhares 10 10 2 7" xfId="17536" xr:uid="{00000000-0005-0000-0000-0000154D0000}"/>
    <cellStyle name="Separador de milhares 10 10 2 7 2" xfId="17537" xr:uid="{00000000-0005-0000-0000-0000164D0000}"/>
    <cellStyle name="Separador de milhares 10 10 2 7 3" xfId="17538" xr:uid="{00000000-0005-0000-0000-0000174D0000}"/>
    <cellStyle name="Separador de milhares 10 10 2 7 4" xfId="17539" xr:uid="{00000000-0005-0000-0000-0000184D0000}"/>
    <cellStyle name="Separador de milhares 10 10 2 8" xfId="17540" xr:uid="{00000000-0005-0000-0000-0000194D0000}"/>
    <cellStyle name="Separador de milhares 10 10 2 8 2" xfId="17541" xr:uid="{00000000-0005-0000-0000-00001A4D0000}"/>
    <cellStyle name="Separador de milhares 10 10 2 8 3" xfId="17542" xr:uid="{00000000-0005-0000-0000-00001B4D0000}"/>
    <cellStyle name="Separador de milhares 10 10 2 8 4" xfId="17543" xr:uid="{00000000-0005-0000-0000-00001C4D0000}"/>
    <cellStyle name="Separador de milhares 10 10 2 9" xfId="17544" xr:uid="{00000000-0005-0000-0000-00001D4D0000}"/>
    <cellStyle name="Separador de milhares 10 10 2 9 2" xfId="17545" xr:uid="{00000000-0005-0000-0000-00001E4D0000}"/>
    <cellStyle name="Separador de milhares 10 10 2 9 3" xfId="17546" xr:uid="{00000000-0005-0000-0000-00001F4D0000}"/>
    <cellStyle name="Separador de milhares 10 10 2 9 4" xfId="17547" xr:uid="{00000000-0005-0000-0000-0000204D0000}"/>
    <cellStyle name="Separador de milhares 10 10 20" xfId="17548" xr:uid="{00000000-0005-0000-0000-0000214D0000}"/>
    <cellStyle name="Separador de milhares 10 10 21" xfId="17549" xr:uid="{00000000-0005-0000-0000-0000224D0000}"/>
    <cellStyle name="Separador de milhares 10 10 22" xfId="17550" xr:uid="{00000000-0005-0000-0000-0000234D0000}"/>
    <cellStyle name="Separador de milhares 10 10 23" xfId="17551" xr:uid="{00000000-0005-0000-0000-0000244D0000}"/>
    <cellStyle name="Separador de milhares 10 10 24" xfId="17552" xr:uid="{00000000-0005-0000-0000-0000254D0000}"/>
    <cellStyle name="Separador de milhares 10 10 25" xfId="17553" xr:uid="{00000000-0005-0000-0000-0000264D0000}"/>
    <cellStyle name="Separador de milhares 10 10 26" xfId="17554" xr:uid="{00000000-0005-0000-0000-0000274D0000}"/>
    <cellStyle name="Separador de milhares 10 10 26 2" xfId="17555" xr:uid="{00000000-0005-0000-0000-0000284D0000}"/>
    <cellStyle name="Separador de milhares 10 10 26 3" xfId="17556" xr:uid="{00000000-0005-0000-0000-0000294D0000}"/>
    <cellStyle name="Separador de milhares 10 10 26 4" xfId="17557" xr:uid="{00000000-0005-0000-0000-00002A4D0000}"/>
    <cellStyle name="Separador de milhares 10 10 27" xfId="17558" xr:uid="{00000000-0005-0000-0000-00002B4D0000}"/>
    <cellStyle name="Separador de milhares 10 10 28" xfId="17559" xr:uid="{00000000-0005-0000-0000-00002C4D0000}"/>
    <cellStyle name="Separador de milhares 10 10 29" xfId="17560" xr:uid="{00000000-0005-0000-0000-00002D4D0000}"/>
    <cellStyle name="Separador de milhares 10 10 3" xfId="17561" xr:uid="{00000000-0005-0000-0000-00002E4D0000}"/>
    <cellStyle name="Separador de milhares 10 10 3 2" xfId="17562" xr:uid="{00000000-0005-0000-0000-00002F4D0000}"/>
    <cellStyle name="Separador de milhares 10 10 3 3" xfId="17563" xr:uid="{00000000-0005-0000-0000-0000304D0000}"/>
    <cellStyle name="Separador de milhares 10 10 3 4" xfId="17564" xr:uid="{00000000-0005-0000-0000-0000314D0000}"/>
    <cellStyle name="Separador de milhares 10 10 30" xfId="17565" xr:uid="{00000000-0005-0000-0000-0000324D0000}"/>
    <cellStyle name="Separador de milhares 10 10 31" xfId="17566" xr:uid="{00000000-0005-0000-0000-0000334D0000}"/>
    <cellStyle name="Separador de milhares 10 10 32" xfId="17567" xr:uid="{00000000-0005-0000-0000-0000344D0000}"/>
    <cellStyle name="Separador de milhares 10 10 33" xfId="17568" xr:uid="{00000000-0005-0000-0000-0000354D0000}"/>
    <cellStyle name="Separador de milhares 10 10 34" xfId="17569" xr:uid="{00000000-0005-0000-0000-0000364D0000}"/>
    <cellStyle name="Separador de milhares 10 10 35" xfId="17570" xr:uid="{00000000-0005-0000-0000-0000374D0000}"/>
    <cellStyle name="Separador de milhares 10 10 36" xfId="17571" xr:uid="{00000000-0005-0000-0000-0000384D0000}"/>
    <cellStyle name="Separador de milhares 10 10 4" xfId="17572" xr:uid="{00000000-0005-0000-0000-0000394D0000}"/>
    <cellStyle name="Separador de milhares 10 10 4 2" xfId="17573" xr:uid="{00000000-0005-0000-0000-00003A4D0000}"/>
    <cellStyle name="Separador de milhares 10 10 4 3" xfId="17574" xr:uid="{00000000-0005-0000-0000-00003B4D0000}"/>
    <cellStyle name="Separador de milhares 10 10 4 4" xfId="17575" xr:uid="{00000000-0005-0000-0000-00003C4D0000}"/>
    <cellStyle name="Separador de milhares 10 10 5" xfId="17576" xr:uid="{00000000-0005-0000-0000-00003D4D0000}"/>
    <cellStyle name="Separador de milhares 10 10 6" xfId="17577" xr:uid="{00000000-0005-0000-0000-00003E4D0000}"/>
    <cellStyle name="Separador de milhares 10 10 7" xfId="17578" xr:uid="{00000000-0005-0000-0000-00003F4D0000}"/>
    <cellStyle name="Separador de milhares 10 10 8" xfId="17579" xr:uid="{00000000-0005-0000-0000-0000404D0000}"/>
    <cellStyle name="Separador de milhares 10 10 9" xfId="17580" xr:uid="{00000000-0005-0000-0000-0000414D0000}"/>
    <cellStyle name="Separador de milhares 10 11" xfId="17581" xr:uid="{00000000-0005-0000-0000-0000424D0000}"/>
    <cellStyle name="Separador de milhares 10 11 2" xfId="17582" xr:uid="{00000000-0005-0000-0000-0000434D0000}"/>
    <cellStyle name="Separador de milhares 10 11 2 2" xfId="28299" xr:uid="{7BC8FC48-2996-4887-B056-CAE02E79BF47}"/>
    <cellStyle name="Separador de milhares 10 12" xfId="17583" xr:uid="{00000000-0005-0000-0000-0000444D0000}"/>
    <cellStyle name="Separador de milhares 10 12 2" xfId="17584" xr:uid="{00000000-0005-0000-0000-0000454D0000}"/>
    <cellStyle name="Separador de milhares 10 12 2 2" xfId="28300" xr:uid="{FD1DC568-FE89-4422-9B3A-B77DA5E50F97}"/>
    <cellStyle name="Separador de milhares 10 13" xfId="17585" xr:uid="{00000000-0005-0000-0000-0000464D0000}"/>
    <cellStyle name="Separador de milhares 10 13 2" xfId="17586" xr:uid="{00000000-0005-0000-0000-0000474D0000}"/>
    <cellStyle name="Separador de milhares 10 13 2 2" xfId="28301" xr:uid="{6E3775DB-D4E1-4817-A109-DA556774CB05}"/>
    <cellStyle name="Separador de milhares 10 14" xfId="17587" xr:uid="{00000000-0005-0000-0000-0000484D0000}"/>
    <cellStyle name="Separador de milhares 10 14 2" xfId="17588" xr:uid="{00000000-0005-0000-0000-0000494D0000}"/>
    <cellStyle name="Separador de milhares 10 14 2 2" xfId="28302" xr:uid="{F2773402-9D4E-445C-9AB6-C0C00CD89986}"/>
    <cellStyle name="Separador de milhares 10 15" xfId="17589" xr:uid="{00000000-0005-0000-0000-00004A4D0000}"/>
    <cellStyle name="Separador de milhares 10 15 2" xfId="17590" xr:uid="{00000000-0005-0000-0000-00004B4D0000}"/>
    <cellStyle name="Separador de milhares 10 15 2 2" xfId="28303" xr:uid="{FBA8B3F9-F085-4491-95E4-0EF32EAC09F3}"/>
    <cellStyle name="Separador de milhares 10 16" xfId="17591" xr:uid="{00000000-0005-0000-0000-00004C4D0000}"/>
    <cellStyle name="Separador de milhares 10 16 2" xfId="17592" xr:uid="{00000000-0005-0000-0000-00004D4D0000}"/>
    <cellStyle name="Separador de milhares 10 16 2 2" xfId="28304" xr:uid="{A224906C-39B0-4091-95BB-803C332AF596}"/>
    <cellStyle name="Separador de milhares 10 17" xfId="17593" xr:uid="{00000000-0005-0000-0000-00004E4D0000}"/>
    <cellStyle name="Separador de milhares 10 17 2" xfId="17594" xr:uid="{00000000-0005-0000-0000-00004F4D0000}"/>
    <cellStyle name="Separador de milhares 10 17 2 2" xfId="28305" xr:uid="{B68E4BC9-4981-49CF-8198-AF2ACA0B1C37}"/>
    <cellStyle name="Separador de milhares 10 18" xfId="17595" xr:uid="{00000000-0005-0000-0000-0000504D0000}"/>
    <cellStyle name="Separador de milhares 10 18 2" xfId="17596" xr:uid="{00000000-0005-0000-0000-0000514D0000}"/>
    <cellStyle name="Separador de milhares 10 18 2 2" xfId="28306" xr:uid="{5625EEEF-AE02-4CAD-A755-6FC770EDFAA0}"/>
    <cellStyle name="Separador de milhares 10 19" xfId="17597" xr:uid="{00000000-0005-0000-0000-0000524D0000}"/>
    <cellStyle name="Separador de milhares 10 19 2" xfId="17598" xr:uid="{00000000-0005-0000-0000-0000534D0000}"/>
    <cellStyle name="Separador de milhares 10 19 2 2" xfId="28307" xr:uid="{1D6C8259-83E4-4A8A-8D51-453673C70C2E}"/>
    <cellStyle name="Separador de milhares 10 2" xfId="633" xr:uid="{00000000-0005-0000-0000-0000544D0000}"/>
    <cellStyle name="Separador de milhares 10 2 10" xfId="17600" xr:uid="{00000000-0005-0000-0000-0000554D0000}"/>
    <cellStyle name="Separador de milhares 10 2 10 2" xfId="17601" xr:uid="{00000000-0005-0000-0000-0000564D0000}"/>
    <cellStyle name="Separador de milhares 10 2 10 2 2" xfId="28309" xr:uid="{E28C2158-BFF0-485A-9EBB-BE55132863EC}"/>
    <cellStyle name="Separador de milhares 10 2 11" xfId="17602" xr:uid="{00000000-0005-0000-0000-0000574D0000}"/>
    <cellStyle name="Separador de milhares 10 2 11 2" xfId="17603" xr:uid="{00000000-0005-0000-0000-0000584D0000}"/>
    <cellStyle name="Separador de milhares 10 2 11 2 2" xfId="28310" xr:uid="{C5F83FAF-0074-4A1E-B956-BF0CD4530EC0}"/>
    <cellStyle name="Separador de milhares 10 2 12" xfId="17604" xr:uid="{00000000-0005-0000-0000-0000594D0000}"/>
    <cellStyle name="Separador de milhares 10 2 12 2" xfId="17605" xr:uid="{00000000-0005-0000-0000-00005A4D0000}"/>
    <cellStyle name="Separador de milhares 10 2 12 2 2" xfId="28311" xr:uid="{D640CDBE-4521-4A6A-AAD6-C80619555E84}"/>
    <cellStyle name="Separador de milhares 10 2 13" xfId="17606" xr:uid="{00000000-0005-0000-0000-00005B4D0000}"/>
    <cellStyle name="Separador de milhares 10 2 13 2" xfId="17607" xr:uid="{00000000-0005-0000-0000-00005C4D0000}"/>
    <cellStyle name="Separador de milhares 10 2 13 2 2" xfId="28312" xr:uid="{6E49B16A-FDDD-45B9-B6C8-0AE0BBF812C3}"/>
    <cellStyle name="Separador de milhares 10 2 14" xfId="17608" xr:uid="{00000000-0005-0000-0000-00005D4D0000}"/>
    <cellStyle name="Separador de milhares 10 2 14 2" xfId="17609" xr:uid="{00000000-0005-0000-0000-00005E4D0000}"/>
    <cellStyle name="Separador de milhares 10 2 14 2 2" xfId="28314" xr:uid="{1FFAEAC9-F259-4FDE-858D-3EBD6AE46949}"/>
    <cellStyle name="Separador de milhares 10 2 14 3" xfId="28313" xr:uid="{57AE4F1F-7833-4BD4-8E2E-47A26262B9C6}"/>
    <cellStyle name="Separador de milhares 10 2 15" xfId="17610" xr:uid="{00000000-0005-0000-0000-00005F4D0000}"/>
    <cellStyle name="Separador de milhares 10 2 15 2" xfId="17611" xr:uid="{00000000-0005-0000-0000-0000604D0000}"/>
    <cellStyle name="Separador de milhares 10 2 15 2 2" xfId="28316" xr:uid="{3B3941BA-D705-4BEC-8B70-1D8B8CF870A2}"/>
    <cellStyle name="Separador de milhares 10 2 15 3" xfId="28315" xr:uid="{ED555B93-9440-4541-AE68-35ADC8103BDA}"/>
    <cellStyle name="Separador de milhares 10 2 16" xfId="17612" xr:uid="{00000000-0005-0000-0000-0000614D0000}"/>
    <cellStyle name="Separador de milhares 10 2 16 2" xfId="17613" xr:uid="{00000000-0005-0000-0000-0000624D0000}"/>
    <cellStyle name="Separador de milhares 10 2 16 2 2" xfId="28318" xr:uid="{3ED11CAF-D599-42B4-922E-90431FFB8038}"/>
    <cellStyle name="Separador de milhares 10 2 16 3" xfId="28317" xr:uid="{DB3BD9F3-F186-4B4A-97EF-BB720FF74576}"/>
    <cellStyle name="Separador de milhares 10 2 17" xfId="17614" xr:uid="{00000000-0005-0000-0000-0000634D0000}"/>
    <cellStyle name="Separador de milhares 10 2 17 2" xfId="17615" xr:uid="{00000000-0005-0000-0000-0000644D0000}"/>
    <cellStyle name="Separador de milhares 10 2 17 2 2" xfId="28320" xr:uid="{BFBDEDF4-7721-4850-BD41-10A8D4CE2E04}"/>
    <cellStyle name="Separador de milhares 10 2 17 3" xfId="28319" xr:uid="{39DB7DFC-A27D-4949-8B99-00A3408059C7}"/>
    <cellStyle name="Separador de milhares 10 2 18" xfId="17616" xr:uid="{00000000-0005-0000-0000-0000654D0000}"/>
    <cellStyle name="Separador de milhares 10 2 18 2" xfId="17617" xr:uid="{00000000-0005-0000-0000-0000664D0000}"/>
    <cellStyle name="Separador de milhares 10 2 18 2 2" xfId="28322" xr:uid="{FD5BE0EF-91D8-4837-91B0-2024886190B8}"/>
    <cellStyle name="Separador de milhares 10 2 18 3" xfId="28321" xr:uid="{10A5289D-08DC-404B-B329-20A7272A9553}"/>
    <cellStyle name="Separador de milhares 10 2 19" xfId="17618" xr:uid="{00000000-0005-0000-0000-0000674D0000}"/>
    <cellStyle name="Separador de milhares 10 2 19 2" xfId="17619" xr:uid="{00000000-0005-0000-0000-0000684D0000}"/>
    <cellStyle name="Separador de milhares 10 2 19 2 2" xfId="28324" xr:uid="{0622C004-035C-4145-AB83-36B152DB799D}"/>
    <cellStyle name="Separador de milhares 10 2 19 3" xfId="28323" xr:uid="{FC9AE2CD-879D-4D46-97DF-4AC0A3E7B0A8}"/>
    <cellStyle name="Separador de milhares 10 2 2" xfId="634" xr:uid="{00000000-0005-0000-0000-0000694D0000}"/>
    <cellStyle name="Separador de milhares 10 2 2 10" xfId="17621" xr:uid="{00000000-0005-0000-0000-00006A4D0000}"/>
    <cellStyle name="Separador de milhares 10 2 2 11" xfId="17620" xr:uid="{00000000-0005-0000-0000-00006B4D0000}"/>
    <cellStyle name="Separador de milhares 10 2 2 12" xfId="27878" xr:uid="{345FD031-15D2-4C52-92B7-6F9647004A15}"/>
    <cellStyle name="Separador de milhares 10 2 2 2" xfId="635" xr:uid="{00000000-0005-0000-0000-00006C4D0000}"/>
    <cellStyle name="Separador de milhares 10 2 2 2 2" xfId="636" xr:uid="{00000000-0005-0000-0000-00006D4D0000}"/>
    <cellStyle name="Separador de milhares 10 2 2 2 2 2" xfId="17623" xr:uid="{00000000-0005-0000-0000-00006E4D0000}"/>
    <cellStyle name="Separador de milhares 10 2 2 2 2 2 2" xfId="28325" xr:uid="{3F0BE231-0897-4525-8BFB-5F15AA7F3E42}"/>
    <cellStyle name="Separador de milhares 10 2 2 2 2 3" xfId="27880" xr:uid="{507AE1AB-E0F4-4AB5-8B52-629D2CBA84BF}"/>
    <cellStyle name="Separador de milhares 10 2 2 2 3" xfId="17622" xr:uid="{00000000-0005-0000-0000-00006F4D0000}"/>
    <cellStyle name="Separador de milhares 10 2 2 2 4" xfId="27879" xr:uid="{CCB5B8FB-8B53-4DFB-9830-CB0D81132A2D}"/>
    <cellStyle name="Separador de milhares 10 2 2 3" xfId="637" xr:uid="{00000000-0005-0000-0000-0000704D0000}"/>
    <cellStyle name="Separador de milhares 10 2 2 3 2" xfId="17625" xr:uid="{00000000-0005-0000-0000-0000714D0000}"/>
    <cellStyle name="Separador de milhares 10 2 2 3 2 2" xfId="28326" xr:uid="{574C1DD9-972D-4563-9770-7E9EDD4F9B25}"/>
    <cellStyle name="Separador de milhares 10 2 2 3 3" xfId="17624" xr:uid="{00000000-0005-0000-0000-0000724D0000}"/>
    <cellStyle name="Separador de milhares 10 2 2 3 4" xfId="27881" xr:uid="{0A035E66-260B-4330-814D-EBF805C7CCAF}"/>
    <cellStyle name="Separador de milhares 10 2 2 4" xfId="17626" xr:uid="{00000000-0005-0000-0000-0000734D0000}"/>
    <cellStyle name="Separador de milhares 10 2 2 4 2" xfId="17627" xr:uid="{00000000-0005-0000-0000-0000744D0000}"/>
    <cellStyle name="Separador de milhares 10 2 2 4 2 2" xfId="28327" xr:uid="{9FBC184C-4A51-4FE4-A533-984CE24DCE8C}"/>
    <cellStyle name="Separador de milhares 10 2 2 5" xfId="17628" xr:uid="{00000000-0005-0000-0000-0000754D0000}"/>
    <cellStyle name="Separador de milhares 10 2 2 5 2" xfId="17629" xr:uid="{00000000-0005-0000-0000-0000764D0000}"/>
    <cellStyle name="Separador de milhares 10 2 2 5 2 2" xfId="28328" xr:uid="{40DB2F17-56F7-4B58-938C-52F5E5778838}"/>
    <cellStyle name="Separador de milhares 10 2 2 6" xfId="17630" xr:uid="{00000000-0005-0000-0000-0000774D0000}"/>
    <cellStyle name="Separador de milhares 10 2 2 7" xfId="17631" xr:uid="{00000000-0005-0000-0000-0000784D0000}"/>
    <cellStyle name="Separador de milhares 10 2 2 8" xfId="17632" xr:uid="{00000000-0005-0000-0000-0000794D0000}"/>
    <cellStyle name="Separador de milhares 10 2 2 9" xfId="17633" xr:uid="{00000000-0005-0000-0000-00007A4D0000}"/>
    <cellStyle name="Separador de milhares 10 2 20" xfId="17634" xr:uid="{00000000-0005-0000-0000-00007B4D0000}"/>
    <cellStyle name="Separador de milhares 10 2 20 2" xfId="17635" xr:uid="{00000000-0005-0000-0000-00007C4D0000}"/>
    <cellStyle name="Separador de milhares 10 2 20 2 2" xfId="28330" xr:uid="{5A77D792-BFFC-44F1-BD3F-E98AAC954866}"/>
    <cellStyle name="Separador de milhares 10 2 20 3" xfId="28329" xr:uid="{0F5099E5-6DB5-443D-95D7-25000397603F}"/>
    <cellStyle name="Separador de milhares 10 2 21" xfId="17636" xr:uid="{00000000-0005-0000-0000-00007D4D0000}"/>
    <cellStyle name="Separador de milhares 10 2 21 2" xfId="17637" xr:uid="{00000000-0005-0000-0000-00007E4D0000}"/>
    <cellStyle name="Separador de milhares 10 2 21 2 2" xfId="28332" xr:uid="{AF9252C4-A40C-4680-89A2-28A85F3ADE0F}"/>
    <cellStyle name="Separador de milhares 10 2 21 3" xfId="28331" xr:uid="{3E80D2D3-2F79-48E9-BBE8-9E51115E63FC}"/>
    <cellStyle name="Separador de milhares 10 2 22" xfId="17638" xr:uid="{00000000-0005-0000-0000-00007F4D0000}"/>
    <cellStyle name="Separador de milhares 10 2 22 2" xfId="17639" xr:uid="{00000000-0005-0000-0000-0000804D0000}"/>
    <cellStyle name="Separador de milhares 10 2 22 2 2" xfId="28334" xr:uid="{0478CC58-48B9-4CBE-B5B0-3EF60C2C26CA}"/>
    <cellStyle name="Separador de milhares 10 2 22 3" xfId="28333" xr:uid="{11D1F202-E354-4D9D-9106-422B3153C180}"/>
    <cellStyle name="Separador de milhares 10 2 23" xfId="17640" xr:uid="{00000000-0005-0000-0000-0000814D0000}"/>
    <cellStyle name="Separador de milhares 10 2 23 2" xfId="17641" xr:uid="{00000000-0005-0000-0000-0000824D0000}"/>
    <cellStyle name="Separador de milhares 10 2 23 2 2" xfId="28336" xr:uid="{916E69D3-1C38-4EA3-ACDF-9BCD9C85BB78}"/>
    <cellStyle name="Separador de milhares 10 2 23 3" xfId="28335" xr:uid="{CD5092AB-6AC5-427B-B9F1-D7BA0B144B9E}"/>
    <cellStyle name="Separador de milhares 10 2 24" xfId="17642" xr:uid="{00000000-0005-0000-0000-0000834D0000}"/>
    <cellStyle name="Separador de milhares 10 2 24 2" xfId="17643" xr:uid="{00000000-0005-0000-0000-0000844D0000}"/>
    <cellStyle name="Separador de milhares 10 2 24 2 2" xfId="28338" xr:uid="{BF4895D9-7559-489B-9030-279B7596A307}"/>
    <cellStyle name="Separador de milhares 10 2 24 3" xfId="28337" xr:uid="{6428B091-0A72-42CE-956D-EF742BE710F8}"/>
    <cellStyle name="Separador de milhares 10 2 25" xfId="17644" xr:uid="{00000000-0005-0000-0000-0000854D0000}"/>
    <cellStyle name="Separador de milhares 10 2 25 2" xfId="17645" xr:uid="{00000000-0005-0000-0000-0000864D0000}"/>
    <cellStyle name="Separador de milhares 10 2 25 2 2" xfId="28340" xr:uid="{C79E39BA-24E2-45E0-A948-768493BD796C}"/>
    <cellStyle name="Separador de milhares 10 2 25 3" xfId="28339" xr:uid="{F5B1BFB4-2BA8-4C67-BBF2-F5EDD6AA663A}"/>
    <cellStyle name="Separador de milhares 10 2 26" xfId="17646" xr:uid="{00000000-0005-0000-0000-0000874D0000}"/>
    <cellStyle name="Separador de milhares 10 2 26 2" xfId="17647" xr:uid="{00000000-0005-0000-0000-0000884D0000}"/>
    <cellStyle name="Separador de milhares 10 2 26 2 2" xfId="28342" xr:uid="{73AFA2D3-B268-4AA9-80A4-F458EB40F57A}"/>
    <cellStyle name="Separador de milhares 10 2 26 3" xfId="28341" xr:uid="{D2D666D0-A239-4B8E-B71D-D8842BB968DB}"/>
    <cellStyle name="Separador de milhares 10 2 27" xfId="17648" xr:uid="{00000000-0005-0000-0000-0000894D0000}"/>
    <cellStyle name="Separador de milhares 10 2 27 2" xfId="17649" xr:uid="{00000000-0005-0000-0000-00008A4D0000}"/>
    <cellStyle name="Separador de milhares 10 2 27 2 2" xfId="28344" xr:uid="{DBF558CB-9401-4DAF-B0BC-157E5D503CCC}"/>
    <cellStyle name="Separador de milhares 10 2 27 3" xfId="28343" xr:uid="{7D9B488B-54B8-4EE3-A3A6-FCB01219066F}"/>
    <cellStyle name="Separador de milhares 10 2 28" xfId="17650" xr:uid="{00000000-0005-0000-0000-00008B4D0000}"/>
    <cellStyle name="Separador de milhares 10 2 28 2" xfId="17651" xr:uid="{00000000-0005-0000-0000-00008C4D0000}"/>
    <cellStyle name="Separador de milhares 10 2 28 2 2" xfId="28346" xr:uid="{A21A0228-DD48-49FA-9A33-4E2C4B5DDB2D}"/>
    <cellStyle name="Separador de milhares 10 2 28 3" xfId="28345" xr:uid="{0F59CB26-B908-492A-BEC6-4C7BC22ECB16}"/>
    <cellStyle name="Separador de milhares 10 2 29" xfId="17652" xr:uid="{00000000-0005-0000-0000-00008D4D0000}"/>
    <cellStyle name="Separador de milhares 10 2 29 2" xfId="17653" xr:uid="{00000000-0005-0000-0000-00008E4D0000}"/>
    <cellStyle name="Separador de milhares 10 2 29 2 2" xfId="28348" xr:uid="{7CE2C95A-3EC6-4680-8A2F-A052ECC0E527}"/>
    <cellStyle name="Separador de milhares 10 2 29 3" xfId="28347" xr:uid="{4A5C965B-CB2F-4E25-AA7E-BF743EC2A868}"/>
    <cellStyle name="Separador de milhares 10 2 3" xfId="638" xr:uid="{00000000-0005-0000-0000-00008F4D0000}"/>
    <cellStyle name="Separador de milhares 10 2 3 10" xfId="17655" xr:uid="{00000000-0005-0000-0000-0000904D0000}"/>
    <cellStyle name="Separador de milhares 10 2 3 11" xfId="17654" xr:uid="{00000000-0005-0000-0000-0000914D0000}"/>
    <cellStyle name="Separador de milhares 10 2 3 11 2" xfId="28349" xr:uid="{5B415F73-2431-4900-A03E-66D94238876E}"/>
    <cellStyle name="Separador de milhares 10 2 3 12" xfId="27882" xr:uid="{730899C2-42B6-4116-990C-689677E3534C}"/>
    <cellStyle name="Separador de milhares 10 2 3 2" xfId="639" xr:uid="{00000000-0005-0000-0000-0000924D0000}"/>
    <cellStyle name="Separador de milhares 10 2 3 2 2" xfId="17657" xr:uid="{00000000-0005-0000-0000-0000934D0000}"/>
    <cellStyle name="Separador de milhares 10 2 3 2 2 2" xfId="28350" xr:uid="{BEAF4959-B7ED-474B-BD91-35B51775E3E6}"/>
    <cellStyle name="Separador de milhares 10 2 3 2 3" xfId="17656" xr:uid="{00000000-0005-0000-0000-0000944D0000}"/>
    <cellStyle name="Separador de milhares 10 2 3 2 4" xfId="27883" xr:uid="{205B6D27-A3A0-4840-9266-D12293CB6831}"/>
    <cellStyle name="Separador de milhares 10 2 3 3" xfId="17658" xr:uid="{00000000-0005-0000-0000-0000954D0000}"/>
    <cellStyle name="Separador de milhares 10 2 3 3 2" xfId="17659" xr:uid="{00000000-0005-0000-0000-0000964D0000}"/>
    <cellStyle name="Separador de milhares 10 2 3 3 2 2" xfId="28351" xr:uid="{9BCB413A-23EB-4E6C-A9FB-999C270C2561}"/>
    <cellStyle name="Separador de milhares 10 2 3 4" xfId="17660" xr:uid="{00000000-0005-0000-0000-0000974D0000}"/>
    <cellStyle name="Separador de milhares 10 2 3 4 2" xfId="17661" xr:uid="{00000000-0005-0000-0000-0000984D0000}"/>
    <cellStyle name="Separador de milhares 10 2 3 4 2 2" xfId="28352" xr:uid="{41DD01C2-EDA3-4CAB-A8EC-593B2CB91611}"/>
    <cellStyle name="Separador de milhares 10 2 3 5" xfId="17662" xr:uid="{00000000-0005-0000-0000-0000994D0000}"/>
    <cellStyle name="Separador de milhares 10 2 3 5 2" xfId="17663" xr:uid="{00000000-0005-0000-0000-00009A4D0000}"/>
    <cellStyle name="Separador de milhares 10 2 3 5 2 2" xfId="28353" xr:uid="{423E986D-6CD0-4AC9-8B5E-5CB926F88038}"/>
    <cellStyle name="Separador de milhares 10 2 3 6" xfId="17664" xr:uid="{00000000-0005-0000-0000-00009B4D0000}"/>
    <cellStyle name="Separador de milhares 10 2 3 7" xfId="17665" xr:uid="{00000000-0005-0000-0000-00009C4D0000}"/>
    <cellStyle name="Separador de milhares 10 2 3 8" xfId="17666" xr:uid="{00000000-0005-0000-0000-00009D4D0000}"/>
    <cellStyle name="Separador de milhares 10 2 3 9" xfId="17667" xr:uid="{00000000-0005-0000-0000-00009E4D0000}"/>
    <cellStyle name="Separador de milhares 10 2 30" xfId="17668" xr:uid="{00000000-0005-0000-0000-00009F4D0000}"/>
    <cellStyle name="Separador de milhares 10 2 30 2" xfId="17669" xr:uid="{00000000-0005-0000-0000-0000A04D0000}"/>
    <cellStyle name="Separador de milhares 10 2 30 2 2" xfId="28355" xr:uid="{429EF569-EE2A-410C-9A57-7FFA2C05D3CA}"/>
    <cellStyle name="Separador de milhares 10 2 30 3" xfId="28354" xr:uid="{6D32E603-516E-44EC-9B2D-D6441AAA620A}"/>
    <cellStyle name="Separador de milhares 10 2 31" xfId="17670" xr:uid="{00000000-0005-0000-0000-0000A14D0000}"/>
    <cellStyle name="Separador de milhares 10 2 31 2" xfId="17671" xr:uid="{00000000-0005-0000-0000-0000A24D0000}"/>
    <cellStyle name="Separador de milhares 10 2 31 2 2" xfId="28357" xr:uid="{BDD6516B-CE30-4250-97DB-24CD8EA29AA6}"/>
    <cellStyle name="Separador de milhares 10 2 31 3" xfId="28356" xr:uid="{E8A8D2D1-A7E5-4F92-8477-AB51C441BE31}"/>
    <cellStyle name="Separador de milhares 10 2 32" xfId="17672" xr:uid="{00000000-0005-0000-0000-0000A34D0000}"/>
    <cellStyle name="Separador de milhares 10 2 32 2" xfId="17673" xr:uid="{00000000-0005-0000-0000-0000A44D0000}"/>
    <cellStyle name="Separador de milhares 10 2 32 2 2" xfId="28359" xr:uid="{71BAE979-230C-4E8C-9B12-7324D43FBE29}"/>
    <cellStyle name="Separador de milhares 10 2 32 3" xfId="28358" xr:uid="{198386F4-323E-488D-8196-71C694739A12}"/>
    <cellStyle name="Separador de milhares 10 2 33" xfId="17674" xr:uid="{00000000-0005-0000-0000-0000A54D0000}"/>
    <cellStyle name="Separador de milhares 10 2 33 2" xfId="17675" xr:uid="{00000000-0005-0000-0000-0000A64D0000}"/>
    <cellStyle name="Separador de milhares 10 2 33 2 2" xfId="28361" xr:uid="{CB9DB328-4703-4897-95DC-68FC944AF632}"/>
    <cellStyle name="Separador de milhares 10 2 33 3" xfId="28360" xr:uid="{8F98A999-A3F2-4A7A-94C7-FE8B192722B1}"/>
    <cellStyle name="Separador de milhares 10 2 34" xfId="17676" xr:uid="{00000000-0005-0000-0000-0000A74D0000}"/>
    <cellStyle name="Separador de milhares 10 2 34 2" xfId="17677" xr:uid="{00000000-0005-0000-0000-0000A84D0000}"/>
    <cellStyle name="Separador de milhares 10 2 34 2 2" xfId="28363" xr:uid="{6C096F22-521A-4621-9C75-EBAFC49D6223}"/>
    <cellStyle name="Separador de milhares 10 2 34 3" xfId="28362" xr:uid="{A129CB58-7452-46C3-9E9F-B2F842509AF1}"/>
    <cellStyle name="Separador de milhares 10 2 35" xfId="17678" xr:uid="{00000000-0005-0000-0000-0000A94D0000}"/>
    <cellStyle name="Separador de milhares 10 2 35 2" xfId="17679" xr:uid="{00000000-0005-0000-0000-0000AA4D0000}"/>
    <cellStyle name="Separador de milhares 10 2 35 2 2" xfId="28365" xr:uid="{6E483F9A-BEDC-47D5-BF30-D439019F7D56}"/>
    <cellStyle name="Separador de milhares 10 2 35 3" xfId="28364" xr:uid="{A7F885A3-280B-48B4-9228-34C7B7B6B65A}"/>
    <cellStyle name="Separador de milhares 10 2 36" xfId="17680" xr:uid="{00000000-0005-0000-0000-0000AB4D0000}"/>
    <cellStyle name="Separador de milhares 10 2 36 2" xfId="17681" xr:uid="{00000000-0005-0000-0000-0000AC4D0000}"/>
    <cellStyle name="Separador de milhares 10 2 36 2 2" xfId="28367" xr:uid="{DF4648F9-36CB-49A0-8925-FD7950FB35C9}"/>
    <cellStyle name="Separador de milhares 10 2 36 3" xfId="28366" xr:uid="{E58FA87B-7D5D-436E-B096-12BB47861C20}"/>
    <cellStyle name="Separador de milhares 10 2 37" xfId="17682" xr:uid="{00000000-0005-0000-0000-0000AD4D0000}"/>
    <cellStyle name="Separador de milhares 10 2 37 2" xfId="28368" xr:uid="{7C6FF373-B636-4E29-A106-340BFC666780}"/>
    <cellStyle name="Separador de milhares 10 2 38" xfId="17599" xr:uid="{00000000-0005-0000-0000-0000AE4D0000}"/>
    <cellStyle name="Separador de milhares 10 2 38 2" xfId="28308" xr:uid="{5B4F3C1F-AFFA-4ED8-BC49-B653560E44E4}"/>
    <cellStyle name="Separador de milhares 10 2 39" xfId="27308" xr:uid="{00000000-0005-0000-0000-0000AF4D0000}"/>
    <cellStyle name="Separador de milhares 10 2 39 2" xfId="33145" xr:uid="{5FAEC648-4FB9-4A16-B2A7-E6204AFFA7DD}"/>
    <cellStyle name="Separador de milhares 10 2 4" xfId="640" xr:uid="{00000000-0005-0000-0000-0000B04D0000}"/>
    <cellStyle name="Separador de milhares 10 2 4 2" xfId="17684" xr:uid="{00000000-0005-0000-0000-0000B14D0000}"/>
    <cellStyle name="Separador de milhares 10 2 4 2 2" xfId="17685" xr:uid="{00000000-0005-0000-0000-0000B24D0000}"/>
    <cellStyle name="Separador de milhares 10 2 4 2 2 2" xfId="28370" xr:uid="{B235001B-83D2-4715-925A-E0ABFB546BCB}"/>
    <cellStyle name="Separador de milhares 10 2 4 2 3" xfId="28369" xr:uid="{579BB6A3-B6CC-4421-A36F-CB615D611A15}"/>
    <cellStyle name="Separador de milhares 10 2 4 3" xfId="17686" xr:uid="{00000000-0005-0000-0000-0000B34D0000}"/>
    <cellStyle name="Separador de milhares 10 2 4 3 2" xfId="17687" xr:uid="{00000000-0005-0000-0000-0000B44D0000}"/>
    <cellStyle name="Separador de milhares 10 2 4 3 2 2" xfId="28372" xr:uid="{6795EEFD-5A32-47E6-BE26-4502BFCBA0BF}"/>
    <cellStyle name="Separador de milhares 10 2 4 3 3" xfId="28371" xr:uid="{16791137-E414-47D2-8856-E52E643DA7A6}"/>
    <cellStyle name="Separador de milhares 10 2 4 4" xfId="17688" xr:uid="{00000000-0005-0000-0000-0000B54D0000}"/>
    <cellStyle name="Separador de milhares 10 2 4 4 2" xfId="17689" xr:uid="{00000000-0005-0000-0000-0000B64D0000}"/>
    <cellStyle name="Separador de milhares 10 2 4 4 2 2" xfId="28374" xr:uid="{2642F5A3-C2A0-4959-A296-3E4062885B82}"/>
    <cellStyle name="Separador de milhares 10 2 4 4 3" xfId="28373" xr:uid="{DB3FA2CE-36D9-4A22-BB4A-227F84C97CE4}"/>
    <cellStyle name="Separador de milhares 10 2 4 5" xfId="17690" xr:uid="{00000000-0005-0000-0000-0000B74D0000}"/>
    <cellStyle name="Separador de milhares 10 2 4 5 2" xfId="17691" xr:uid="{00000000-0005-0000-0000-0000B84D0000}"/>
    <cellStyle name="Separador de milhares 10 2 4 5 2 2" xfId="28376" xr:uid="{0F0E1D2B-43F4-4E9B-B2DD-3DE2EA5F3266}"/>
    <cellStyle name="Separador de milhares 10 2 4 5 3" xfId="28375" xr:uid="{3B224B9D-1F1D-464F-BBC0-9C6458E3F7D6}"/>
    <cellStyle name="Separador de milhares 10 2 4 6" xfId="17692" xr:uid="{00000000-0005-0000-0000-0000B94D0000}"/>
    <cellStyle name="Separador de milhares 10 2 4 6 2" xfId="28377" xr:uid="{39D00A01-3F75-4797-88C4-BD5E2C74C742}"/>
    <cellStyle name="Separador de milhares 10 2 4 7" xfId="17683" xr:uid="{00000000-0005-0000-0000-0000BA4D0000}"/>
    <cellStyle name="Separador de milhares 10 2 4 8" xfId="27884" xr:uid="{56390B63-7DF4-444F-98B4-007EF7B91CF0}"/>
    <cellStyle name="Separador de milhares 10 2 40" xfId="27479" xr:uid="{00000000-0005-0000-0000-0000BB4D0000}"/>
    <cellStyle name="Separador de milhares 10 2 40 2" xfId="33316" xr:uid="{B6150C09-C03A-467B-8073-E437FB13BEFD}"/>
    <cellStyle name="Separador de milhares 10 2 41" xfId="27648" xr:uid="{00000000-0005-0000-0000-0000BC4D0000}"/>
    <cellStyle name="Separador de milhares 10 2 41 2" xfId="33459" xr:uid="{A329BDDA-E067-4BC2-AE7E-C30D4675AFFF}"/>
    <cellStyle name="Separador de milhares 10 2 42" xfId="27805" xr:uid="{00000000-0005-0000-0000-0000BD4D0000}"/>
    <cellStyle name="Separador de milhares 10 2 42 2" xfId="33616" xr:uid="{4A46F3F8-3D11-4E54-AAD7-E0E483954C48}"/>
    <cellStyle name="Separador de milhares 10 2 43" xfId="27877" xr:uid="{E86ED968-3CB8-49D0-8BB5-FC2507F2F935}"/>
    <cellStyle name="Separador de milhares 10 2 5" xfId="17693" xr:uid="{00000000-0005-0000-0000-0000BE4D0000}"/>
    <cellStyle name="Separador de milhares 10 2 5 2" xfId="17694" xr:uid="{00000000-0005-0000-0000-0000BF4D0000}"/>
    <cellStyle name="Separador de milhares 10 2 5 2 2" xfId="28378" xr:uid="{516577DB-9E39-458C-9FB4-49A2396C2A6F}"/>
    <cellStyle name="Separador de milhares 10 2 6" xfId="17695" xr:uid="{00000000-0005-0000-0000-0000C04D0000}"/>
    <cellStyle name="Separador de milhares 10 2 6 2" xfId="17696" xr:uid="{00000000-0005-0000-0000-0000C14D0000}"/>
    <cellStyle name="Separador de milhares 10 2 6 2 2" xfId="28379" xr:uid="{D5763E2C-2A07-401C-87DD-3D5774A2A077}"/>
    <cellStyle name="Separador de milhares 10 2 7" xfId="17697" xr:uid="{00000000-0005-0000-0000-0000C24D0000}"/>
    <cellStyle name="Separador de milhares 10 2 7 2" xfId="17698" xr:uid="{00000000-0005-0000-0000-0000C34D0000}"/>
    <cellStyle name="Separador de milhares 10 2 7 2 2" xfId="28380" xr:uid="{F42E361C-A0EF-4D11-B38A-8EFA89B3D319}"/>
    <cellStyle name="Separador de milhares 10 2 8" xfId="17699" xr:uid="{00000000-0005-0000-0000-0000C44D0000}"/>
    <cellStyle name="Separador de milhares 10 2 8 2" xfId="17700" xr:uid="{00000000-0005-0000-0000-0000C54D0000}"/>
    <cellStyle name="Separador de milhares 10 2 8 2 2" xfId="28381" xr:uid="{626C439C-EC26-4459-94D5-CAAC1542D28A}"/>
    <cellStyle name="Separador de milhares 10 2 9" xfId="17701" xr:uid="{00000000-0005-0000-0000-0000C64D0000}"/>
    <cellStyle name="Separador de milhares 10 2 9 2" xfId="17702" xr:uid="{00000000-0005-0000-0000-0000C74D0000}"/>
    <cellStyle name="Separador de milhares 10 2 9 2 2" xfId="28382" xr:uid="{DD1B0959-FEAA-49C2-BFBB-CDB6B7D3310C}"/>
    <cellStyle name="Separador de milhares 10 20" xfId="17703" xr:uid="{00000000-0005-0000-0000-0000C84D0000}"/>
    <cellStyle name="Separador de milhares 10 20 2" xfId="17704" xr:uid="{00000000-0005-0000-0000-0000C94D0000}"/>
    <cellStyle name="Separador de milhares 10 20 2 2" xfId="28383" xr:uid="{976053AC-7666-4C1C-9CD7-A8A83FAA4374}"/>
    <cellStyle name="Separador de milhares 10 21" xfId="17705" xr:uid="{00000000-0005-0000-0000-0000CA4D0000}"/>
    <cellStyle name="Separador de milhares 10 21 2" xfId="17706" xr:uid="{00000000-0005-0000-0000-0000CB4D0000}"/>
    <cellStyle name="Separador de milhares 10 21 2 2" xfId="28384" xr:uid="{367BE3BA-EDDA-4AFA-8AF8-508910463CF1}"/>
    <cellStyle name="Separador de milhares 10 22" xfId="17707" xr:uid="{00000000-0005-0000-0000-0000CC4D0000}"/>
    <cellStyle name="Separador de milhares 10 22 2" xfId="17708" xr:uid="{00000000-0005-0000-0000-0000CD4D0000}"/>
    <cellStyle name="Separador de milhares 10 22 2 2" xfId="28385" xr:uid="{46A28575-C844-4F81-94E8-943526ADD95D}"/>
    <cellStyle name="Separador de milhares 10 23" xfId="17709" xr:uid="{00000000-0005-0000-0000-0000CE4D0000}"/>
    <cellStyle name="Separador de milhares 10 23 2" xfId="17710" xr:uid="{00000000-0005-0000-0000-0000CF4D0000}"/>
    <cellStyle name="Separador de milhares 10 23 2 2" xfId="28386" xr:uid="{F3FC6485-58A5-4D3D-A42B-613F1E1EA712}"/>
    <cellStyle name="Separador de milhares 10 24" xfId="17711" xr:uid="{00000000-0005-0000-0000-0000D04D0000}"/>
    <cellStyle name="Separador de milhares 10 24 2" xfId="17712" xr:uid="{00000000-0005-0000-0000-0000D14D0000}"/>
    <cellStyle name="Separador de milhares 10 24 2 2" xfId="28388" xr:uid="{DA739F7E-66CA-47A4-ABEA-2B50F179583E}"/>
    <cellStyle name="Separador de milhares 10 24 3" xfId="28387" xr:uid="{C267ED6D-0CB1-403F-AA9E-542AEFF4812A}"/>
    <cellStyle name="Separador de milhares 10 25" xfId="17713" xr:uid="{00000000-0005-0000-0000-0000D24D0000}"/>
    <cellStyle name="Separador de milhares 10 25 2" xfId="17714" xr:uid="{00000000-0005-0000-0000-0000D34D0000}"/>
    <cellStyle name="Separador de milhares 10 25 2 2" xfId="28390" xr:uid="{E9D037D6-5AD2-4E13-AFAA-C173BB1D89C8}"/>
    <cellStyle name="Separador de milhares 10 25 3" xfId="28389" xr:uid="{612A5761-DD14-4F18-A456-9B6F5BC31F5E}"/>
    <cellStyle name="Separador de milhares 10 26" xfId="17715" xr:uid="{00000000-0005-0000-0000-0000D44D0000}"/>
    <cellStyle name="Separador de milhares 10 26 2" xfId="17716" xr:uid="{00000000-0005-0000-0000-0000D54D0000}"/>
    <cellStyle name="Separador de milhares 10 26 2 2" xfId="28392" xr:uid="{3B473E59-3B34-4BB7-8346-D3AE8985A579}"/>
    <cellStyle name="Separador de milhares 10 26 3" xfId="28391" xr:uid="{65755DC8-C6C1-485C-B0EB-6DAFEF1AFB3E}"/>
    <cellStyle name="Separador de milhares 10 27" xfId="17717" xr:uid="{00000000-0005-0000-0000-0000D64D0000}"/>
    <cellStyle name="Separador de milhares 10 27 2" xfId="17718" xr:uid="{00000000-0005-0000-0000-0000D74D0000}"/>
    <cellStyle name="Separador de milhares 10 27 2 2" xfId="28394" xr:uid="{C5B43138-7933-47C7-8115-4CF2DD464E00}"/>
    <cellStyle name="Separador de milhares 10 27 3" xfId="28393" xr:uid="{52CE138D-5769-4382-855D-513D8C7017F9}"/>
    <cellStyle name="Separador de milhares 10 28" xfId="17719" xr:uid="{00000000-0005-0000-0000-0000D84D0000}"/>
    <cellStyle name="Separador de milhares 10 28 2" xfId="17720" xr:uid="{00000000-0005-0000-0000-0000D94D0000}"/>
    <cellStyle name="Separador de milhares 10 28 2 2" xfId="28396" xr:uid="{4B634704-FF3F-481C-95F5-D140EA62261C}"/>
    <cellStyle name="Separador de milhares 10 28 3" xfId="28395" xr:uid="{5250C8F9-649E-4CC4-9EAB-76E698AE973B}"/>
    <cellStyle name="Separador de milhares 10 29" xfId="17721" xr:uid="{00000000-0005-0000-0000-0000DA4D0000}"/>
    <cellStyle name="Separador de milhares 10 29 2" xfId="17722" xr:uid="{00000000-0005-0000-0000-0000DB4D0000}"/>
    <cellStyle name="Separador de milhares 10 29 2 2" xfId="28398" xr:uid="{F1C89553-583F-45CC-A456-3E7832349E38}"/>
    <cellStyle name="Separador de milhares 10 29 3" xfId="28397" xr:uid="{28CB0DBE-CA28-40BE-A18E-7B8BF34B026F}"/>
    <cellStyle name="Separador de milhares 10 3" xfId="641" xr:uid="{00000000-0005-0000-0000-0000DC4D0000}"/>
    <cellStyle name="Separador de milhares 10 3 10" xfId="17724" xr:uid="{00000000-0005-0000-0000-0000DD4D0000}"/>
    <cellStyle name="Separador de milhares 10 3 10 2" xfId="17725" xr:uid="{00000000-0005-0000-0000-0000DE4D0000}"/>
    <cellStyle name="Separador de milhares 10 3 10 2 2" xfId="28400" xr:uid="{566E7AE6-F2D2-4355-AB51-2844E8835D93}"/>
    <cellStyle name="Separador de milhares 10 3 11" xfId="17726" xr:uid="{00000000-0005-0000-0000-0000DF4D0000}"/>
    <cellStyle name="Separador de milhares 10 3 11 2" xfId="17727" xr:uid="{00000000-0005-0000-0000-0000E04D0000}"/>
    <cellStyle name="Separador de milhares 10 3 11 2 2" xfId="28402" xr:uid="{270C9E79-CE0D-4183-9294-EFAB4872633A}"/>
    <cellStyle name="Separador de milhares 10 3 11 3" xfId="28401" xr:uid="{F0F3E06B-5674-4643-AF66-41E84857A98F}"/>
    <cellStyle name="Separador de milhares 10 3 12" xfId="17728" xr:uid="{00000000-0005-0000-0000-0000E14D0000}"/>
    <cellStyle name="Separador de milhares 10 3 12 2" xfId="17729" xr:uid="{00000000-0005-0000-0000-0000E24D0000}"/>
    <cellStyle name="Separador de milhares 10 3 12 2 2" xfId="28404" xr:uid="{2D2EE9F8-6E0C-4E9A-A358-C032137DC180}"/>
    <cellStyle name="Separador de milhares 10 3 12 3" xfId="28403" xr:uid="{688B895D-7BA8-43C9-8B2A-9ADB9ACD5F24}"/>
    <cellStyle name="Separador de milhares 10 3 13" xfId="17730" xr:uid="{00000000-0005-0000-0000-0000E34D0000}"/>
    <cellStyle name="Separador de milhares 10 3 13 2" xfId="17731" xr:uid="{00000000-0005-0000-0000-0000E44D0000}"/>
    <cellStyle name="Separador de milhares 10 3 13 2 2" xfId="28406" xr:uid="{3A7C9C7C-7B8B-4BE9-ADB4-14C3C887B2FE}"/>
    <cellStyle name="Separador de milhares 10 3 13 3" xfId="28405" xr:uid="{582CD7C8-7679-42F3-AC43-859B23CF402D}"/>
    <cellStyle name="Separador de milhares 10 3 14" xfId="17732" xr:uid="{00000000-0005-0000-0000-0000E54D0000}"/>
    <cellStyle name="Separador de milhares 10 3 14 2" xfId="17733" xr:uid="{00000000-0005-0000-0000-0000E64D0000}"/>
    <cellStyle name="Separador de milhares 10 3 14 2 2" xfId="28408" xr:uid="{BE81CE66-EBFB-4217-8719-2E9BDAB02EC9}"/>
    <cellStyle name="Separador de milhares 10 3 14 3" xfId="28407" xr:uid="{B9B5968F-1D86-49D5-8FAA-93DB7E408E99}"/>
    <cellStyle name="Separador de milhares 10 3 15" xfId="17734" xr:uid="{00000000-0005-0000-0000-0000E74D0000}"/>
    <cellStyle name="Separador de milhares 10 3 15 2" xfId="17735" xr:uid="{00000000-0005-0000-0000-0000E84D0000}"/>
    <cellStyle name="Separador de milhares 10 3 15 2 2" xfId="28410" xr:uid="{B785DEBA-7406-43F1-B37C-E9A420F158FB}"/>
    <cellStyle name="Separador de milhares 10 3 15 3" xfId="28409" xr:uid="{4A03717A-F514-4E81-950E-95F0AC529B25}"/>
    <cellStyle name="Separador de milhares 10 3 16" xfId="17736" xr:uid="{00000000-0005-0000-0000-0000E94D0000}"/>
    <cellStyle name="Separador de milhares 10 3 16 2" xfId="17737" xr:uid="{00000000-0005-0000-0000-0000EA4D0000}"/>
    <cellStyle name="Separador de milhares 10 3 16 2 2" xfId="28412" xr:uid="{8CE3B9B4-6C20-4134-B4B8-34152A326622}"/>
    <cellStyle name="Separador de milhares 10 3 16 3" xfId="28411" xr:uid="{710FB652-1396-4A5A-811A-F0DABAE57424}"/>
    <cellStyle name="Separador de milhares 10 3 17" xfId="17738" xr:uid="{00000000-0005-0000-0000-0000EB4D0000}"/>
    <cellStyle name="Separador de milhares 10 3 17 2" xfId="17739" xr:uid="{00000000-0005-0000-0000-0000EC4D0000}"/>
    <cellStyle name="Separador de milhares 10 3 17 2 2" xfId="28414" xr:uid="{D53BE8EA-5E27-4A4B-9EF4-35B5E9140606}"/>
    <cellStyle name="Separador de milhares 10 3 17 3" xfId="28413" xr:uid="{3FC051D7-881C-4F22-B7E0-43A56C5B152C}"/>
    <cellStyle name="Separador de milhares 10 3 18" xfId="17740" xr:uid="{00000000-0005-0000-0000-0000ED4D0000}"/>
    <cellStyle name="Separador de milhares 10 3 18 2" xfId="17741" xr:uid="{00000000-0005-0000-0000-0000EE4D0000}"/>
    <cellStyle name="Separador de milhares 10 3 18 2 2" xfId="28416" xr:uid="{2C4E25B4-54B8-4F29-B722-6A18B118E6A2}"/>
    <cellStyle name="Separador de milhares 10 3 18 3" xfId="28415" xr:uid="{F8C73801-09DF-4D5D-B7AA-9C4B32D4F602}"/>
    <cellStyle name="Separador de milhares 10 3 19" xfId="17742" xr:uid="{00000000-0005-0000-0000-0000EF4D0000}"/>
    <cellStyle name="Separador de milhares 10 3 19 2" xfId="17743" xr:uid="{00000000-0005-0000-0000-0000F04D0000}"/>
    <cellStyle name="Separador de milhares 10 3 19 2 2" xfId="28418" xr:uid="{37DBC28F-1A1C-4DEC-B451-3D48025ABC18}"/>
    <cellStyle name="Separador de milhares 10 3 19 3" xfId="28417" xr:uid="{D94DC79E-1201-403F-9123-2A55099443FD}"/>
    <cellStyle name="Separador de milhares 10 3 2" xfId="642" xr:uid="{00000000-0005-0000-0000-0000F14D0000}"/>
    <cellStyle name="Separador de milhares 10 3 2 2" xfId="643" xr:uid="{00000000-0005-0000-0000-0000F24D0000}"/>
    <cellStyle name="Separador de milhares 10 3 2 2 2" xfId="644" xr:uid="{00000000-0005-0000-0000-0000F34D0000}"/>
    <cellStyle name="Separador de milhares 10 3 2 2 2 2" xfId="27888" xr:uid="{0FBD3B83-5C55-4DA0-8069-C6C2DDEEC32F}"/>
    <cellStyle name="Separador de milhares 10 3 2 2 3" xfId="17745" xr:uid="{00000000-0005-0000-0000-0000F44D0000}"/>
    <cellStyle name="Separador de milhares 10 3 2 2 3 2" xfId="28419" xr:uid="{685B38A3-3537-49C6-B623-9269A0222F53}"/>
    <cellStyle name="Separador de milhares 10 3 2 2 4" xfId="27887" xr:uid="{15A7AE9B-B279-45B2-8608-0FF9C7B2DD2C}"/>
    <cellStyle name="Separador de milhares 10 3 2 3" xfId="645" xr:uid="{00000000-0005-0000-0000-0000F54D0000}"/>
    <cellStyle name="Separador de milhares 10 3 2 3 2" xfId="27889" xr:uid="{7B76271A-EF75-4C43-BA68-554036644C9B}"/>
    <cellStyle name="Separador de milhares 10 3 2 4" xfId="17744" xr:uid="{00000000-0005-0000-0000-0000F64D0000}"/>
    <cellStyle name="Separador de milhares 10 3 2 5" xfId="27886" xr:uid="{5E8B5AB8-EC91-422E-8140-E67027D0B3DC}"/>
    <cellStyle name="Separador de milhares 10 3 20" xfId="17746" xr:uid="{00000000-0005-0000-0000-0000F74D0000}"/>
    <cellStyle name="Separador de milhares 10 3 20 2" xfId="17747" xr:uid="{00000000-0005-0000-0000-0000F84D0000}"/>
    <cellStyle name="Separador de milhares 10 3 20 2 2" xfId="28421" xr:uid="{CDA76A90-1C0C-4655-B0FC-BCE49B87B701}"/>
    <cellStyle name="Separador de milhares 10 3 20 3" xfId="28420" xr:uid="{695CA88C-FD36-4027-8CDB-45BAF45F0A24}"/>
    <cellStyle name="Separador de milhares 10 3 21" xfId="17748" xr:uid="{00000000-0005-0000-0000-0000F94D0000}"/>
    <cellStyle name="Separador de milhares 10 3 21 2" xfId="17749" xr:uid="{00000000-0005-0000-0000-0000FA4D0000}"/>
    <cellStyle name="Separador de milhares 10 3 21 2 2" xfId="28423" xr:uid="{8EFE62CB-EA29-4528-8BA4-ED605ABD2555}"/>
    <cellStyle name="Separador de milhares 10 3 21 3" xfId="28422" xr:uid="{9D1714ED-300A-4246-8384-8ADCE76DD62A}"/>
    <cellStyle name="Separador de milhares 10 3 22" xfId="17750" xr:uid="{00000000-0005-0000-0000-0000FB4D0000}"/>
    <cellStyle name="Separador de milhares 10 3 22 2" xfId="17751" xr:uid="{00000000-0005-0000-0000-0000FC4D0000}"/>
    <cellStyle name="Separador de milhares 10 3 22 2 2" xfId="28425" xr:uid="{921CA17A-FA3B-4533-B9D2-B230AC5F15F9}"/>
    <cellStyle name="Separador de milhares 10 3 22 3" xfId="28424" xr:uid="{A247C685-391A-4199-97BE-AF07360AE60F}"/>
    <cellStyle name="Separador de milhares 10 3 23" xfId="17752" xr:uid="{00000000-0005-0000-0000-0000FD4D0000}"/>
    <cellStyle name="Separador de milhares 10 3 23 2" xfId="17753" xr:uid="{00000000-0005-0000-0000-0000FE4D0000}"/>
    <cellStyle name="Separador de milhares 10 3 23 2 2" xfId="28427" xr:uid="{6360B204-35C9-45D5-AA3F-633FFFA1E233}"/>
    <cellStyle name="Separador de milhares 10 3 23 3" xfId="28426" xr:uid="{4E397541-444F-4D8D-A0F1-3C179008D744}"/>
    <cellStyle name="Separador de milhares 10 3 24" xfId="17754" xr:uid="{00000000-0005-0000-0000-0000FF4D0000}"/>
    <cellStyle name="Separador de milhares 10 3 24 2" xfId="17755" xr:uid="{00000000-0005-0000-0000-0000004E0000}"/>
    <cellStyle name="Separador de milhares 10 3 24 2 2" xfId="28429" xr:uid="{1B071255-9EC8-4B4C-9D3D-B6FE22863A03}"/>
    <cellStyle name="Separador de milhares 10 3 24 3" xfId="28428" xr:uid="{1F7B1CFF-BDA2-4B03-B1F6-5BD7B09B1F55}"/>
    <cellStyle name="Separador de milhares 10 3 25" xfId="17756" xr:uid="{00000000-0005-0000-0000-0000014E0000}"/>
    <cellStyle name="Separador de milhares 10 3 25 2" xfId="17757" xr:uid="{00000000-0005-0000-0000-0000024E0000}"/>
    <cellStyle name="Separador de milhares 10 3 25 2 2" xfId="28431" xr:uid="{6EC0556C-7043-4C46-BB61-985DF05C1824}"/>
    <cellStyle name="Separador de milhares 10 3 25 3" xfId="28430" xr:uid="{36DC6D07-0B08-4C3B-9F9A-417165D4C6A2}"/>
    <cellStyle name="Separador de milhares 10 3 26" xfId="17758" xr:uid="{00000000-0005-0000-0000-0000034E0000}"/>
    <cellStyle name="Separador de milhares 10 3 26 2" xfId="17759" xr:uid="{00000000-0005-0000-0000-0000044E0000}"/>
    <cellStyle name="Separador de milhares 10 3 26 2 2" xfId="28433" xr:uid="{E7EC02C0-2EBE-4F0A-ADD3-CFB1F060A668}"/>
    <cellStyle name="Separador de milhares 10 3 26 3" xfId="28432" xr:uid="{376EED24-F952-4910-BFCF-8AAD51E5AA8D}"/>
    <cellStyle name="Separador de milhares 10 3 27" xfId="17760" xr:uid="{00000000-0005-0000-0000-0000054E0000}"/>
    <cellStyle name="Separador de milhares 10 3 27 2" xfId="17761" xr:uid="{00000000-0005-0000-0000-0000064E0000}"/>
    <cellStyle name="Separador de milhares 10 3 27 2 2" xfId="28435" xr:uid="{AED0E2E0-50A5-49BA-8049-DF7C6D3260F5}"/>
    <cellStyle name="Separador de milhares 10 3 27 3" xfId="28434" xr:uid="{06EC8CC5-B903-43B0-8D85-7AED34E34D1E}"/>
    <cellStyle name="Separador de milhares 10 3 28" xfId="17762" xr:uid="{00000000-0005-0000-0000-0000074E0000}"/>
    <cellStyle name="Separador de milhares 10 3 28 2" xfId="17763" xr:uid="{00000000-0005-0000-0000-0000084E0000}"/>
    <cellStyle name="Separador de milhares 10 3 28 2 2" xfId="28437" xr:uid="{9BF1B296-BA26-41DB-A968-716C42EBA02A}"/>
    <cellStyle name="Separador de milhares 10 3 28 3" xfId="28436" xr:uid="{709FB808-C2E1-4FB5-BF3A-C8C2DF258123}"/>
    <cellStyle name="Separador de milhares 10 3 29" xfId="17764" xr:uid="{00000000-0005-0000-0000-0000094E0000}"/>
    <cellStyle name="Separador de milhares 10 3 29 2" xfId="17765" xr:uid="{00000000-0005-0000-0000-00000A4E0000}"/>
    <cellStyle name="Separador de milhares 10 3 29 2 2" xfId="28439" xr:uid="{96453584-1568-45B2-A85C-37B808D9045B}"/>
    <cellStyle name="Separador de milhares 10 3 29 3" xfId="28438" xr:uid="{9F45FC46-6CB4-45B6-94C2-90EFCA54AD72}"/>
    <cellStyle name="Separador de milhares 10 3 3" xfId="646" xr:uid="{00000000-0005-0000-0000-00000B4E0000}"/>
    <cellStyle name="Separador de milhares 10 3 3 2" xfId="647" xr:uid="{00000000-0005-0000-0000-00000C4E0000}"/>
    <cellStyle name="Separador de milhares 10 3 3 2 2" xfId="17767" xr:uid="{00000000-0005-0000-0000-00000D4E0000}"/>
    <cellStyle name="Separador de milhares 10 3 3 2 2 2" xfId="28440" xr:uid="{2FCE9D89-705C-4D5B-97F9-65B845BAD967}"/>
    <cellStyle name="Separador de milhares 10 3 3 2 3" xfId="27891" xr:uid="{65B662B0-CCE8-483F-AAFA-4E29D55DED72}"/>
    <cellStyle name="Separador de milhares 10 3 3 3" xfId="17766" xr:uid="{00000000-0005-0000-0000-00000E4E0000}"/>
    <cellStyle name="Separador de milhares 10 3 3 4" xfId="27890" xr:uid="{229F6AD5-93DE-4500-8C23-47EA2E7C05CB}"/>
    <cellStyle name="Separador de milhares 10 3 30" xfId="17768" xr:uid="{00000000-0005-0000-0000-00000F4E0000}"/>
    <cellStyle name="Separador de milhares 10 3 30 2" xfId="17769" xr:uid="{00000000-0005-0000-0000-0000104E0000}"/>
    <cellStyle name="Separador de milhares 10 3 30 2 2" xfId="28442" xr:uid="{8712AD04-B930-4E55-AFAD-0C2B4C1A603B}"/>
    <cellStyle name="Separador de milhares 10 3 30 3" xfId="28441" xr:uid="{DE93B7EB-6CED-4084-A56B-12C8356552D9}"/>
    <cellStyle name="Separador de milhares 10 3 31" xfId="17770" xr:uid="{00000000-0005-0000-0000-0000114E0000}"/>
    <cellStyle name="Separador de milhares 10 3 31 2" xfId="17771" xr:uid="{00000000-0005-0000-0000-0000124E0000}"/>
    <cellStyle name="Separador de milhares 10 3 31 2 2" xfId="28444" xr:uid="{F1FCF0C0-07FA-4CBF-A89B-2147B0D17CFF}"/>
    <cellStyle name="Separador de milhares 10 3 31 3" xfId="28443" xr:uid="{EFB125E3-C2FD-4E18-98B3-C5A16309EBE0}"/>
    <cellStyle name="Separador de milhares 10 3 32" xfId="17772" xr:uid="{00000000-0005-0000-0000-0000134E0000}"/>
    <cellStyle name="Separador de milhares 10 3 32 2" xfId="17773" xr:uid="{00000000-0005-0000-0000-0000144E0000}"/>
    <cellStyle name="Separador de milhares 10 3 32 2 2" xfId="28446" xr:uid="{6C2D7A7E-659E-461A-9A2A-77718B9601B2}"/>
    <cellStyle name="Separador de milhares 10 3 32 3" xfId="28445" xr:uid="{833A4D9B-5A9F-49E5-9334-0637294165F4}"/>
    <cellStyle name="Separador de milhares 10 3 33" xfId="17774" xr:uid="{00000000-0005-0000-0000-0000154E0000}"/>
    <cellStyle name="Separador de milhares 10 3 33 2" xfId="17775" xr:uid="{00000000-0005-0000-0000-0000164E0000}"/>
    <cellStyle name="Separador de milhares 10 3 33 2 2" xfId="28448" xr:uid="{D1D2305E-D814-4698-A457-A32642F5365A}"/>
    <cellStyle name="Separador de milhares 10 3 33 3" xfId="28447" xr:uid="{958450BD-02C2-4E90-99BE-3353BB5A3166}"/>
    <cellStyle name="Separador de milhares 10 3 34" xfId="17776" xr:uid="{00000000-0005-0000-0000-0000174E0000}"/>
    <cellStyle name="Separador de milhares 10 3 34 2" xfId="17777" xr:uid="{00000000-0005-0000-0000-0000184E0000}"/>
    <cellStyle name="Separador de milhares 10 3 34 2 2" xfId="28450" xr:uid="{FCCF6918-54A9-4693-893D-6E56BA1B640F}"/>
    <cellStyle name="Separador de milhares 10 3 34 3" xfId="28449" xr:uid="{ACE6F554-F4D2-4737-A9E5-FD0258C3C30E}"/>
    <cellStyle name="Separador de milhares 10 3 35" xfId="17778" xr:uid="{00000000-0005-0000-0000-0000194E0000}"/>
    <cellStyle name="Separador de milhares 10 3 35 2" xfId="28451" xr:uid="{32397C58-5FA7-47F1-A516-7117C775E551}"/>
    <cellStyle name="Separador de milhares 10 3 36" xfId="17723" xr:uid="{00000000-0005-0000-0000-00001A4E0000}"/>
    <cellStyle name="Separador de milhares 10 3 36 2" xfId="28399" xr:uid="{3600DEF3-3298-4F1C-BB82-60EAC8A2F55F}"/>
    <cellStyle name="Separador de milhares 10 3 37" xfId="27885" xr:uid="{3737C26F-2499-481B-AB9B-7B4B1471332E}"/>
    <cellStyle name="Separador de milhares 10 3 4" xfId="648" xr:uid="{00000000-0005-0000-0000-00001B4E0000}"/>
    <cellStyle name="Separador de milhares 10 3 4 2" xfId="17780" xr:uid="{00000000-0005-0000-0000-00001C4E0000}"/>
    <cellStyle name="Separador de milhares 10 3 4 2 2" xfId="28452" xr:uid="{1B132A8E-7E86-4DB9-A612-7E39A630EC22}"/>
    <cellStyle name="Separador de milhares 10 3 4 3" xfId="17779" xr:uid="{00000000-0005-0000-0000-00001D4E0000}"/>
    <cellStyle name="Separador de milhares 10 3 4 4" xfId="27892" xr:uid="{5631ADDC-2FB0-4074-B6FA-DB36E08EE271}"/>
    <cellStyle name="Separador de milhares 10 3 5" xfId="17781" xr:uid="{00000000-0005-0000-0000-00001E4E0000}"/>
    <cellStyle name="Separador de milhares 10 3 5 2" xfId="17782" xr:uid="{00000000-0005-0000-0000-00001F4E0000}"/>
    <cellStyle name="Separador de milhares 10 3 5 2 2" xfId="28453" xr:uid="{559AF0F6-C522-42D5-A8BA-7F003D607B05}"/>
    <cellStyle name="Separador de milhares 10 3 6" xfId="17783" xr:uid="{00000000-0005-0000-0000-0000204E0000}"/>
    <cellStyle name="Separador de milhares 10 3 6 2" xfId="17784" xr:uid="{00000000-0005-0000-0000-0000214E0000}"/>
    <cellStyle name="Separador de milhares 10 3 6 2 2" xfId="28454" xr:uid="{FE50CAB1-BE14-4616-8312-5A3BF1B0D2D9}"/>
    <cellStyle name="Separador de milhares 10 3 7" xfId="17785" xr:uid="{00000000-0005-0000-0000-0000224E0000}"/>
    <cellStyle name="Separador de milhares 10 3 7 2" xfId="17786" xr:uid="{00000000-0005-0000-0000-0000234E0000}"/>
    <cellStyle name="Separador de milhares 10 3 7 2 2" xfId="28455" xr:uid="{C45EAADE-ED94-4644-ACA2-10C3D03FE490}"/>
    <cellStyle name="Separador de milhares 10 3 8" xfId="17787" xr:uid="{00000000-0005-0000-0000-0000244E0000}"/>
    <cellStyle name="Separador de milhares 10 3 8 2" xfId="17788" xr:uid="{00000000-0005-0000-0000-0000254E0000}"/>
    <cellStyle name="Separador de milhares 10 3 8 2 2" xfId="28456" xr:uid="{A2C2DAE5-307C-4F08-B4E7-780D8F0BE98E}"/>
    <cellStyle name="Separador de milhares 10 3 9" xfId="17789" xr:uid="{00000000-0005-0000-0000-0000264E0000}"/>
    <cellStyle name="Separador de milhares 10 3 9 2" xfId="17790" xr:uid="{00000000-0005-0000-0000-0000274E0000}"/>
    <cellStyle name="Separador de milhares 10 3 9 2 2" xfId="28457" xr:uid="{0304434D-6691-475A-8343-F305EC62214D}"/>
    <cellStyle name="Separador de milhares 10 30" xfId="17791" xr:uid="{00000000-0005-0000-0000-0000284E0000}"/>
    <cellStyle name="Separador de milhares 10 30 2" xfId="17792" xr:uid="{00000000-0005-0000-0000-0000294E0000}"/>
    <cellStyle name="Separador de milhares 10 30 2 2" xfId="28459" xr:uid="{0AD07095-863E-46B5-A09A-6A3C5EEA0FF2}"/>
    <cellStyle name="Separador de milhares 10 30 3" xfId="28458" xr:uid="{5F19577E-7184-41B7-978B-81728F8C3A09}"/>
    <cellStyle name="Separador de milhares 10 31" xfId="17793" xr:uid="{00000000-0005-0000-0000-00002A4E0000}"/>
    <cellStyle name="Separador de milhares 10 31 2" xfId="17794" xr:uid="{00000000-0005-0000-0000-00002B4E0000}"/>
    <cellStyle name="Separador de milhares 10 31 2 2" xfId="28461" xr:uid="{36FC6255-2FA5-4B6F-B5FC-42ADB07BD1A9}"/>
    <cellStyle name="Separador de milhares 10 31 3" xfId="28460" xr:uid="{B7BEFA44-DB79-4761-91E2-40943EC868BA}"/>
    <cellStyle name="Separador de milhares 10 32" xfId="17795" xr:uid="{00000000-0005-0000-0000-00002C4E0000}"/>
    <cellStyle name="Separador de milhares 10 32 2" xfId="17796" xr:uid="{00000000-0005-0000-0000-00002D4E0000}"/>
    <cellStyle name="Separador de milhares 10 32 2 2" xfId="28463" xr:uid="{47303132-1473-4008-988F-12DFD02A01E3}"/>
    <cellStyle name="Separador de milhares 10 32 3" xfId="28462" xr:uid="{841D94F1-7E73-4BAC-B711-7121C579D483}"/>
    <cellStyle name="Separador de milhares 10 33" xfId="17797" xr:uid="{00000000-0005-0000-0000-00002E4E0000}"/>
    <cellStyle name="Separador de milhares 10 33 2" xfId="17798" xr:uid="{00000000-0005-0000-0000-00002F4E0000}"/>
    <cellStyle name="Separador de milhares 10 33 2 2" xfId="28465" xr:uid="{DA855E29-D0CA-4261-8A22-9D9E58D49F97}"/>
    <cellStyle name="Separador de milhares 10 33 3" xfId="28464" xr:uid="{08197918-A518-40EA-A432-31A9816B6977}"/>
    <cellStyle name="Separador de milhares 10 34" xfId="17799" xr:uid="{00000000-0005-0000-0000-0000304E0000}"/>
    <cellStyle name="Separador de milhares 10 34 2" xfId="17800" xr:uid="{00000000-0005-0000-0000-0000314E0000}"/>
    <cellStyle name="Separador de milhares 10 34 2 2" xfId="28467" xr:uid="{1BC18F67-6055-48A3-9D81-C4E1367166DF}"/>
    <cellStyle name="Separador de milhares 10 34 3" xfId="28466" xr:uid="{8B63D9D0-DE7D-43B8-99C3-5A081D179F46}"/>
    <cellStyle name="Separador de milhares 10 35" xfId="17801" xr:uid="{00000000-0005-0000-0000-0000324E0000}"/>
    <cellStyle name="Separador de milhares 10 35 2" xfId="17802" xr:uid="{00000000-0005-0000-0000-0000334E0000}"/>
    <cellStyle name="Separador de milhares 10 35 2 2" xfId="28469" xr:uid="{1DEFB9A3-8A90-452F-ADCD-6CE26EB2B031}"/>
    <cellStyle name="Separador de milhares 10 35 3" xfId="28468" xr:uid="{62FA280D-14AE-427D-B69E-7FBE7AB3274B}"/>
    <cellStyle name="Separador de milhares 10 36" xfId="17803" xr:uid="{00000000-0005-0000-0000-0000344E0000}"/>
    <cellStyle name="Separador de milhares 10 36 2" xfId="17804" xr:uid="{00000000-0005-0000-0000-0000354E0000}"/>
    <cellStyle name="Separador de milhares 10 36 2 2" xfId="28471" xr:uid="{6F017CB2-8398-4BF0-A3C5-994951DB0209}"/>
    <cellStyle name="Separador de milhares 10 36 3" xfId="28470" xr:uid="{BB15538F-1686-460B-92D4-7849F8C89ECA}"/>
    <cellStyle name="Separador de milhares 10 37" xfId="17805" xr:uid="{00000000-0005-0000-0000-0000364E0000}"/>
    <cellStyle name="Separador de milhares 10 37 2" xfId="17806" xr:uid="{00000000-0005-0000-0000-0000374E0000}"/>
    <cellStyle name="Separador de milhares 10 37 2 2" xfId="28473" xr:uid="{A9A7778E-D284-4F77-87CB-DEEC157211EC}"/>
    <cellStyle name="Separador de milhares 10 37 3" xfId="28472" xr:uid="{2928E911-F28F-4726-8DE9-B7315FAD853D}"/>
    <cellStyle name="Separador de milhares 10 38" xfId="17807" xr:uid="{00000000-0005-0000-0000-0000384E0000}"/>
    <cellStyle name="Separador de milhares 10 38 2" xfId="17808" xr:uid="{00000000-0005-0000-0000-0000394E0000}"/>
    <cellStyle name="Separador de milhares 10 38 2 2" xfId="28475" xr:uid="{D8532C0F-38C8-4487-85B0-CDE3BAE9D184}"/>
    <cellStyle name="Separador de milhares 10 38 3" xfId="28474" xr:uid="{D7220212-7C6F-4AAE-9003-6A87E96C5E88}"/>
    <cellStyle name="Separador de milhares 10 39" xfId="17809" xr:uid="{00000000-0005-0000-0000-00003A4E0000}"/>
    <cellStyle name="Separador de milhares 10 39 2" xfId="17810" xr:uid="{00000000-0005-0000-0000-00003B4E0000}"/>
    <cellStyle name="Separador de milhares 10 39 2 2" xfId="28477" xr:uid="{9378675D-CA49-4B38-A5DA-639475A2831E}"/>
    <cellStyle name="Separador de milhares 10 39 3" xfId="28476" xr:uid="{D83BB221-06F2-44CF-9148-FF21A8F770DF}"/>
    <cellStyle name="Separador de milhares 10 4" xfId="649" xr:uid="{00000000-0005-0000-0000-00003C4E0000}"/>
    <cellStyle name="Separador de milhares 10 4 10" xfId="17812" xr:uid="{00000000-0005-0000-0000-00003D4E0000}"/>
    <cellStyle name="Separador de milhares 10 4 11" xfId="17811" xr:uid="{00000000-0005-0000-0000-00003E4E0000}"/>
    <cellStyle name="Separador de milhares 10 4 12" xfId="27893" xr:uid="{A58AEF11-74CD-4C72-87AD-BCC0729FCFF6}"/>
    <cellStyle name="Separador de milhares 10 4 2" xfId="650" xr:uid="{00000000-0005-0000-0000-00003F4E0000}"/>
    <cellStyle name="Separador de milhares 10 4 2 2" xfId="651" xr:uid="{00000000-0005-0000-0000-0000404E0000}"/>
    <cellStyle name="Separador de milhares 10 4 2 2 2" xfId="17814" xr:uid="{00000000-0005-0000-0000-0000414E0000}"/>
    <cellStyle name="Separador de milhares 10 4 2 2 2 2" xfId="28478" xr:uid="{A98BEFA1-E53B-42AF-B29B-C25D5FE36F25}"/>
    <cellStyle name="Separador de milhares 10 4 2 2 3" xfId="27895" xr:uid="{AB56E5FD-6B15-421D-AF83-0E797C53D3BB}"/>
    <cellStyle name="Separador de milhares 10 4 2 3" xfId="17813" xr:uid="{00000000-0005-0000-0000-0000424E0000}"/>
    <cellStyle name="Separador de milhares 10 4 2 4" xfId="27894" xr:uid="{7BCCEA68-21C0-4E5E-AA2E-D246528B348A}"/>
    <cellStyle name="Separador de milhares 10 4 3" xfId="652" xr:uid="{00000000-0005-0000-0000-0000434E0000}"/>
    <cellStyle name="Separador de milhares 10 4 3 2" xfId="17816" xr:uid="{00000000-0005-0000-0000-0000444E0000}"/>
    <cellStyle name="Separador de milhares 10 4 3 2 2" xfId="28479" xr:uid="{94211FB0-BC15-4A19-BCD4-DD4D777E2DED}"/>
    <cellStyle name="Separador de milhares 10 4 3 3" xfId="17815" xr:uid="{00000000-0005-0000-0000-0000454E0000}"/>
    <cellStyle name="Separador de milhares 10 4 3 4" xfId="27896" xr:uid="{3B92C67D-1DF9-4C3B-A58A-FFADD85DCFB8}"/>
    <cellStyle name="Separador de milhares 10 4 4" xfId="17817" xr:uid="{00000000-0005-0000-0000-0000464E0000}"/>
    <cellStyle name="Separador de milhares 10 4 4 2" xfId="17818" xr:uid="{00000000-0005-0000-0000-0000474E0000}"/>
    <cellStyle name="Separador de milhares 10 4 4 2 2" xfId="28480" xr:uid="{C850F4A7-C2E0-450A-98AB-1D4F08F362BB}"/>
    <cellStyle name="Separador de milhares 10 4 5" xfId="17819" xr:uid="{00000000-0005-0000-0000-0000484E0000}"/>
    <cellStyle name="Separador de milhares 10 4 5 2" xfId="17820" xr:uid="{00000000-0005-0000-0000-0000494E0000}"/>
    <cellStyle name="Separador de milhares 10 4 5 2 2" xfId="28481" xr:uid="{B1ED3500-9E17-4AAA-9306-4BE6103B2B17}"/>
    <cellStyle name="Separador de milhares 10 4 6" xfId="17821" xr:uid="{00000000-0005-0000-0000-00004A4E0000}"/>
    <cellStyle name="Separador de milhares 10 4 7" xfId="17822" xr:uid="{00000000-0005-0000-0000-00004B4E0000}"/>
    <cellStyle name="Separador de milhares 10 4 8" xfId="17823" xr:uid="{00000000-0005-0000-0000-00004C4E0000}"/>
    <cellStyle name="Separador de milhares 10 4 9" xfId="17824" xr:uid="{00000000-0005-0000-0000-00004D4E0000}"/>
    <cellStyle name="Separador de milhares 10 40" xfId="17825" xr:uid="{00000000-0005-0000-0000-00004E4E0000}"/>
    <cellStyle name="Separador de milhares 10 40 2" xfId="17826" xr:uid="{00000000-0005-0000-0000-00004F4E0000}"/>
    <cellStyle name="Separador de milhares 10 40 2 2" xfId="28483" xr:uid="{1C664B1E-A5C5-479D-94F2-A073E51E932A}"/>
    <cellStyle name="Separador de milhares 10 40 3" xfId="28482" xr:uid="{6EA70AEA-DD35-46F1-91A0-EC55AFBD5428}"/>
    <cellStyle name="Separador de milhares 10 41" xfId="17827" xr:uid="{00000000-0005-0000-0000-0000504E0000}"/>
    <cellStyle name="Separador de milhares 10 41 2" xfId="17828" xr:uid="{00000000-0005-0000-0000-0000514E0000}"/>
    <cellStyle name="Separador de milhares 10 41 2 2" xfId="28485" xr:uid="{FE1D901C-626D-4D48-B74A-0850E85AF786}"/>
    <cellStyle name="Separador de milhares 10 41 3" xfId="28484" xr:uid="{58D75712-9A97-47B6-8F92-3CFF875BACEA}"/>
    <cellStyle name="Separador de milhares 10 42" xfId="17829" xr:uid="{00000000-0005-0000-0000-0000524E0000}"/>
    <cellStyle name="Separador de milhares 10 42 2" xfId="17830" xr:uid="{00000000-0005-0000-0000-0000534E0000}"/>
    <cellStyle name="Separador de milhares 10 42 2 2" xfId="28487" xr:uid="{715A5595-7BB7-4D34-8724-D716C0761166}"/>
    <cellStyle name="Separador de milhares 10 42 3" xfId="28486" xr:uid="{9787B9C7-8EC2-4AF7-B36E-95574780D7D4}"/>
    <cellStyle name="Separador de milhares 10 43" xfId="17831" xr:uid="{00000000-0005-0000-0000-0000544E0000}"/>
    <cellStyle name="Separador de milhares 10 43 2" xfId="17832" xr:uid="{00000000-0005-0000-0000-0000554E0000}"/>
    <cellStyle name="Separador de milhares 10 43 2 2" xfId="28489" xr:uid="{17C000B5-06B0-4EEB-8F31-2B8B6136062C}"/>
    <cellStyle name="Separador de milhares 10 43 3" xfId="28488" xr:uid="{04B6A215-AF12-4B45-8F82-5DC7CC0C65AE}"/>
    <cellStyle name="Separador de milhares 10 44" xfId="17833" xr:uid="{00000000-0005-0000-0000-0000564E0000}"/>
    <cellStyle name="Separador de milhares 10 44 2" xfId="17834" xr:uid="{00000000-0005-0000-0000-0000574E0000}"/>
    <cellStyle name="Separador de milhares 10 44 2 2" xfId="28491" xr:uid="{94975A50-B737-4023-A150-4485AAB85A34}"/>
    <cellStyle name="Separador de milhares 10 44 3" xfId="28490" xr:uid="{C1C948C3-C55A-432D-99A3-90606C6CE42C}"/>
    <cellStyle name="Separador de milhares 10 45" xfId="17835" xr:uid="{00000000-0005-0000-0000-0000584E0000}"/>
    <cellStyle name="Separador de milhares 10 45 2" xfId="17836" xr:uid="{00000000-0005-0000-0000-0000594E0000}"/>
    <cellStyle name="Separador de milhares 10 45 2 2" xfId="28493" xr:uid="{CA31716A-CCFA-4548-B059-E9FABAE7B978}"/>
    <cellStyle name="Separador de milhares 10 45 3" xfId="28492" xr:uid="{D9106546-A788-457D-A55C-74A7F3A85187}"/>
    <cellStyle name="Separador de milhares 10 46" xfId="17837" xr:uid="{00000000-0005-0000-0000-00005A4E0000}"/>
    <cellStyle name="Separador de milhares 10 46 2" xfId="17838" xr:uid="{00000000-0005-0000-0000-00005B4E0000}"/>
    <cellStyle name="Separador de milhares 10 46 2 2" xfId="28495" xr:uid="{A406ACE6-51D6-4B6A-8B86-251B22BEB1E9}"/>
    <cellStyle name="Separador de milhares 10 46 3" xfId="28494" xr:uid="{AFA9C216-0CE3-4ADB-A5E0-07820025EABB}"/>
    <cellStyle name="Separador de milhares 10 47" xfId="17839" xr:uid="{00000000-0005-0000-0000-00005C4E0000}"/>
    <cellStyle name="Separador de milhares 10 47 2" xfId="17840" xr:uid="{00000000-0005-0000-0000-00005D4E0000}"/>
    <cellStyle name="Separador de milhares 10 47 2 2" xfId="28497" xr:uid="{ED68AC5B-DE94-4A05-81E7-1D7AB615ABEC}"/>
    <cellStyle name="Separador de milhares 10 47 3" xfId="28496" xr:uid="{FD8C16FE-8A1C-46CC-B3E3-5DB5E251EE85}"/>
    <cellStyle name="Separador de milhares 10 48" xfId="17841" xr:uid="{00000000-0005-0000-0000-00005E4E0000}"/>
    <cellStyle name="Separador de milhares 10 48 2" xfId="17842" xr:uid="{00000000-0005-0000-0000-00005F4E0000}"/>
    <cellStyle name="Separador de milhares 10 48 2 2" xfId="28499" xr:uid="{31E40C70-C4BF-49A2-A20E-C7118D8B6CE8}"/>
    <cellStyle name="Separador de milhares 10 48 3" xfId="28498" xr:uid="{6C29CFE5-4F71-4579-BC48-47C952C89280}"/>
    <cellStyle name="Separador de milhares 10 49" xfId="17843" xr:uid="{00000000-0005-0000-0000-0000604E0000}"/>
    <cellStyle name="Separador de milhares 10 49 2" xfId="28500" xr:uid="{CAA71F67-B7CC-4DBE-ABCC-E814E71A3236}"/>
    <cellStyle name="Separador de milhares 10 5" xfId="653" xr:uid="{00000000-0005-0000-0000-0000614E0000}"/>
    <cellStyle name="Separador de milhares 10 5 2" xfId="654" xr:uid="{00000000-0005-0000-0000-0000624E0000}"/>
    <cellStyle name="Separador de milhares 10 5 2 2" xfId="17846" xr:uid="{00000000-0005-0000-0000-0000634E0000}"/>
    <cellStyle name="Separador de milhares 10 5 2 2 2" xfId="28501" xr:uid="{7E9586A8-9FDB-44E6-AC2C-8F2DE7FF9E1A}"/>
    <cellStyle name="Separador de milhares 10 5 2 3" xfId="17845" xr:uid="{00000000-0005-0000-0000-0000644E0000}"/>
    <cellStyle name="Separador de milhares 10 5 2 4" xfId="27898" xr:uid="{F99A7FF3-F7EB-45C4-9B4D-A0F6CDD46F4F}"/>
    <cellStyle name="Separador de milhares 10 5 3" xfId="17847" xr:uid="{00000000-0005-0000-0000-0000654E0000}"/>
    <cellStyle name="Separador de milhares 10 5 3 2" xfId="17848" xr:uid="{00000000-0005-0000-0000-0000664E0000}"/>
    <cellStyle name="Separador de milhares 10 5 3 2 2" xfId="28502" xr:uid="{58152F98-D853-45DB-86AB-AAA078EE43F3}"/>
    <cellStyle name="Separador de milhares 10 5 4" xfId="17849" xr:uid="{00000000-0005-0000-0000-0000674E0000}"/>
    <cellStyle name="Separador de milhares 10 5 4 2" xfId="17850" xr:uid="{00000000-0005-0000-0000-0000684E0000}"/>
    <cellStyle name="Separador de milhares 10 5 4 2 2" xfId="28503" xr:uid="{8750D826-C64C-43C2-B3BC-7F5240492BB2}"/>
    <cellStyle name="Separador de milhares 10 5 5" xfId="17851" xr:uid="{00000000-0005-0000-0000-0000694E0000}"/>
    <cellStyle name="Separador de milhares 10 5 5 2" xfId="17852" xr:uid="{00000000-0005-0000-0000-00006A4E0000}"/>
    <cellStyle name="Separador de milhares 10 5 5 2 2" xfId="28505" xr:uid="{E79C6F2D-6A8A-4BCD-A38D-9751BCC7AE47}"/>
    <cellStyle name="Separador de milhares 10 5 5 3" xfId="28504" xr:uid="{4E866BF6-04D2-493F-8740-2CE0C104D60F}"/>
    <cellStyle name="Separador de milhares 10 5 6" xfId="17853" xr:uid="{00000000-0005-0000-0000-00006B4E0000}"/>
    <cellStyle name="Separador de milhares 10 5 6 2" xfId="28506" xr:uid="{41B92BD0-3FC9-47BC-A69C-2CD85AD3F326}"/>
    <cellStyle name="Separador de milhares 10 5 7" xfId="17844" xr:uid="{00000000-0005-0000-0000-00006C4E0000}"/>
    <cellStyle name="Separador de milhares 10 5 8" xfId="27897" xr:uid="{C70BB408-37D6-4C1D-A446-0D9E27185684}"/>
    <cellStyle name="Separador de milhares 10 50" xfId="17473" xr:uid="{00000000-0005-0000-0000-00006D4E0000}"/>
    <cellStyle name="Separador de milhares 10 50 2" xfId="28298" xr:uid="{2AC7B2D1-763C-4A9C-BF68-0DA036AC1E57}"/>
    <cellStyle name="Separador de milhares 10 51" xfId="27176" xr:uid="{00000000-0005-0000-0000-00006E4E0000}"/>
    <cellStyle name="Separador de milhares 10 51 2" xfId="33018" xr:uid="{B3799AE7-CA63-4EFB-A643-F75A62745D91}"/>
    <cellStyle name="Separador de milhares 10 52" xfId="27356" xr:uid="{00000000-0005-0000-0000-00006F4E0000}"/>
    <cellStyle name="Separador de milhares 10 52 2" xfId="33193" xr:uid="{31AFF33F-7C06-4123-A0C8-2953C66965AD}"/>
    <cellStyle name="Separador de milhares 10 53" xfId="27534" xr:uid="{00000000-0005-0000-0000-0000704E0000}"/>
    <cellStyle name="Separador de milhares 10 53 2" xfId="33346" xr:uid="{DE09ECCC-E8DE-4345-86EE-C78850BB0433}"/>
    <cellStyle name="Separador de milhares 10 54" xfId="27685" xr:uid="{00000000-0005-0000-0000-0000714E0000}"/>
    <cellStyle name="Separador de milhares 10 54 2" xfId="33496" xr:uid="{EA9E37F0-C28A-48F9-995C-402A44A903CE}"/>
    <cellStyle name="Separador de milhares 10 55" xfId="27876" xr:uid="{276792A8-0346-47CB-84E5-4AF179B44CAC}"/>
    <cellStyle name="Separador de milhares 10 6" xfId="655" xr:uid="{00000000-0005-0000-0000-0000724E0000}"/>
    <cellStyle name="Separador de milhares 10 6 2" xfId="656" xr:uid="{00000000-0005-0000-0000-0000734E0000}"/>
    <cellStyle name="Separador de milhares 10 6 2 2" xfId="17855" xr:uid="{00000000-0005-0000-0000-0000744E0000}"/>
    <cellStyle name="Separador de milhares 10 6 2 3" xfId="27900" xr:uid="{D3DB8B80-65A1-4320-8B2F-A2A258C16C97}"/>
    <cellStyle name="Separador de milhares 10 6 3" xfId="17856" xr:uid="{00000000-0005-0000-0000-0000754E0000}"/>
    <cellStyle name="Separador de milhares 10 6 4" xfId="17857" xr:uid="{00000000-0005-0000-0000-0000764E0000}"/>
    <cellStyle name="Separador de milhares 10 6 5" xfId="17854" xr:uid="{00000000-0005-0000-0000-0000774E0000}"/>
    <cellStyle name="Separador de milhares 10 6 6" xfId="27899" xr:uid="{21539426-505B-4E05-A76C-D4E868711790}"/>
    <cellStyle name="Separador de milhares 10 7" xfId="657" xr:uid="{00000000-0005-0000-0000-0000784E0000}"/>
    <cellStyle name="Separador de milhares 10 7 2" xfId="17859" xr:uid="{00000000-0005-0000-0000-0000794E0000}"/>
    <cellStyle name="Separador de milhares 10 7 3" xfId="17860" xr:uid="{00000000-0005-0000-0000-00007A4E0000}"/>
    <cellStyle name="Separador de milhares 10 7 4" xfId="17861" xr:uid="{00000000-0005-0000-0000-00007B4E0000}"/>
    <cellStyle name="Separador de milhares 10 7 5" xfId="17858" xr:uid="{00000000-0005-0000-0000-00007C4E0000}"/>
    <cellStyle name="Separador de milhares 10 7 6" xfId="27901" xr:uid="{B147C67E-2237-4C82-A4B4-EACA79BB9F1E}"/>
    <cellStyle name="Separador de milhares 10 8" xfId="17862" xr:uid="{00000000-0005-0000-0000-00007D4E0000}"/>
    <cellStyle name="Separador de milhares 10 8 2" xfId="17863" xr:uid="{00000000-0005-0000-0000-00007E4E0000}"/>
    <cellStyle name="Separador de milhares 10 8 3" xfId="17864" xr:uid="{00000000-0005-0000-0000-00007F4E0000}"/>
    <cellStyle name="Separador de milhares 10 8 4" xfId="17865" xr:uid="{00000000-0005-0000-0000-0000804E0000}"/>
    <cellStyle name="Separador de milhares 10 9" xfId="17866" xr:uid="{00000000-0005-0000-0000-0000814E0000}"/>
    <cellStyle name="Separador de milhares 10 9 2" xfId="17867" xr:uid="{00000000-0005-0000-0000-0000824E0000}"/>
    <cellStyle name="Separador de milhares 10 9 2 2" xfId="17868" xr:uid="{00000000-0005-0000-0000-0000834E0000}"/>
    <cellStyle name="Separador de milhares 10 9 2 3" xfId="17869" xr:uid="{00000000-0005-0000-0000-0000844E0000}"/>
    <cellStyle name="Separador de milhares 10 9 2 4" xfId="17870" xr:uid="{00000000-0005-0000-0000-0000854E0000}"/>
    <cellStyle name="Separador de milhares 10 9 3" xfId="17871" xr:uid="{00000000-0005-0000-0000-0000864E0000}"/>
    <cellStyle name="Separador de milhares 10 9 3 2" xfId="17872" xr:uid="{00000000-0005-0000-0000-0000874E0000}"/>
    <cellStyle name="Separador de milhares 10 9 3 3" xfId="17873" xr:uid="{00000000-0005-0000-0000-0000884E0000}"/>
    <cellStyle name="Separador de milhares 10 9 3 4" xfId="17874" xr:uid="{00000000-0005-0000-0000-0000894E0000}"/>
    <cellStyle name="Separador de milhares 10 9 4" xfId="17875" xr:uid="{00000000-0005-0000-0000-00008A4E0000}"/>
    <cellStyle name="Separador de milhares 11" xfId="658" xr:uid="{00000000-0005-0000-0000-00008B4E0000}"/>
    <cellStyle name="Separador de milhares 11 10" xfId="17877" xr:uid="{00000000-0005-0000-0000-00008C4E0000}"/>
    <cellStyle name="Separador de milhares 11 11" xfId="17878" xr:uid="{00000000-0005-0000-0000-00008D4E0000}"/>
    <cellStyle name="Separador de milhares 11 12" xfId="17879" xr:uid="{00000000-0005-0000-0000-00008E4E0000}"/>
    <cellStyle name="Separador de milhares 11 13" xfId="17880" xr:uid="{00000000-0005-0000-0000-00008F4E0000}"/>
    <cellStyle name="Separador de milhares 11 14" xfId="17881" xr:uid="{00000000-0005-0000-0000-0000904E0000}"/>
    <cellStyle name="Separador de milhares 11 15" xfId="17882" xr:uid="{00000000-0005-0000-0000-0000914E0000}"/>
    <cellStyle name="Separador de milhares 11 16" xfId="17876" xr:uid="{00000000-0005-0000-0000-0000924E0000}"/>
    <cellStyle name="Separador de milhares 11 16 2" xfId="28507" xr:uid="{6E035431-D6FD-4DE7-84A7-B7208688D008}"/>
    <cellStyle name="Separador de milhares 11 17" xfId="27177" xr:uid="{00000000-0005-0000-0000-0000934E0000}"/>
    <cellStyle name="Separador de milhares 11 17 2" xfId="33019" xr:uid="{8A660577-E855-4339-836B-DEB3368D064A}"/>
    <cellStyle name="Separador de milhares 11 18" xfId="27357" xr:uid="{00000000-0005-0000-0000-0000944E0000}"/>
    <cellStyle name="Separador de milhares 11 18 2" xfId="33194" xr:uid="{B8C9D5EF-9626-4B63-9B23-FC2A613356B3}"/>
    <cellStyle name="Separador de milhares 11 19" xfId="27535" xr:uid="{00000000-0005-0000-0000-0000954E0000}"/>
    <cellStyle name="Separador de milhares 11 19 2" xfId="33347" xr:uid="{FBC1BE2C-7A7A-4A42-A3A0-0B8FC774A0EE}"/>
    <cellStyle name="Separador de milhares 11 2" xfId="659" xr:uid="{00000000-0005-0000-0000-0000964E0000}"/>
    <cellStyle name="Separador de milhares 11 2 10" xfId="17884" xr:uid="{00000000-0005-0000-0000-0000974E0000}"/>
    <cellStyle name="Separador de milhares 11 2 11" xfId="17885" xr:uid="{00000000-0005-0000-0000-0000984E0000}"/>
    <cellStyle name="Separador de milhares 11 2 12" xfId="17886" xr:uid="{00000000-0005-0000-0000-0000994E0000}"/>
    <cellStyle name="Separador de milhares 11 2 13" xfId="17887" xr:uid="{00000000-0005-0000-0000-00009A4E0000}"/>
    <cellStyle name="Separador de milhares 11 2 14" xfId="17888" xr:uid="{00000000-0005-0000-0000-00009B4E0000}"/>
    <cellStyle name="Separador de milhares 11 2 15" xfId="17883" xr:uid="{00000000-0005-0000-0000-00009C4E0000}"/>
    <cellStyle name="Separador de milhares 11 2 15 2" xfId="28508" xr:uid="{CB7C73B0-AAEC-46BE-B71D-8D0273D1C649}"/>
    <cellStyle name="Separador de milhares 11 2 16" xfId="27903" xr:uid="{CF2F1F11-A56A-478D-BD79-F754758BF8AF}"/>
    <cellStyle name="Separador de milhares 11 2 2" xfId="660" xr:uid="{00000000-0005-0000-0000-00009D4E0000}"/>
    <cellStyle name="Separador de milhares 11 2 2 10" xfId="17890" xr:uid="{00000000-0005-0000-0000-00009E4E0000}"/>
    <cellStyle name="Separador de milhares 11 2 2 11" xfId="17889" xr:uid="{00000000-0005-0000-0000-00009F4E0000}"/>
    <cellStyle name="Separador de milhares 11 2 2 12" xfId="27904" xr:uid="{7B7ECBF7-3451-4340-B9C5-8B60A79A9F6B}"/>
    <cellStyle name="Separador de milhares 11 2 2 2" xfId="661" xr:uid="{00000000-0005-0000-0000-0000A04E0000}"/>
    <cellStyle name="Separador de milhares 11 2 2 2 2" xfId="662" xr:uid="{00000000-0005-0000-0000-0000A14E0000}"/>
    <cellStyle name="Separador de milhares 11 2 2 2 2 2" xfId="27906" xr:uid="{5407BE2A-499D-4527-BB29-52E7BA6B7E39}"/>
    <cellStyle name="Separador de milhares 11 2 2 2 3" xfId="17891" xr:uid="{00000000-0005-0000-0000-0000A24E0000}"/>
    <cellStyle name="Separador de milhares 11 2 2 2 4" xfId="27905" xr:uid="{A6AC88D8-DE60-4E01-B5D4-27228FAABBC9}"/>
    <cellStyle name="Separador de milhares 11 2 2 3" xfId="663" xr:uid="{00000000-0005-0000-0000-0000A34E0000}"/>
    <cellStyle name="Separador de milhares 11 2 2 3 2" xfId="17892" xr:uid="{00000000-0005-0000-0000-0000A44E0000}"/>
    <cellStyle name="Separador de milhares 11 2 2 3 3" xfId="27907" xr:uid="{6D1A5CE4-22EF-4165-A399-411C3DC68AA1}"/>
    <cellStyle name="Separador de milhares 11 2 2 4" xfId="17893" xr:uid="{00000000-0005-0000-0000-0000A54E0000}"/>
    <cellStyle name="Separador de milhares 11 2 2 5" xfId="17894" xr:uid="{00000000-0005-0000-0000-0000A64E0000}"/>
    <cellStyle name="Separador de milhares 11 2 2 6" xfId="17895" xr:uid="{00000000-0005-0000-0000-0000A74E0000}"/>
    <cellStyle name="Separador de milhares 11 2 2 7" xfId="17896" xr:uid="{00000000-0005-0000-0000-0000A84E0000}"/>
    <cellStyle name="Separador de milhares 11 2 2 8" xfId="17897" xr:uid="{00000000-0005-0000-0000-0000A94E0000}"/>
    <cellStyle name="Separador de milhares 11 2 2 9" xfId="17898" xr:uid="{00000000-0005-0000-0000-0000AA4E0000}"/>
    <cellStyle name="Separador de milhares 11 2 3" xfId="664" xr:uid="{00000000-0005-0000-0000-0000AB4E0000}"/>
    <cellStyle name="Separador de milhares 11 2 3 10" xfId="17900" xr:uid="{00000000-0005-0000-0000-0000AC4E0000}"/>
    <cellStyle name="Separador de milhares 11 2 3 11" xfId="17899" xr:uid="{00000000-0005-0000-0000-0000AD4E0000}"/>
    <cellStyle name="Separador de milhares 11 2 3 12" xfId="27908" xr:uid="{C113EF9D-DC96-4B63-95E1-2F06090D1013}"/>
    <cellStyle name="Separador de milhares 11 2 3 2" xfId="665" xr:uid="{00000000-0005-0000-0000-0000AE4E0000}"/>
    <cellStyle name="Separador de milhares 11 2 3 2 2" xfId="17901" xr:uid="{00000000-0005-0000-0000-0000AF4E0000}"/>
    <cellStyle name="Separador de milhares 11 2 3 2 3" xfId="27909" xr:uid="{495A182D-370C-4D61-A604-5609CA89175C}"/>
    <cellStyle name="Separador de milhares 11 2 3 3" xfId="17902" xr:uid="{00000000-0005-0000-0000-0000B04E0000}"/>
    <cellStyle name="Separador de milhares 11 2 3 4" xfId="17903" xr:uid="{00000000-0005-0000-0000-0000B14E0000}"/>
    <cellStyle name="Separador de milhares 11 2 3 5" xfId="17904" xr:uid="{00000000-0005-0000-0000-0000B24E0000}"/>
    <cellStyle name="Separador de milhares 11 2 3 6" xfId="17905" xr:uid="{00000000-0005-0000-0000-0000B34E0000}"/>
    <cellStyle name="Separador de milhares 11 2 3 7" xfId="17906" xr:uid="{00000000-0005-0000-0000-0000B44E0000}"/>
    <cellStyle name="Separador de milhares 11 2 3 8" xfId="17907" xr:uid="{00000000-0005-0000-0000-0000B54E0000}"/>
    <cellStyle name="Separador de milhares 11 2 3 9" xfId="17908" xr:uid="{00000000-0005-0000-0000-0000B64E0000}"/>
    <cellStyle name="Separador de milhares 11 2 4" xfId="666" xr:uid="{00000000-0005-0000-0000-0000B74E0000}"/>
    <cellStyle name="Separador de milhares 11 2 4 2" xfId="17910" xr:uid="{00000000-0005-0000-0000-0000B84E0000}"/>
    <cellStyle name="Separador de milhares 11 2 4 2 2" xfId="28509" xr:uid="{42902609-C8F7-4F4A-A55A-D9731D9ADF08}"/>
    <cellStyle name="Separador de milhares 11 2 4 3" xfId="17909" xr:uid="{00000000-0005-0000-0000-0000B94E0000}"/>
    <cellStyle name="Separador de milhares 11 2 4 4" xfId="27910" xr:uid="{5431EA34-E5C2-4A04-9474-1B2B372E24D5}"/>
    <cellStyle name="Separador de milhares 11 2 5" xfId="17911" xr:uid="{00000000-0005-0000-0000-0000BA4E0000}"/>
    <cellStyle name="Separador de milhares 11 2 5 2" xfId="17912" xr:uid="{00000000-0005-0000-0000-0000BB4E0000}"/>
    <cellStyle name="Separador de milhares 11 2 5 2 2" xfId="28510" xr:uid="{5D3821A3-E750-40B3-887E-42E071F05CBF}"/>
    <cellStyle name="Separador de milhares 11 2 6" xfId="17913" xr:uid="{00000000-0005-0000-0000-0000BC4E0000}"/>
    <cellStyle name="Separador de milhares 11 2 7" xfId="17914" xr:uid="{00000000-0005-0000-0000-0000BD4E0000}"/>
    <cellStyle name="Separador de milhares 11 2 8" xfId="17915" xr:uid="{00000000-0005-0000-0000-0000BE4E0000}"/>
    <cellStyle name="Separador de milhares 11 2 9" xfId="17916" xr:uid="{00000000-0005-0000-0000-0000BF4E0000}"/>
    <cellStyle name="Separador de milhares 11 20" xfId="27686" xr:uid="{00000000-0005-0000-0000-0000C04E0000}"/>
    <cellStyle name="Separador de milhares 11 20 2" xfId="33497" xr:uid="{1A61AD8F-76C4-4D65-A08E-C3FA90C85515}"/>
    <cellStyle name="Separador de milhares 11 21" xfId="27902" xr:uid="{5E1ACBE0-34CA-4C73-B710-7081C97BAB97}"/>
    <cellStyle name="Separador de milhares 11 3" xfId="667" xr:uid="{00000000-0005-0000-0000-0000C14E0000}"/>
    <cellStyle name="Separador de milhares 11 3 10" xfId="17918" xr:uid="{00000000-0005-0000-0000-0000C24E0000}"/>
    <cellStyle name="Separador de milhares 11 3 11" xfId="17917" xr:uid="{00000000-0005-0000-0000-0000C34E0000}"/>
    <cellStyle name="Separador de milhares 11 3 12" xfId="27911" xr:uid="{73BC2251-053B-46E3-AE48-E563937A17A0}"/>
    <cellStyle name="Separador de milhares 11 3 2" xfId="668" xr:uid="{00000000-0005-0000-0000-0000C44E0000}"/>
    <cellStyle name="Separador de milhares 11 3 2 2" xfId="669" xr:uid="{00000000-0005-0000-0000-0000C54E0000}"/>
    <cellStyle name="Separador de milhares 11 3 2 2 2" xfId="670" xr:uid="{00000000-0005-0000-0000-0000C64E0000}"/>
    <cellStyle name="Separador de milhares 11 3 2 2 2 2" xfId="27914" xr:uid="{627E3FCB-EE0C-4E65-9182-D829F1AF5216}"/>
    <cellStyle name="Separador de milhares 11 3 2 2 3" xfId="17920" xr:uid="{00000000-0005-0000-0000-0000C74E0000}"/>
    <cellStyle name="Separador de milhares 11 3 2 2 3 2" xfId="28511" xr:uid="{20296D1C-55FA-47D4-8A6E-B8DD24957C93}"/>
    <cellStyle name="Separador de milhares 11 3 2 2 4" xfId="27913" xr:uid="{245DC6A6-A993-47AD-A6BA-8B18CE029F28}"/>
    <cellStyle name="Separador de milhares 11 3 2 3" xfId="671" xr:uid="{00000000-0005-0000-0000-0000C84E0000}"/>
    <cellStyle name="Separador de milhares 11 3 2 3 2" xfId="27915" xr:uid="{A287A4C1-3852-4C59-B4AE-4BA366F86A3E}"/>
    <cellStyle name="Separador de milhares 11 3 2 4" xfId="17919" xr:uid="{00000000-0005-0000-0000-0000C94E0000}"/>
    <cellStyle name="Separador de milhares 11 3 2 5" xfId="27912" xr:uid="{6CC7E437-EDD6-4E99-9B0F-2EE2C5678D1E}"/>
    <cellStyle name="Separador de milhares 11 3 3" xfId="672" xr:uid="{00000000-0005-0000-0000-0000CA4E0000}"/>
    <cellStyle name="Separador de milhares 11 3 3 2" xfId="673" xr:uid="{00000000-0005-0000-0000-0000CB4E0000}"/>
    <cellStyle name="Separador de milhares 11 3 3 2 2" xfId="17922" xr:uid="{00000000-0005-0000-0000-0000CC4E0000}"/>
    <cellStyle name="Separador de milhares 11 3 3 2 2 2" xfId="28512" xr:uid="{EB4CBF6D-E17E-43BA-B3B4-426E5787B1E3}"/>
    <cellStyle name="Separador de milhares 11 3 3 2 3" xfId="27917" xr:uid="{32A99DB6-D50A-43F4-BD68-31AE12506FAE}"/>
    <cellStyle name="Separador de milhares 11 3 3 3" xfId="17921" xr:uid="{00000000-0005-0000-0000-0000CD4E0000}"/>
    <cellStyle name="Separador de milhares 11 3 3 4" xfId="27916" xr:uid="{46CB7056-9BD6-4628-8919-6B0AE830E2A7}"/>
    <cellStyle name="Separador de milhares 11 3 4" xfId="674" xr:uid="{00000000-0005-0000-0000-0000CE4E0000}"/>
    <cellStyle name="Separador de milhares 11 3 4 2" xfId="17924" xr:uid="{00000000-0005-0000-0000-0000CF4E0000}"/>
    <cellStyle name="Separador de milhares 11 3 4 2 2" xfId="28513" xr:uid="{5B51192F-C854-48AE-9C8D-9464C0D797FA}"/>
    <cellStyle name="Separador de milhares 11 3 4 3" xfId="17923" xr:uid="{00000000-0005-0000-0000-0000D04E0000}"/>
    <cellStyle name="Separador de milhares 11 3 4 4" xfId="27918" xr:uid="{09C4B27E-2926-4EAD-950F-F1CC95AA5660}"/>
    <cellStyle name="Separador de milhares 11 3 5" xfId="17925" xr:uid="{00000000-0005-0000-0000-0000D14E0000}"/>
    <cellStyle name="Separador de milhares 11 3 5 2" xfId="17926" xr:uid="{00000000-0005-0000-0000-0000D24E0000}"/>
    <cellStyle name="Separador de milhares 11 3 5 2 2" xfId="28514" xr:uid="{E03DC2D3-2EFE-43BB-9647-712DD95B35E1}"/>
    <cellStyle name="Separador de milhares 11 3 6" xfId="17927" xr:uid="{00000000-0005-0000-0000-0000D34E0000}"/>
    <cellStyle name="Separador de milhares 11 3 7" xfId="17928" xr:uid="{00000000-0005-0000-0000-0000D44E0000}"/>
    <cellStyle name="Separador de milhares 11 3 8" xfId="17929" xr:uid="{00000000-0005-0000-0000-0000D54E0000}"/>
    <cellStyle name="Separador de milhares 11 3 9" xfId="17930" xr:uid="{00000000-0005-0000-0000-0000D64E0000}"/>
    <cellStyle name="Separador de milhares 11 4" xfId="675" xr:uid="{00000000-0005-0000-0000-0000D74E0000}"/>
    <cellStyle name="Separador de milhares 11 4 10" xfId="17932" xr:uid="{00000000-0005-0000-0000-0000D84E0000}"/>
    <cellStyle name="Separador de milhares 11 4 11" xfId="17931" xr:uid="{00000000-0005-0000-0000-0000D94E0000}"/>
    <cellStyle name="Separador de milhares 11 4 12" xfId="27919" xr:uid="{93B649DA-9593-4D48-A2CE-E4060A920166}"/>
    <cellStyle name="Separador de milhares 11 4 2" xfId="676" xr:uid="{00000000-0005-0000-0000-0000DA4E0000}"/>
    <cellStyle name="Separador de milhares 11 4 2 2" xfId="677" xr:uid="{00000000-0005-0000-0000-0000DB4E0000}"/>
    <cellStyle name="Separador de milhares 11 4 2 2 2" xfId="17934" xr:uid="{00000000-0005-0000-0000-0000DC4E0000}"/>
    <cellStyle name="Separador de milhares 11 4 2 2 2 2" xfId="28515" xr:uid="{EFDE60A3-003D-47F4-B121-D565FA87CD95}"/>
    <cellStyle name="Separador de milhares 11 4 2 2 3" xfId="27921" xr:uid="{5FE09C37-9604-49C4-95DB-BBA7E2EACB31}"/>
    <cellStyle name="Separador de milhares 11 4 2 3" xfId="17933" xr:uid="{00000000-0005-0000-0000-0000DD4E0000}"/>
    <cellStyle name="Separador de milhares 11 4 2 4" xfId="27920" xr:uid="{5A3C0272-8BE5-42A4-BEC4-DD5300065243}"/>
    <cellStyle name="Separador de milhares 11 4 3" xfId="678" xr:uid="{00000000-0005-0000-0000-0000DE4E0000}"/>
    <cellStyle name="Separador de milhares 11 4 3 2" xfId="17936" xr:uid="{00000000-0005-0000-0000-0000DF4E0000}"/>
    <cellStyle name="Separador de milhares 11 4 3 2 2" xfId="28516" xr:uid="{98E40415-02EB-4E98-9E21-C567FB2D7DFB}"/>
    <cellStyle name="Separador de milhares 11 4 3 3" xfId="17935" xr:uid="{00000000-0005-0000-0000-0000E04E0000}"/>
    <cellStyle name="Separador de milhares 11 4 3 4" xfId="27922" xr:uid="{28E1E373-CB9C-4B9B-BD5A-71DD35CADB57}"/>
    <cellStyle name="Separador de milhares 11 4 4" xfId="17937" xr:uid="{00000000-0005-0000-0000-0000E14E0000}"/>
    <cellStyle name="Separador de milhares 11 4 4 2" xfId="17938" xr:uid="{00000000-0005-0000-0000-0000E24E0000}"/>
    <cellStyle name="Separador de milhares 11 4 4 2 2" xfId="28517" xr:uid="{4E9355A1-2ADF-498B-803C-DCA49C7E1587}"/>
    <cellStyle name="Separador de milhares 11 4 5" xfId="17939" xr:uid="{00000000-0005-0000-0000-0000E34E0000}"/>
    <cellStyle name="Separador de milhares 11 4 5 2" xfId="17940" xr:uid="{00000000-0005-0000-0000-0000E44E0000}"/>
    <cellStyle name="Separador de milhares 11 4 5 2 2" xfId="28518" xr:uid="{1F397829-E319-4C93-9A0A-0EA5EB044D55}"/>
    <cellStyle name="Separador de milhares 11 4 6" xfId="17941" xr:uid="{00000000-0005-0000-0000-0000E54E0000}"/>
    <cellStyle name="Separador de milhares 11 4 7" xfId="17942" xr:uid="{00000000-0005-0000-0000-0000E64E0000}"/>
    <cellStyle name="Separador de milhares 11 4 8" xfId="17943" xr:uid="{00000000-0005-0000-0000-0000E74E0000}"/>
    <cellStyle name="Separador de milhares 11 4 9" xfId="17944" xr:uid="{00000000-0005-0000-0000-0000E84E0000}"/>
    <cellStyle name="Separador de milhares 11 5" xfId="679" xr:uid="{00000000-0005-0000-0000-0000E94E0000}"/>
    <cellStyle name="Separador de milhares 11 5 2" xfId="680" xr:uid="{00000000-0005-0000-0000-0000EA4E0000}"/>
    <cellStyle name="Separador de milhares 11 5 2 2" xfId="17946" xr:uid="{00000000-0005-0000-0000-0000EB4E0000}"/>
    <cellStyle name="Separador de milhares 11 5 2 2 2" xfId="28519" xr:uid="{7894FDB2-2D5C-48F2-877A-523684A1FDE9}"/>
    <cellStyle name="Separador de milhares 11 5 2 3" xfId="27924" xr:uid="{1D5B05BB-89DF-4AAD-AAEB-9CE9BEFE7908}"/>
    <cellStyle name="Separador de milhares 11 5 3" xfId="17945" xr:uid="{00000000-0005-0000-0000-0000EC4E0000}"/>
    <cellStyle name="Separador de milhares 11 5 4" xfId="27923" xr:uid="{92ABC425-1100-4EBF-B06A-6505BB4BE931}"/>
    <cellStyle name="Separador de milhares 11 6" xfId="681" xr:uid="{00000000-0005-0000-0000-0000ED4E0000}"/>
    <cellStyle name="Separador de milhares 11 6 2" xfId="17948" xr:uid="{00000000-0005-0000-0000-0000EE4E0000}"/>
    <cellStyle name="Separador de milhares 11 6 2 2" xfId="28520" xr:uid="{EEE03F0B-47BE-4B73-8A09-3787453EB62B}"/>
    <cellStyle name="Separador de milhares 11 6 3" xfId="17947" xr:uid="{00000000-0005-0000-0000-0000EF4E0000}"/>
    <cellStyle name="Separador de milhares 11 6 4" xfId="27925" xr:uid="{4257FB2E-4901-4EC6-851B-F64061942612}"/>
    <cellStyle name="Separador de milhares 11 7" xfId="682" xr:uid="{00000000-0005-0000-0000-0000F04E0000}"/>
    <cellStyle name="Separador de milhares 11 7 2" xfId="17950" xr:uid="{00000000-0005-0000-0000-0000F14E0000}"/>
    <cellStyle name="Separador de milhares 11 7 2 2" xfId="28521" xr:uid="{DC9B4CF9-D81E-47CB-9A2C-0EBFF9DE3D44}"/>
    <cellStyle name="Separador de milhares 11 7 3" xfId="17949" xr:uid="{00000000-0005-0000-0000-0000F24E0000}"/>
    <cellStyle name="Separador de milhares 11 7 4" xfId="27926" xr:uid="{019D05A0-3104-4904-8510-48CAA85A95A7}"/>
    <cellStyle name="Separador de milhares 11 8" xfId="683" xr:uid="{00000000-0005-0000-0000-0000F34E0000}"/>
    <cellStyle name="Separador de milhares 11 8 2" xfId="17952" xr:uid="{00000000-0005-0000-0000-0000F44E0000}"/>
    <cellStyle name="Separador de milhares 11 8 2 2" xfId="28522" xr:uid="{0DFD2E15-84BD-4622-BE34-176F7B4E7214}"/>
    <cellStyle name="Separador de milhares 11 8 3" xfId="17951" xr:uid="{00000000-0005-0000-0000-0000F54E0000}"/>
    <cellStyle name="Separador de milhares 11 8 4" xfId="27927" xr:uid="{0D59B043-118F-4747-B620-35A0C2F1B790}"/>
    <cellStyle name="Separador de milhares 11 9" xfId="17953" xr:uid="{00000000-0005-0000-0000-0000F64E0000}"/>
    <cellStyle name="Separador de milhares 11_Recurso Jan a Mar 09 DEF" xfId="17954" xr:uid="{00000000-0005-0000-0000-0000F74E0000}"/>
    <cellStyle name="Separador de milhares 12" xfId="17955" xr:uid="{00000000-0005-0000-0000-0000F84E0000}"/>
    <cellStyle name="Separador de milhares 12 2" xfId="17956" xr:uid="{00000000-0005-0000-0000-0000F94E0000}"/>
    <cellStyle name="Separador de milhares 12 2 10" xfId="17957" xr:uid="{00000000-0005-0000-0000-0000FA4E0000}"/>
    <cellStyle name="Separador de milhares 12 2 11" xfId="17958" xr:uid="{00000000-0005-0000-0000-0000FB4E0000}"/>
    <cellStyle name="Separador de milhares 12 2 12" xfId="17959" xr:uid="{00000000-0005-0000-0000-0000FC4E0000}"/>
    <cellStyle name="Separador de milhares 12 2 13" xfId="17960" xr:uid="{00000000-0005-0000-0000-0000FD4E0000}"/>
    <cellStyle name="Separador de milhares 12 2 14" xfId="17961" xr:uid="{00000000-0005-0000-0000-0000FE4E0000}"/>
    <cellStyle name="Separador de milhares 12 2 15" xfId="17962" xr:uid="{00000000-0005-0000-0000-0000FF4E0000}"/>
    <cellStyle name="Separador de milhares 12 2 16" xfId="28524" xr:uid="{AC8F0540-ED1A-4B4F-9DD3-C688652957B9}"/>
    <cellStyle name="Separador de milhares 12 2 2" xfId="17963" xr:uid="{00000000-0005-0000-0000-0000004F0000}"/>
    <cellStyle name="Separador de milhares 12 2 2 10" xfId="17964" xr:uid="{00000000-0005-0000-0000-0000014F0000}"/>
    <cellStyle name="Separador de milhares 12 2 2 11" xfId="17965" xr:uid="{00000000-0005-0000-0000-0000024F0000}"/>
    <cellStyle name="Separador de milhares 12 2 2 12" xfId="17966" xr:uid="{00000000-0005-0000-0000-0000034F0000}"/>
    <cellStyle name="Separador de milhares 12 2 2 13" xfId="17967" xr:uid="{00000000-0005-0000-0000-0000044F0000}"/>
    <cellStyle name="Separador de milhares 12 2 2 14" xfId="17968" xr:uid="{00000000-0005-0000-0000-0000054F0000}"/>
    <cellStyle name="Separador de milhares 12 2 2 2" xfId="17969" xr:uid="{00000000-0005-0000-0000-0000064F0000}"/>
    <cellStyle name="Separador de milhares 12 2 2 2 10" xfId="17970" xr:uid="{00000000-0005-0000-0000-0000074F0000}"/>
    <cellStyle name="Separador de milhares 12 2 2 2 2" xfId="17971" xr:uid="{00000000-0005-0000-0000-0000084F0000}"/>
    <cellStyle name="Separador de milhares 12 2 2 2 3" xfId="17972" xr:uid="{00000000-0005-0000-0000-0000094F0000}"/>
    <cellStyle name="Separador de milhares 12 2 2 2 4" xfId="17973" xr:uid="{00000000-0005-0000-0000-00000A4F0000}"/>
    <cellStyle name="Separador de milhares 12 2 2 2 5" xfId="17974" xr:uid="{00000000-0005-0000-0000-00000B4F0000}"/>
    <cellStyle name="Separador de milhares 12 2 2 2 6" xfId="17975" xr:uid="{00000000-0005-0000-0000-00000C4F0000}"/>
    <cellStyle name="Separador de milhares 12 2 2 2 7" xfId="17976" xr:uid="{00000000-0005-0000-0000-00000D4F0000}"/>
    <cellStyle name="Separador de milhares 12 2 2 2 8" xfId="17977" xr:uid="{00000000-0005-0000-0000-00000E4F0000}"/>
    <cellStyle name="Separador de milhares 12 2 2 2 9" xfId="17978" xr:uid="{00000000-0005-0000-0000-00000F4F0000}"/>
    <cellStyle name="Separador de milhares 12 2 2 3" xfId="17979" xr:uid="{00000000-0005-0000-0000-0000104F0000}"/>
    <cellStyle name="Separador de milhares 12 2 2 3 10" xfId="17980" xr:uid="{00000000-0005-0000-0000-0000114F0000}"/>
    <cellStyle name="Separador de milhares 12 2 2 3 2" xfId="17981" xr:uid="{00000000-0005-0000-0000-0000124F0000}"/>
    <cellStyle name="Separador de milhares 12 2 2 3 3" xfId="17982" xr:uid="{00000000-0005-0000-0000-0000134F0000}"/>
    <cellStyle name="Separador de milhares 12 2 2 3 4" xfId="17983" xr:uid="{00000000-0005-0000-0000-0000144F0000}"/>
    <cellStyle name="Separador de milhares 12 2 2 3 5" xfId="17984" xr:uid="{00000000-0005-0000-0000-0000154F0000}"/>
    <cellStyle name="Separador de milhares 12 2 2 3 6" xfId="17985" xr:uid="{00000000-0005-0000-0000-0000164F0000}"/>
    <cellStyle name="Separador de milhares 12 2 2 3 7" xfId="17986" xr:uid="{00000000-0005-0000-0000-0000174F0000}"/>
    <cellStyle name="Separador de milhares 12 2 2 3 8" xfId="17987" xr:uid="{00000000-0005-0000-0000-0000184F0000}"/>
    <cellStyle name="Separador de milhares 12 2 2 3 9" xfId="17988" xr:uid="{00000000-0005-0000-0000-0000194F0000}"/>
    <cellStyle name="Separador de milhares 12 2 2 4" xfId="17989" xr:uid="{00000000-0005-0000-0000-00001A4F0000}"/>
    <cellStyle name="Separador de milhares 12 2 2 5" xfId="17990" xr:uid="{00000000-0005-0000-0000-00001B4F0000}"/>
    <cellStyle name="Separador de milhares 12 2 2 6" xfId="17991" xr:uid="{00000000-0005-0000-0000-00001C4F0000}"/>
    <cellStyle name="Separador de milhares 12 2 2 7" xfId="17992" xr:uid="{00000000-0005-0000-0000-00001D4F0000}"/>
    <cellStyle name="Separador de milhares 12 2 2 8" xfId="17993" xr:uid="{00000000-0005-0000-0000-00001E4F0000}"/>
    <cellStyle name="Separador de milhares 12 2 2 9" xfId="17994" xr:uid="{00000000-0005-0000-0000-00001F4F0000}"/>
    <cellStyle name="Separador de milhares 12 2 3" xfId="17995" xr:uid="{00000000-0005-0000-0000-0000204F0000}"/>
    <cellStyle name="Separador de milhares 12 2 3 10" xfId="17996" xr:uid="{00000000-0005-0000-0000-0000214F0000}"/>
    <cellStyle name="Separador de milhares 12 2 3 2" xfId="17997" xr:uid="{00000000-0005-0000-0000-0000224F0000}"/>
    <cellStyle name="Separador de milhares 12 2 3 3" xfId="17998" xr:uid="{00000000-0005-0000-0000-0000234F0000}"/>
    <cellStyle name="Separador de milhares 12 2 3 4" xfId="17999" xr:uid="{00000000-0005-0000-0000-0000244F0000}"/>
    <cellStyle name="Separador de milhares 12 2 3 5" xfId="18000" xr:uid="{00000000-0005-0000-0000-0000254F0000}"/>
    <cellStyle name="Separador de milhares 12 2 3 6" xfId="18001" xr:uid="{00000000-0005-0000-0000-0000264F0000}"/>
    <cellStyle name="Separador de milhares 12 2 3 7" xfId="18002" xr:uid="{00000000-0005-0000-0000-0000274F0000}"/>
    <cellStyle name="Separador de milhares 12 2 3 8" xfId="18003" xr:uid="{00000000-0005-0000-0000-0000284F0000}"/>
    <cellStyle name="Separador de milhares 12 2 3 9" xfId="18004" xr:uid="{00000000-0005-0000-0000-0000294F0000}"/>
    <cellStyle name="Separador de milhares 12 2 4" xfId="18005" xr:uid="{00000000-0005-0000-0000-00002A4F0000}"/>
    <cellStyle name="Separador de milhares 12 2 4 10" xfId="18006" xr:uid="{00000000-0005-0000-0000-00002B4F0000}"/>
    <cellStyle name="Separador de milhares 12 2 4 2" xfId="18007" xr:uid="{00000000-0005-0000-0000-00002C4F0000}"/>
    <cellStyle name="Separador de milhares 12 2 4 3" xfId="18008" xr:uid="{00000000-0005-0000-0000-00002D4F0000}"/>
    <cellStyle name="Separador de milhares 12 2 4 4" xfId="18009" xr:uid="{00000000-0005-0000-0000-00002E4F0000}"/>
    <cellStyle name="Separador de milhares 12 2 4 5" xfId="18010" xr:uid="{00000000-0005-0000-0000-00002F4F0000}"/>
    <cellStyle name="Separador de milhares 12 2 4 6" xfId="18011" xr:uid="{00000000-0005-0000-0000-0000304F0000}"/>
    <cellStyle name="Separador de milhares 12 2 4 7" xfId="18012" xr:uid="{00000000-0005-0000-0000-0000314F0000}"/>
    <cellStyle name="Separador de milhares 12 2 4 8" xfId="18013" xr:uid="{00000000-0005-0000-0000-0000324F0000}"/>
    <cellStyle name="Separador de milhares 12 2 4 9" xfId="18014" xr:uid="{00000000-0005-0000-0000-0000334F0000}"/>
    <cellStyle name="Separador de milhares 12 2 5" xfId="18015" xr:uid="{00000000-0005-0000-0000-0000344F0000}"/>
    <cellStyle name="Separador de milhares 12 2 6" xfId="18016" xr:uid="{00000000-0005-0000-0000-0000354F0000}"/>
    <cellStyle name="Separador de milhares 12 2 7" xfId="18017" xr:uid="{00000000-0005-0000-0000-0000364F0000}"/>
    <cellStyle name="Separador de milhares 12 2 8" xfId="18018" xr:uid="{00000000-0005-0000-0000-0000374F0000}"/>
    <cellStyle name="Separador de milhares 12 2 9" xfId="18019" xr:uid="{00000000-0005-0000-0000-0000384F0000}"/>
    <cellStyle name="Separador de milhares 12 3" xfId="18020" xr:uid="{00000000-0005-0000-0000-0000394F0000}"/>
    <cellStyle name="Separador de milhares 12 3 10" xfId="18021" xr:uid="{00000000-0005-0000-0000-00003A4F0000}"/>
    <cellStyle name="Separador de milhares 12 3 2" xfId="18022" xr:uid="{00000000-0005-0000-0000-00003B4F0000}"/>
    <cellStyle name="Separador de milhares 12 3 3" xfId="18023" xr:uid="{00000000-0005-0000-0000-00003C4F0000}"/>
    <cellStyle name="Separador de milhares 12 3 4" xfId="18024" xr:uid="{00000000-0005-0000-0000-00003D4F0000}"/>
    <cellStyle name="Separador de milhares 12 3 5" xfId="18025" xr:uid="{00000000-0005-0000-0000-00003E4F0000}"/>
    <cellStyle name="Separador de milhares 12 3 6" xfId="18026" xr:uid="{00000000-0005-0000-0000-00003F4F0000}"/>
    <cellStyle name="Separador de milhares 12 3 7" xfId="18027" xr:uid="{00000000-0005-0000-0000-0000404F0000}"/>
    <cellStyle name="Separador de milhares 12 3 8" xfId="18028" xr:uid="{00000000-0005-0000-0000-0000414F0000}"/>
    <cellStyle name="Separador de milhares 12 3 9" xfId="18029" xr:uid="{00000000-0005-0000-0000-0000424F0000}"/>
    <cellStyle name="Separador de milhares 12 4" xfId="28523" xr:uid="{73FB9535-A1C3-456C-AF5B-2D802AE9770A}"/>
    <cellStyle name="Separador de milhares 13" xfId="18030" xr:uid="{00000000-0005-0000-0000-0000434F0000}"/>
    <cellStyle name="Separador de milhares 13 10" xfId="18031" xr:uid="{00000000-0005-0000-0000-0000444F0000}"/>
    <cellStyle name="Separador de milhares 13 11" xfId="18032" xr:uid="{00000000-0005-0000-0000-0000454F0000}"/>
    <cellStyle name="Separador de milhares 13 12" xfId="18033" xr:uid="{00000000-0005-0000-0000-0000464F0000}"/>
    <cellStyle name="Separador de milhares 13 13" xfId="18034" xr:uid="{00000000-0005-0000-0000-0000474F0000}"/>
    <cellStyle name="Separador de milhares 13 14" xfId="18035" xr:uid="{00000000-0005-0000-0000-0000484F0000}"/>
    <cellStyle name="Separador de milhares 13 15" xfId="18036" xr:uid="{00000000-0005-0000-0000-0000494F0000}"/>
    <cellStyle name="Separador de milhares 13 16" xfId="18037" xr:uid="{00000000-0005-0000-0000-00004A4F0000}"/>
    <cellStyle name="Separador de milhares 13 17" xfId="28525" xr:uid="{9559A1BB-ED47-466C-B0B3-B8ED7DF2A2BF}"/>
    <cellStyle name="Separador de milhares 13 2" xfId="18038" xr:uid="{00000000-0005-0000-0000-00004B4F0000}"/>
    <cellStyle name="Separador de milhares 13 2 2" xfId="18039" xr:uid="{00000000-0005-0000-0000-00004C4F0000}"/>
    <cellStyle name="Separador de milhares 13 2 3" xfId="18040" xr:uid="{00000000-0005-0000-0000-00004D4F0000}"/>
    <cellStyle name="Separador de milhares 13 2 4" xfId="18041" xr:uid="{00000000-0005-0000-0000-00004E4F0000}"/>
    <cellStyle name="Separador de milhares 13 2 5" xfId="18042" xr:uid="{00000000-0005-0000-0000-00004F4F0000}"/>
    <cellStyle name="Separador de milhares 13 2 6" xfId="28526" xr:uid="{33762726-619D-41DE-8059-EE45490F6B7D}"/>
    <cellStyle name="Separador de milhares 13 3" xfId="18043" xr:uid="{00000000-0005-0000-0000-0000504F0000}"/>
    <cellStyle name="Separador de milhares 13 3 2" xfId="18044" xr:uid="{00000000-0005-0000-0000-0000514F0000}"/>
    <cellStyle name="Separador de milhares 13 3 3" xfId="18045" xr:uid="{00000000-0005-0000-0000-0000524F0000}"/>
    <cellStyle name="Separador de milhares 13 3 4" xfId="18046" xr:uid="{00000000-0005-0000-0000-0000534F0000}"/>
    <cellStyle name="Separador de milhares 13 3 5" xfId="18047" xr:uid="{00000000-0005-0000-0000-0000544F0000}"/>
    <cellStyle name="Separador de milhares 13 3_2008 - Planilha Medição EAS Casco-002 OUT08" xfId="18048" xr:uid="{00000000-0005-0000-0000-0000554F0000}"/>
    <cellStyle name="Separador de milhares 13 4" xfId="18049" xr:uid="{00000000-0005-0000-0000-0000564F0000}"/>
    <cellStyle name="Separador de milhares 13 4 10" xfId="18050" xr:uid="{00000000-0005-0000-0000-0000574F0000}"/>
    <cellStyle name="Separador de milhares 13 4 2" xfId="18051" xr:uid="{00000000-0005-0000-0000-0000584F0000}"/>
    <cellStyle name="Separador de milhares 13 4 3" xfId="18052" xr:uid="{00000000-0005-0000-0000-0000594F0000}"/>
    <cellStyle name="Separador de milhares 13 4 4" xfId="18053" xr:uid="{00000000-0005-0000-0000-00005A4F0000}"/>
    <cellStyle name="Separador de milhares 13 4 5" xfId="18054" xr:uid="{00000000-0005-0000-0000-00005B4F0000}"/>
    <cellStyle name="Separador de milhares 13 4 6" xfId="18055" xr:uid="{00000000-0005-0000-0000-00005C4F0000}"/>
    <cellStyle name="Separador de milhares 13 4 7" xfId="18056" xr:uid="{00000000-0005-0000-0000-00005D4F0000}"/>
    <cellStyle name="Separador de milhares 13 4 8" xfId="18057" xr:uid="{00000000-0005-0000-0000-00005E4F0000}"/>
    <cellStyle name="Separador de milhares 13 4 9" xfId="18058" xr:uid="{00000000-0005-0000-0000-00005F4F0000}"/>
    <cellStyle name="Separador de milhares 13 5" xfId="18059" xr:uid="{00000000-0005-0000-0000-0000604F0000}"/>
    <cellStyle name="Separador de milhares 13 5 10" xfId="18060" xr:uid="{00000000-0005-0000-0000-0000614F0000}"/>
    <cellStyle name="Separador de milhares 13 5 2" xfId="18061" xr:uid="{00000000-0005-0000-0000-0000624F0000}"/>
    <cellStyle name="Separador de milhares 13 5 3" xfId="18062" xr:uid="{00000000-0005-0000-0000-0000634F0000}"/>
    <cellStyle name="Separador de milhares 13 5 4" xfId="18063" xr:uid="{00000000-0005-0000-0000-0000644F0000}"/>
    <cellStyle name="Separador de milhares 13 5 5" xfId="18064" xr:uid="{00000000-0005-0000-0000-0000654F0000}"/>
    <cellStyle name="Separador de milhares 13 5 6" xfId="18065" xr:uid="{00000000-0005-0000-0000-0000664F0000}"/>
    <cellStyle name="Separador de milhares 13 5 7" xfId="18066" xr:uid="{00000000-0005-0000-0000-0000674F0000}"/>
    <cellStyle name="Separador de milhares 13 5 8" xfId="18067" xr:uid="{00000000-0005-0000-0000-0000684F0000}"/>
    <cellStyle name="Separador de milhares 13 5 9" xfId="18068" xr:uid="{00000000-0005-0000-0000-0000694F0000}"/>
    <cellStyle name="Separador de milhares 13 6" xfId="18069" xr:uid="{00000000-0005-0000-0000-00006A4F0000}"/>
    <cellStyle name="Separador de milhares 13 7" xfId="18070" xr:uid="{00000000-0005-0000-0000-00006B4F0000}"/>
    <cellStyle name="Separador de milhares 13 8" xfId="18071" xr:uid="{00000000-0005-0000-0000-00006C4F0000}"/>
    <cellStyle name="Separador de milhares 13 9" xfId="18072" xr:uid="{00000000-0005-0000-0000-00006D4F0000}"/>
    <cellStyle name="Separador de milhares 14" xfId="18073" xr:uid="{00000000-0005-0000-0000-00006E4F0000}"/>
    <cellStyle name="Separador de milhares 14 2" xfId="18074" xr:uid="{00000000-0005-0000-0000-00006F4F0000}"/>
    <cellStyle name="Separador de milhares 14 2 10" xfId="18075" xr:uid="{00000000-0005-0000-0000-0000704F0000}"/>
    <cellStyle name="Separador de milhares 14 2 11" xfId="28528" xr:uid="{4B54583F-C8DA-4D98-9699-2188447A6EA0}"/>
    <cellStyle name="Separador de milhares 14 2 2" xfId="18076" xr:uid="{00000000-0005-0000-0000-0000714F0000}"/>
    <cellStyle name="Separador de milhares 14 2 3" xfId="18077" xr:uid="{00000000-0005-0000-0000-0000724F0000}"/>
    <cellStyle name="Separador de milhares 14 2 4" xfId="18078" xr:uid="{00000000-0005-0000-0000-0000734F0000}"/>
    <cellStyle name="Separador de milhares 14 2 5" xfId="18079" xr:uid="{00000000-0005-0000-0000-0000744F0000}"/>
    <cellStyle name="Separador de milhares 14 2 6" xfId="18080" xr:uid="{00000000-0005-0000-0000-0000754F0000}"/>
    <cellStyle name="Separador de milhares 14 2 7" xfId="18081" xr:uid="{00000000-0005-0000-0000-0000764F0000}"/>
    <cellStyle name="Separador de milhares 14 2 8" xfId="18082" xr:uid="{00000000-0005-0000-0000-0000774F0000}"/>
    <cellStyle name="Separador de milhares 14 2 9" xfId="18083" xr:uid="{00000000-0005-0000-0000-0000784F0000}"/>
    <cellStyle name="Separador de milhares 14 3" xfId="18084" xr:uid="{00000000-0005-0000-0000-0000794F0000}"/>
    <cellStyle name="Separador de milhares 14 4" xfId="18085" xr:uid="{00000000-0005-0000-0000-00007A4F0000}"/>
    <cellStyle name="Separador de milhares 14 5" xfId="28527" xr:uid="{D0DAC273-06A0-480D-A029-7DB5DAD84553}"/>
    <cellStyle name="Separador de milhares 15" xfId="18086" xr:uid="{00000000-0005-0000-0000-00007B4F0000}"/>
    <cellStyle name="Separador de milhares 15 2" xfId="18087" xr:uid="{00000000-0005-0000-0000-00007C4F0000}"/>
    <cellStyle name="Separador de milhares 15 2 2" xfId="18088" xr:uid="{00000000-0005-0000-0000-00007D4F0000}"/>
    <cellStyle name="Separador de milhares 15 2 3" xfId="28530" xr:uid="{2659520B-6F24-47F1-A7E4-6290552AE882}"/>
    <cellStyle name="Separador de milhares 15 3" xfId="18089" xr:uid="{00000000-0005-0000-0000-00007E4F0000}"/>
    <cellStyle name="Separador de milhares 15 4" xfId="28529" xr:uid="{166D83C8-7A7A-4894-A043-0768FA4A489D}"/>
    <cellStyle name="Separador de milhares 16" xfId="18090" xr:uid="{00000000-0005-0000-0000-00007F4F0000}"/>
    <cellStyle name="Separador de milhares 16 10" xfId="18091" xr:uid="{00000000-0005-0000-0000-0000804F0000}"/>
    <cellStyle name="Separador de milhares 16 11" xfId="18092" xr:uid="{00000000-0005-0000-0000-0000814F0000}"/>
    <cellStyle name="Separador de milhares 16 2" xfId="18093" xr:uid="{00000000-0005-0000-0000-0000824F0000}"/>
    <cellStyle name="Separador de milhares 16 2 2" xfId="28531" xr:uid="{314DD8A1-2FCC-4906-BAF9-77CC4323E751}"/>
    <cellStyle name="Separador de milhares 16 3" xfId="18094" xr:uid="{00000000-0005-0000-0000-0000834F0000}"/>
    <cellStyle name="Separador de milhares 16 4" xfId="18095" xr:uid="{00000000-0005-0000-0000-0000844F0000}"/>
    <cellStyle name="Separador de milhares 16 5" xfId="18096" xr:uid="{00000000-0005-0000-0000-0000854F0000}"/>
    <cellStyle name="Separador de milhares 16 6" xfId="18097" xr:uid="{00000000-0005-0000-0000-0000864F0000}"/>
    <cellStyle name="Separador de milhares 16 7" xfId="18098" xr:uid="{00000000-0005-0000-0000-0000874F0000}"/>
    <cellStyle name="Separador de milhares 16 8" xfId="18099" xr:uid="{00000000-0005-0000-0000-0000884F0000}"/>
    <cellStyle name="Separador de milhares 16 9" xfId="18100" xr:uid="{00000000-0005-0000-0000-0000894F0000}"/>
    <cellStyle name="Separador de milhares 17" xfId="18101" xr:uid="{00000000-0005-0000-0000-00008A4F0000}"/>
    <cellStyle name="Separador de milhares 17 10" xfId="18102" xr:uid="{00000000-0005-0000-0000-00008B4F0000}"/>
    <cellStyle name="Separador de milhares 17 11" xfId="18103" xr:uid="{00000000-0005-0000-0000-00008C4F0000}"/>
    <cellStyle name="Separador de milhares 17 12" xfId="28532" xr:uid="{34AB04E8-75AA-4680-9B71-BC8C2C3D41A3}"/>
    <cellStyle name="Separador de milhares 17 2" xfId="18104" xr:uid="{00000000-0005-0000-0000-00008D4F0000}"/>
    <cellStyle name="Separador de milhares 17 2 2" xfId="28533" xr:uid="{87BF89FD-B196-4E2C-8504-C9EA73581FFB}"/>
    <cellStyle name="Separador de milhares 17 3" xfId="18105" xr:uid="{00000000-0005-0000-0000-00008E4F0000}"/>
    <cellStyle name="Separador de milhares 17 4" xfId="18106" xr:uid="{00000000-0005-0000-0000-00008F4F0000}"/>
    <cellStyle name="Separador de milhares 17 5" xfId="18107" xr:uid="{00000000-0005-0000-0000-0000904F0000}"/>
    <cellStyle name="Separador de milhares 17 6" xfId="18108" xr:uid="{00000000-0005-0000-0000-0000914F0000}"/>
    <cellStyle name="Separador de milhares 17 7" xfId="18109" xr:uid="{00000000-0005-0000-0000-0000924F0000}"/>
    <cellStyle name="Separador de milhares 17 8" xfId="18110" xr:uid="{00000000-0005-0000-0000-0000934F0000}"/>
    <cellStyle name="Separador de milhares 17 9" xfId="18111" xr:uid="{00000000-0005-0000-0000-0000944F0000}"/>
    <cellStyle name="Separador de milhares 18" xfId="18112" xr:uid="{00000000-0005-0000-0000-0000954F0000}"/>
    <cellStyle name="Separador de milhares 18 2" xfId="18113" xr:uid="{00000000-0005-0000-0000-0000964F0000}"/>
    <cellStyle name="Separador de milhares 18 2 2" xfId="28535" xr:uid="{AEC2499B-94B7-4767-818F-C727ECDB9F28}"/>
    <cellStyle name="Separador de milhares 18 3" xfId="18114" xr:uid="{00000000-0005-0000-0000-0000974F0000}"/>
    <cellStyle name="Separador de milhares 18 4" xfId="28534" xr:uid="{184B3A25-9890-4636-8170-ED0EF04DB70B}"/>
    <cellStyle name="Separador de milhares 19" xfId="18115" xr:uid="{00000000-0005-0000-0000-0000984F0000}"/>
    <cellStyle name="Separador de milhares 19 2" xfId="18116" xr:uid="{00000000-0005-0000-0000-0000994F0000}"/>
    <cellStyle name="Separador de milhares 19 2 2" xfId="28537" xr:uid="{60127471-6D05-41CF-8FA6-37957A231BA1}"/>
    <cellStyle name="Separador de milhares 19 3" xfId="18117" xr:uid="{00000000-0005-0000-0000-00009A4F0000}"/>
    <cellStyle name="Separador de milhares 19 4" xfId="28536" xr:uid="{AB916082-19D7-47A5-A6A4-D070A1B594A5}"/>
    <cellStyle name="Separador de milhares 2" xfId="684" xr:uid="{00000000-0005-0000-0000-00009B4F0000}"/>
    <cellStyle name="Separador de milhares 2 10" xfId="18119" xr:uid="{00000000-0005-0000-0000-00009C4F0000}"/>
    <cellStyle name="Separador de milhares 2 10 10" xfId="18120" xr:uid="{00000000-0005-0000-0000-00009D4F0000}"/>
    <cellStyle name="Separador de milhares 2 10 11" xfId="18121" xr:uid="{00000000-0005-0000-0000-00009E4F0000}"/>
    <cellStyle name="Separador de milhares 2 10 12" xfId="18122" xr:uid="{00000000-0005-0000-0000-00009F4F0000}"/>
    <cellStyle name="Separador de milhares 2 10 13" xfId="28538" xr:uid="{2CEC3A45-3EE5-4247-A923-A89C15D34753}"/>
    <cellStyle name="Separador de milhares 2 10 2" xfId="18123" xr:uid="{00000000-0005-0000-0000-0000A04F0000}"/>
    <cellStyle name="Separador de milhares 2 10 3" xfId="18124" xr:uid="{00000000-0005-0000-0000-0000A14F0000}"/>
    <cellStyle name="Separador de milhares 2 10 4" xfId="18125" xr:uid="{00000000-0005-0000-0000-0000A24F0000}"/>
    <cellStyle name="Separador de milhares 2 10 5" xfId="18126" xr:uid="{00000000-0005-0000-0000-0000A34F0000}"/>
    <cellStyle name="Separador de milhares 2 10 6" xfId="18127" xr:uid="{00000000-0005-0000-0000-0000A44F0000}"/>
    <cellStyle name="Separador de milhares 2 10 7" xfId="18128" xr:uid="{00000000-0005-0000-0000-0000A54F0000}"/>
    <cellStyle name="Separador de milhares 2 10 8" xfId="18129" xr:uid="{00000000-0005-0000-0000-0000A64F0000}"/>
    <cellStyle name="Separador de milhares 2 10 9" xfId="18130" xr:uid="{00000000-0005-0000-0000-0000A74F0000}"/>
    <cellStyle name="Separador de milhares 2 11" xfId="18131" xr:uid="{00000000-0005-0000-0000-0000A84F0000}"/>
    <cellStyle name="Separador de milhares 2 11 2" xfId="18132" xr:uid="{00000000-0005-0000-0000-0000A94F0000}"/>
    <cellStyle name="Separador de milhares 2 11 3" xfId="18133" xr:uid="{00000000-0005-0000-0000-0000AA4F0000}"/>
    <cellStyle name="Separador de milhares 2 11 4" xfId="18134" xr:uid="{00000000-0005-0000-0000-0000AB4F0000}"/>
    <cellStyle name="Separador de milhares 2 11 5" xfId="28539" xr:uid="{C5BD23A2-B42D-46E0-87D1-D25B22780E89}"/>
    <cellStyle name="Separador de milhares 2 12" xfId="18135" xr:uid="{00000000-0005-0000-0000-0000AC4F0000}"/>
    <cellStyle name="Separador de milhares 2 12 2" xfId="18136" xr:uid="{00000000-0005-0000-0000-0000AD4F0000}"/>
    <cellStyle name="Separador de milhares 2 12 3" xfId="18137" xr:uid="{00000000-0005-0000-0000-0000AE4F0000}"/>
    <cellStyle name="Separador de milhares 2 12 4" xfId="18138" xr:uid="{00000000-0005-0000-0000-0000AF4F0000}"/>
    <cellStyle name="Separador de milhares 2 12 5" xfId="28540" xr:uid="{A400C128-E12A-4CCF-B409-D4FBBBBA2E1D}"/>
    <cellStyle name="Separador de milhares 2 13" xfId="18139" xr:uid="{00000000-0005-0000-0000-0000B04F0000}"/>
    <cellStyle name="Separador de milhares 2 13 2" xfId="18140" xr:uid="{00000000-0005-0000-0000-0000B14F0000}"/>
    <cellStyle name="Separador de milhares 2 13 3" xfId="18141" xr:uid="{00000000-0005-0000-0000-0000B24F0000}"/>
    <cellStyle name="Separador de milhares 2 13 4" xfId="18142" xr:uid="{00000000-0005-0000-0000-0000B34F0000}"/>
    <cellStyle name="Separador de milhares 2 13 5" xfId="28541" xr:uid="{F1E3DA05-7DB1-4FF3-9404-47B606287609}"/>
    <cellStyle name="Separador de milhares 2 14" xfId="18143" xr:uid="{00000000-0005-0000-0000-0000B44F0000}"/>
    <cellStyle name="Separador de milhares 2 14 2" xfId="18144" xr:uid="{00000000-0005-0000-0000-0000B54F0000}"/>
    <cellStyle name="Separador de milhares 2 14 3" xfId="18145" xr:uid="{00000000-0005-0000-0000-0000B64F0000}"/>
    <cellStyle name="Separador de milhares 2 14 4" xfId="18146" xr:uid="{00000000-0005-0000-0000-0000B74F0000}"/>
    <cellStyle name="Separador de milhares 2 14 5" xfId="28542" xr:uid="{AAE111F1-C98F-4356-BF5B-B9C351433A72}"/>
    <cellStyle name="Separador de milhares 2 15" xfId="18147" xr:uid="{00000000-0005-0000-0000-0000B84F0000}"/>
    <cellStyle name="Separador de milhares 2 15 10" xfId="18148" xr:uid="{00000000-0005-0000-0000-0000B94F0000}"/>
    <cellStyle name="Separador de milhares 2 15 10 2" xfId="28544" xr:uid="{D9C071BC-3142-4F94-B2BF-1A9B5D1CC6F9}"/>
    <cellStyle name="Separador de milhares 2 15 11" xfId="18149" xr:uid="{00000000-0005-0000-0000-0000BA4F0000}"/>
    <cellStyle name="Separador de milhares 2 15 11 2" xfId="28545" xr:uid="{A4E047F6-673F-41BF-BC5A-9C7F76F9CE75}"/>
    <cellStyle name="Separador de milhares 2 15 12" xfId="18150" xr:uid="{00000000-0005-0000-0000-0000BB4F0000}"/>
    <cellStyle name="Separador de milhares 2 15 12 2" xfId="28546" xr:uid="{780E8ED1-CFF0-4731-BA77-036564BAE9A9}"/>
    <cellStyle name="Separador de milhares 2 15 13" xfId="28543" xr:uid="{CA0E7326-91CC-4A25-A3DA-CBBF7F4FBAD8}"/>
    <cellStyle name="Separador de milhares 2 15 2" xfId="18151" xr:uid="{00000000-0005-0000-0000-0000BC4F0000}"/>
    <cellStyle name="Separador de milhares 2 15 2 10" xfId="18152" xr:uid="{00000000-0005-0000-0000-0000BD4F0000}"/>
    <cellStyle name="Separador de milhares 2 15 2 10 2" xfId="28547" xr:uid="{3A628BA1-8BF2-4B27-A253-54732C84338D}"/>
    <cellStyle name="Separador de milhares 2 15 2 2" xfId="18153" xr:uid="{00000000-0005-0000-0000-0000BE4F0000}"/>
    <cellStyle name="Separador de milhares 2 15 2 2 2" xfId="28548" xr:uid="{D54ED83B-CB35-4310-88DE-3A540BC31F37}"/>
    <cellStyle name="Separador de milhares 2 15 2 3" xfId="18154" xr:uid="{00000000-0005-0000-0000-0000BF4F0000}"/>
    <cellStyle name="Separador de milhares 2 15 2 3 2" xfId="28549" xr:uid="{0BB5D7FC-2191-4540-8CA3-9261CEA3F3A4}"/>
    <cellStyle name="Separador de milhares 2 15 2 4" xfId="18155" xr:uid="{00000000-0005-0000-0000-0000C04F0000}"/>
    <cellStyle name="Separador de milhares 2 15 2 4 2" xfId="28550" xr:uid="{9C9131BF-4329-4848-A973-4EEC8A586B2C}"/>
    <cellStyle name="Separador de milhares 2 15 2 5" xfId="18156" xr:uid="{00000000-0005-0000-0000-0000C14F0000}"/>
    <cellStyle name="Separador de milhares 2 15 2 5 2" xfId="28551" xr:uid="{683EE8D9-718A-456F-8F16-4B96D118F5B0}"/>
    <cellStyle name="Separador de milhares 2 15 2 6" xfId="18157" xr:uid="{00000000-0005-0000-0000-0000C24F0000}"/>
    <cellStyle name="Separador de milhares 2 15 2 6 2" xfId="28552" xr:uid="{E4314FB3-F0E7-45D2-8D92-1E052DDDAD35}"/>
    <cellStyle name="Separador de milhares 2 15 2 7" xfId="18158" xr:uid="{00000000-0005-0000-0000-0000C34F0000}"/>
    <cellStyle name="Separador de milhares 2 15 2 7 2" xfId="28553" xr:uid="{158C6831-54FF-4928-8956-FDEEC23A8174}"/>
    <cellStyle name="Separador de milhares 2 15 2 8" xfId="18159" xr:uid="{00000000-0005-0000-0000-0000C44F0000}"/>
    <cellStyle name="Separador de milhares 2 15 2 8 2" xfId="28554" xr:uid="{1B66A795-A15E-4E3F-B016-D060ABDA5A41}"/>
    <cellStyle name="Separador de milhares 2 15 2 9" xfId="18160" xr:uid="{00000000-0005-0000-0000-0000C54F0000}"/>
    <cellStyle name="Separador de milhares 2 15 2 9 2" xfId="28555" xr:uid="{269D9955-821D-4557-A71A-16BC4DF0B687}"/>
    <cellStyle name="Separador de milhares 2 15 3" xfId="18161" xr:uid="{00000000-0005-0000-0000-0000C64F0000}"/>
    <cellStyle name="Separador de milhares 2 15 4" xfId="18162" xr:uid="{00000000-0005-0000-0000-0000C74F0000}"/>
    <cellStyle name="Separador de milhares 2 15 5" xfId="18163" xr:uid="{00000000-0005-0000-0000-0000C84F0000}"/>
    <cellStyle name="Separador de milhares 2 15 5 2" xfId="28556" xr:uid="{A2E6E62B-B8AF-474B-90D7-DD13EA7764EA}"/>
    <cellStyle name="Separador de milhares 2 15 6" xfId="18164" xr:uid="{00000000-0005-0000-0000-0000C94F0000}"/>
    <cellStyle name="Separador de milhares 2 15 6 2" xfId="28557" xr:uid="{B4755784-059B-47F7-8693-F42AB5274D55}"/>
    <cellStyle name="Separador de milhares 2 15 7" xfId="18165" xr:uid="{00000000-0005-0000-0000-0000CA4F0000}"/>
    <cellStyle name="Separador de milhares 2 15 7 2" xfId="28558" xr:uid="{B66D072C-DE97-4352-A75E-68FD228C318E}"/>
    <cellStyle name="Separador de milhares 2 15 8" xfId="18166" xr:uid="{00000000-0005-0000-0000-0000CB4F0000}"/>
    <cellStyle name="Separador de milhares 2 15 8 2" xfId="28559" xr:uid="{9A194A7F-4A09-4F2A-805E-3D13064FBF37}"/>
    <cellStyle name="Separador de milhares 2 15 9" xfId="18167" xr:uid="{00000000-0005-0000-0000-0000CC4F0000}"/>
    <cellStyle name="Separador de milhares 2 15 9 2" xfId="28560" xr:uid="{5FDF9465-57D8-40BA-BC12-17E1E18F2193}"/>
    <cellStyle name="Separador de milhares 2 16" xfId="18168" xr:uid="{00000000-0005-0000-0000-0000CD4F0000}"/>
    <cellStyle name="Separador de milhares 2 16 2" xfId="18169" xr:uid="{00000000-0005-0000-0000-0000CE4F0000}"/>
    <cellStyle name="Separador de milhares 2 16 3" xfId="18170" xr:uid="{00000000-0005-0000-0000-0000CF4F0000}"/>
    <cellStyle name="Separador de milhares 2 16 4" xfId="18171" xr:uid="{00000000-0005-0000-0000-0000D04F0000}"/>
    <cellStyle name="Separador de milhares 2 16 5" xfId="28561" xr:uid="{1EB3C83D-A84D-41BC-BCAB-DA73B8F3B27B}"/>
    <cellStyle name="Separador de milhares 2 17" xfId="18172" xr:uid="{00000000-0005-0000-0000-0000D14F0000}"/>
    <cellStyle name="Separador de milhares 2 17 10" xfId="18173" xr:uid="{00000000-0005-0000-0000-0000D24F0000}"/>
    <cellStyle name="Separador de milhares 2 17 10 2" xfId="28563" xr:uid="{2E412108-03DA-4622-8B12-40BD504B8ADF}"/>
    <cellStyle name="Separador de milhares 2 17 11" xfId="28562" xr:uid="{5D894F2E-3DCF-4D42-B2FD-737BFB798D1A}"/>
    <cellStyle name="Separador de milhares 2 17 2" xfId="18174" xr:uid="{00000000-0005-0000-0000-0000D34F0000}"/>
    <cellStyle name="Separador de milhares 2 17 3" xfId="18175" xr:uid="{00000000-0005-0000-0000-0000D44F0000}"/>
    <cellStyle name="Separador de milhares 2 17 4" xfId="18176" xr:uid="{00000000-0005-0000-0000-0000D54F0000}"/>
    <cellStyle name="Separador de milhares 2 17 5" xfId="18177" xr:uid="{00000000-0005-0000-0000-0000D64F0000}"/>
    <cellStyle name="Separador de milhares 2 17 5 2" xfId="28564" xr:uid="{9C7C61E3-F6EC-41AF-B45D-20F7D66115DE}"/>
    <cellStyle name="Separador de milhares 2 17 6" xfId="18178" xr:uid="{00000000-0005-0000-0000-0000D74F0000}"/>
    <cellStyle name="Separador de milhares 2 17 6 2" xfId="28565" xr:uid="{ACD78BB1-A621-4E07-AAE2-137906B22243}"/>
    <cellStyle name="Separador de milhares 2 17 7" xfId="18179" xr:uid="{00000000-0005-0000-0000-0000D84F0000}"/>
    <cellStyle name="Separador de milhares 2 17 7 2" xfId="28566" xr:uid="{C3B4580B-B4A3-4363-A446-6CA2C15EF0EA}"/>
    <cellStyle name="Separador de milhares 2 17 8" xfId="18180" xr:uid="{00000000-0005-0000-0000-0000D94F0000}"/>
    <cellStyle name="Separador de milhares 2 17 8 2" xfId="28567" xr:uid="{27CDB655-8900-4A1F-9C08-3D162B088234}"/>
    <cellStyle name="Separador de milhares 2 17 9" xfId="18181" xr:uid="{00000000-0005-0000-0000-0000DA4F0000}"/>
    <cellStyle name="Separador de milhares 2 17 9 2" xfId="28568" xr:uid="{A907BCE6-AFA0-4A0E-BB3B-D7FC2C8EFE27}"/>
    <cellStyle name="Separador de milhares 2 18" xfId="18182" xr:uid="{00000000-0005-0000-0000-0000DB4F0000}"/>
    <cellStyle name="Separador de milhares 2 18 10" xfId="18183" xr:uid="{00000000-0005-0000-0000-0000DC4F0000}"/>
    <cellStyle name="Separador de milhares 2 18 10 2" xfId="28570" xr:uid="{2326F2DD-B3F7-40F0-92FC-838613B2697E}"/>
    <cellStyle name="Separador de milhares 2 18 11" xfId="28569" xr:uid="{81C8CB29-2D78-4191-BC93-9D434E88B1A9}"/>
    <cellStyle name="Separador de milhares 2 18 2" xfId="18184" xr:uid="{00000000-0005-0000-0000-0000DD4F0000}"/>
    <cellStyle name="Separador de milhares 2 18 3" xfId="18185" xr:uid="{00000000-0005-0000-0000-0000DE4F0000}"/>
    <cellStyle name="Separador de milhares 2 18 4" xfId="18186" xr:uid="{00000000-0005-0000-0000-0000DF4F0000}"/>
    <cellStyle name="Separador de milhares 2 18 5" xfId="18187" xr:uid="{00000000-0005-0000-0000-0000E04F0000}"/>
    <cellStyle name="Separador de milhares 2 18 5 2" xfId="28571" xr:uid="{02537968-DCBC-4F53-B179-EFCE56EDDEE4}"/>
    <cellStyle name="Separador de milhares 2 18 6" xfId="18188" xr:uid="{00000000-0005-0000-0000-0000E14F0000}"/>
    <cellStyle name="Separador de milhares 2 18 6 2" xfId="28572" xr:uid="{BB43ABC8-A17D-488C-B1FE-21559F724091}"/>
    <cellStyle name="Separador de milhares 2 18 7" xfId="18189" xr:uid="{00000000-0005-0000-0000-0000E24F0000}"/>
    <cellStyle name="Separador de milhares 2 18 7 2" xfId="28573" xr:uid="{35CC053E-A2BD-4705-97DE-FC29C5E0A1AB}"/>
    <cellStyle name="Separador de milhares 2 18 8" xfId="18190" xr:uid="{00000000-0005-0000-0000-0000E34F0000}"/>
    <cellStyle name="Separador de milhares 2 18 8 2" xfId="28574" xr:uid="{975A349D-BABD-44E9-BD75-529241A6A70C}"/>
    <cellStyle name="Separador de milhares 2 18 9" xfId="18191" xr:uid="{00000000-0005-0000-0000-0000E44F0000}"/>
    <cellStyle name="Separador de milhares 2 18 9 2" xfId="28575" xr:uid="{19D46B78-D301-4DAD-88B1-8A24EC88BEC8}"/>
    <cellStyle name="Separador de milhares 2 19" xfId="18192" xr:uid="{00000000-0005-0000-0000-0000E54F0000}"/>
    <cellStyle name="Separador de milhares 2 19 2" xfId="18193" xr:uid="{00000000-0005-0000-0000-0000E64F0000}"/>
    <cellStyle name="Separador de milhares 2 19 3" xfId="18194" xr:uid="{00000000-0005-0000-0000-0000E74F0000}"/>
    <cellStyle name="Separador de milhares 2 19 4" xfId="18195" xr:uid="{00000000-0005-0000-0000-0000E84F0000}"/>
    <cellStyle name="Separador de milhares 2 19 5" xfId="28576" xr:uid="{8F179BF4-0FFC-49B0-9ACF-7A428DB68639}"/>
    <cellStyle name="Separador de milhares 2 2" xfId="685" xr:uid="{00000000-0005-0000-0000-0000E94F0000}"/>
    <cellStyle name="Separador de milhares 2 2 10" xfId="18197" xr:uid="{00000000-0005-0000-0000-0000EA4F0000}"/>
    <cellStyle name="Separador de milhares 2 2 11" xfId="18198" xr:uid="{00000000-0005-0000-0000-0000EB4F0000}"/>
    <cellStyle name="Separador de milhares 2 2 11 2" xfId="18199" xr:uid="{00000000-0005-0000-0000-0000EC4F0000}"/>
    <cellStyle name="Separador de milhares 2 2 11 3" xfId="18200" xr:uid="{00000000-0005-0000-0000-0000ED4F0000}"/>
    <cellStyle name="Separador de milhares 2 2 12" xfId="18201" xr:uid="{00000000-0005-0000-0000-0000EE4F0000}"/>
    <cellStyle name="Separador de milhares 2 2 12 2" xfId="18202" xr:uid="{00000000-0005-0000-0000-0000EF4F0000}"/>
    <cellStyle name="Separador de milhares 2 2 12 3" xfId="18203" xr:uid="{00000000-0005-0000-0000-0000F04F0000}"/>
    <cellStyle name="Separador de milhares 2 2 13" xfId="18204" xr:uid="{00000000-0005-0000-0000-0000F14F0000}"/>
    <cellStyle name="Separador de milhares 2 2 13 2" xfId="18205" xr:uid="{00000000-0005-0000-0000-0000F24F0000}"/>
    <cellStyle name="Separador de milhares 2 2 13 3" xfId="18206" xr:uid="{00000000-0005-0000-0000-0000F34F0000}"/>
    <cellStyle name="Separador de milhares 2 2 14" xfId="18207" xr:uid="{00000000-0005-0000-0000-0000F44F0000}"/>
    <cellStyle name="Separador de milhares 2 2 14 2" xfId="18208" xr:uid="{00000000-0005-0000-0000-0000F54F0000}"/>
    <cellStyle name="Separador de milhares 2 2 14 3" xfId="18209" xr:uid="{00000000-0005-0000-0000-0000F64F0000}"/>
    <cellStyle name="Separador de milhares 2 2 15" xfId="18210" xr:uid="{00000000-0005-0000-0000-0000F74F0000}"/>
    <cellStyle name="Separador de milhares 2 2 15 2" xfId="18211" xr:uid="{00000000-0005-0000-0000-0000F84F0000}"/>
    <cellStyle name="Separador de milhares 2 2 15 3" xfId="18212" xr:uid="{00000000-0005-0000-0000-0000F94F0000}"/>
    <cellStyle name="Separador de milhares 2 2 16" xfId="18213" xr:uid="{00000000-0005-0000-0000-0000FA4F0000}"/>
    <cellStyle name="Separador de milhares 2 2 16 2" xfId="18214" xr:uid="{00000000-0005-0000-0000-0000FB4F0000}"/>
    <cellStyle name="Separador de milhares 2 2 16 3" xfId="18215" xr:uid="{00000000-0005-0000-0000-0000FC4F0000}"/>
    <cellStyle name="Separador de milhares 2 2 17" xfId="18216" xr:uid="{00000000-0005-0000-0000-0000FD4F0000}"/>
    <cellStyle name="Separador de milhares 2 2 17 2" xfId="18217" xr:uid="{00000000-0005-0000-0000-0000FE4F0000}"/>
    <cellStyle name="Separador de milhares 2 2 17 3" xfId="18218" xr:uid="{00000000-0005-0000-0000-0000FF4F0000}"/>
    <cellStyle name="Separador de milhares 2 2 18" xfId="18219" xr:uid="{00000000-0005-0000-0000-000000500000}"/>
    <cellStyle name="Separador de milhares 2 2 18 2" xfId="18220" xr:uid="{00000000-0005-0000-0000-000001500000}"/>
    <cellStyle name="Separador de milhares 2 2 18 3" xfId="18221" xr:uid="{00000000-0005-0000-0000-000002500000}"/>
    <cellStyle name="Separador de milhares 2 2 19" xfId="18222" xr:uid="{00000000-0005-0000-0000-000003500000}"/>
    <cellStyle name="Separador de milhares 2 2 19 2" xfId="18223" xr:uid="{00000000-0005-0000-0000-000004500000}"/>
    <cellStyle name="Separador de milhares 2 2 19 3" xfId="18224" xr:uid="{00000000-0005-0000-0000-000005500000}"/>
    <cellStyle name="Separador de milhares 2 2 2" xfId="686" xr:uid="{00000000-0005-0000-0000-000006500000}"/>
    <cellStyle name="Separador de milhares 2 2 2 10" xfId="18226" xr:uid="{00000000-0005-0000-0000-000007500000}"/>
    <cellStyle name="Separador de milhares 2 2 2 10 2" xfId="18227" xr:uid="{00000000-0005-0000-0000-000008500000}"/>
    <cellStyle name="Separador de milhares 2 2 2 10 3" xfId="18228" xr:uid="{00000000-0005-0000-0000-000009500000}"/>
    <cellStyle name="Separador de milhares 2 2 2 11" xfId="18229" xr:uid="{00000000-0005-0000-0000-00000A500000}"/>
    <cellStyle name="Separador de milhares 2 2 2 11 2" xfId="18230" xr:uid="{00000000-0005-0000-0000-00000B500000}"/>
    <cellStyle name="Separador de milhares 2 2 2 11 3" xfId="18231" xr:uid="{00000000-0005-0000-0000-00000C500000}"/>
    <cellStyle name="Separador de milhares 2 2 2 12" xfId="18232" xr:uid="{00000000-0005-0000-0000-00000D500000}"/>
    <cellStyle name="Separador de milhares 2 2 2 12 2" xfId="18233" xr:uid="{00000000-0005-0000-0000-00000E500000}"/>
    <cellStyle name="Separador de milhares 2 2 2 12 3" xfId="18234" xr:uid="{00000000-0005-0000-0000-00000F500000}"/>
    <cellStyle name="Separador de milhares 2 2 2 13" xfId="18235" xr:uid="{00000000-0005-0000-0000-000010500000}"/>
    <cellStyle name="Separador de milhares 2 2 2 13 2" xfId="18236" xr:uid="{00000000-0005-0000-0000-000011500000}"/>
    <cellStyle name="Separador de milhares 2 2 2 13 3" xfId="18237" xr:uid="{00000000-0005-0000-0000-000012500000}"/>
    <cellStyle name="Separador de milhares 2 2 2 14" xfId="18238" xr:uid="{00000000-0005-0000-0000-000013500000}"/>
    <cellStyle name="Separador de milhares 2 2 2 14 2" xfId="18239" xr:uid="{00000000-0005-0000-0000-000014500000}"/>
    <cellStyle name="Separador de milhares 2 2 2 14 3" xfId="18240" xr:uid="{00000000-0005-0000-0000-000015500000}"/>
    <cellStyle name="Separador de milhares 2 2 2 15" xfId="18241" xr:uid="{00000000-0005-0000-0000-000016500000}"/>
    <cellStyle name="Separador de milhares 2 2 2 15 2" xfId="18242" xr:uid="{00000000-0005-0000-0000-000017500000}"/>
    <cellStyle name="Separador de milhares 2 2 2 15 3" xfId="18243" xr:uid="{00000000-0005-0000-0000-000018500000}"/>
    <cellStyle name="Separador de milhares 2 2 2 16" xfId="18244" xr:uid="{00000000-0005-0000-0000-000019500000}"/>
    <cellStyle name="Separador de milhares 2 2 2 16 2" xfId="18245" xr:uid="{00000000-0005-0000-0000-00001A500000}"/>
    <cellStyle name="Separador de milhares 2 2 2 16 3" xfId="18246" xr:uid="{00000000-0005-0000-0000-00001B500000}"/>
    <cellStyle name="Separador de milhares 2 2 2 17" xfId="18247" xr:uid="{00000000-0005-0000-0000-00001C500000}"/>
    <cellStyle name="Separador de milhares 2 2 2 17 2" xfId="18248" xr:uid="{00000000-0005-0000-0000-00001D500000}"/>
    <cellStyle name="Separador de milhares 2 2 2 17 3" xfId="18249" xr:uid="{00000000-0005-0000-0000-00001E500000}"/>
    <cellStyle name="Separador de milhares 2 2 2 18" xfId="18250" xr:uid="{00000000-0005-0000-0000-00001F500000}"/>
    <cellStyle name="Separador de milhares 2 2 2 18 2" xfId="18251" xr:uid="{00000000-0005-0000-0000-000020500000}"/>
    <cellStyle name="Separador de milhares 2 2 2 18 3" xfId="18252" xr:uid="{00000000-0005-0000-0000-000021500000}"/>
    <cellStyle name="Separador de milhares 2 2 2 19" xfId="18253" xr:uid="{00000000-0005-0000-0000-000022500000}"/>
    <cellStyle name="Separador de milhares 2 2 2 2" xfId="687" xr:uid="{00000000-0005-0000-0000-000023500000}"/>
    <cellStyle name="Separador de milhares 2 2 2 2 10" xfId="27931" xr:uid="{881A5C37-6A2D-4D0A-B9CD-9D1C6CF55160}"/>
    <cellStyle name="Separador de milhares 2 2 2 2 2" xfId="688" xr:uid="{00000000-0005-0000-0000-000024500000}"/>
    <cellStyle name="Separador de milhares 2 2 2 2 2 10" xfId="18256" xr:uid="{00000000-0005-0000-0000-000025500000}"/>
    <cellStyle name="Separador de milhares 2 2 2 2 2 11" xfId="18257" xr:uid="{00000000-0005-0000-0000-000026500000}"/>
    <cellStyle name="Separador de milhares 2 2 2 2 2 12" xfId="18258" xr:uid="{00000000-0005-0000-0000-000027500000}"/>
    <cellStyle name="Separador de milhares 2 2 2 2 2 13" xfId="18255" xr:uid="{00000000-0005-0000-0000-000028500000}"/>
    <cellStyle name="Separador de milhares 2 2 2 2 2 14" xfId="27932" xr:uid="{C3B0BCBE-4077-4D07-8322-62B88CF77882}"/>
    <cellStyle name="Separador de milhares 2 2 2 2 2 2" xfId="18259" xr:uid="{00000000-0005-0000-0000-000029500000}"/>
    <cellStyle name="Separador de milhares 2 2 2 2 2 2 2" xfId="18260" xr:uid="{00000000-0005-0000-0000-00002A500000}"/>
    <cellStyle name="Separador de milhares 2 2 2 2 2 2 3" xfId="18261" xr:uid="{00000000-0005-0000-0000-00002B500000}"/>
    <cellStyle name="Separador de milhares 2 2 2 2 2 3" xfId="18262" xr:uid="{00000000-0005-0000-0000-00002C500000}"/>
    <cellStyle name="Separador de milhares 2 2 2 2 2 4" xfId="18263" xr:uid="{00000000-0005-0000-0000-00002D500000}"/>
    <cellStyle name="Separador de milhares 2 2 2 2 2 5" xfId="18264" xr:uid="{00000000-0005-0000-0000-00002E500000}"/>
    <cellStyle name="Separador de milhares 2 2 2 2 2 6" xfId="18265" xr:uid="{00000000-0005-0000-0000-00002F500000}"/>
    <cellStyle name="Separador de milhares 2 2 2 2 2 7" xfId="18266" xr:uid="{00000000-0005-0000-0000-000030500000}"/>
    <cellStyle name="Separador de milhares 2 2 2 2 2 8" xfId="18267" xr:uid="{00000000-0005-0000-0000-000031500000}"/>
    <cellStyle name="Separador de milhares 2 2 2 2 2 9" xfId="18268" xr:uid="{00000000-0005-0000-0000-000032500000}"/>
    <cellStyle name="Separador de milhares 2 2 2 2 3" xfId="689" xr:uid="{00000000-0005-0000-0000-000033500000}"/>
    <cellStyle name="Separador de milhares 2 2 2 2 3 2" xfId="18269" xr:uid="{00000000-0005-0000-0000-000034500000}"/>
    <cellStyle name="Separador de milhares 2 2 2 2 3 3" xfId="27933" xr:uid="{C37491DD-1F30-4DDB-B785-52E5E7D9C4DE}"/>
    <cellStyle name="Separador de milhares 2 2 2 2 4" xfId="18270" xr:uid="{00000000-0005-0000-0000-000035500000}"/>
    <cellStyle name="Separador de milhares 2 2 2 2 5" xfId="18271" xr:uid="{00000000-0005-0000-0000-000036500000}"/>
    <cellStyle name="Separador de milhares 2 2 2 2 6" xfId="18272" xr:uid="{00000000-0005-0000-0000-000037500000}"/>
    <cellStyle name="Separador de milhares 2 2 2 2 7" xfId="18273" xr:uid="{00000000-0005-0000-0000-000038500000}"/>
    <cellStyle name="Separador de milhares 2 2 2 2 8" xfId="18274" xr:uid="{00000000-0005-0000-0000-000039500000}"/>
    <cellStyle name="Separador de milhares 2 2 2 2 9" xfId="18254" xr:uid="{00000000-0005-0000-0000-00003A500000}"/>
    <cellStyle name="Separador de milhares 2 2 2 2 9 2" xfId="28579" xr:uid="{75AB32C1-A8F3-44E9-B4A1-D7E7637D4FAF}"/>
    <cellStyle name="Separador de milhares 2 2 2 20" xfId="18275" xr:uid="{00000000-0005-0000-0000-00003B500000}"/>
    <cellStyle name="Separador de milhares 2 2 2 21" xfId="18276" xr:uid="{00000000-0005-0000-0000-00003C500000}"/>
    <cellStyle name="Separador de milhares 2 2 2 22" xfId="18277" xr:uid="{00000000-0005-0000-0000-00003D500000}"/>
    <cellStyle name="Separador de milhares 2 2 2 23" xfId="18278" xr:uid="{00000000-0005-0000-0000-00003E500000}"/>
    <cellStyle name="Separador de milhares 2 2 2 24" xfId="18279" xr:uid="{00000000-0005-0000-0000-00003F500000}"/>
    <cellStyle name="Separador de milhares 2 2 2 25" xfId="18280" xr:uid="{00000000-0005-0000-0000-000040500000}"/>
    <cellStyle name="Separador de milhares 2 2 2 26" xfId="18281" xr:uid="{00000000-0005-0000-0000-000041500000}"/>
    <cellStyle name="Separador de milhares 2 2 2 27" xfId="18282" xr:uid="{00000000-0005-0000-0000-000042500000}"/>
    <cellStyle name="Separador de milhares 2 2 2 28" xfId="18283" xr:uid="{00000000-0005-0000-0000-000043500000}"/>
    <cellStyle name="Separador de milhares 2 2 2 29" xfId="18284" xr:uid="{00000000-0005-0000-0000-000044500000}"/>
    <cellStyle name="Separador de milhares 2 2 2 3" xfId="18285" xr:uid="{00000000-0005-0000-0000-000045500000}"/>
    <cellStyle name="Separador de milhares 2 2 2 3 2" xfId="18286" xr:uid="{00000000-0005-0000-0000-000046500000}"/>
    <cellStyle name="Separador de milhares 2 2 2 3 2 10" xfId="18287" xr:uid="{00000000-0005-0000-0000-000047500000}"/>
    <cellStyle name="Separador de milhares 2 2 2 3 2 11" xfId="18288" xr:uid="{00000000-0005-0000-0000-000048500000}"/>
    <cellStyle name="Separador de milhares 2 2 2 3 2 2" xfId="18289" xr:uid="{00000000-0005-0000-0000-000049500000}"/>
    <cellStyle name="Separador de milhares 2 2 2 3 2 3" xfId="18290" xr:uid="{00000000-0005-0000-0000-00004A500000}"/>
    <cellStyle name="Separador de milhares 2 2 2 3 2 4" xfId="18291" xr:uid="{00000000-0005-0000-0000-00004B500000}"/>
    <cellStyle name="Separador de milhares 2 2 2 3 2 5" xfId="18292" xr:uid="{00000000-0005-0000-0000-00004C500000}"/>
    <cellStyle name="Separador de milhares 2 2 2 3 2 6" xfId="18293" xr:uid="{00000000-0005-0000-0000-00004D500000}"/>
    <cellStyle name="Separador de milhares 2 2 2 3 2 7" xfId="18294" xr:uid="{00000000-0005-0000-0000-00004E500000}"/>
    <cellStyle name="Separador de milhares 2 2 2 3 2 8" xfId="18295" xr:uid="{00000000-0005-0000-0000-00004F500000}"/>
    <cellStyle name="Separador de milhares 2 2 2 3 2 9" xfId="18296" xr:uid="{00000000-0005-0000-0000-000050500000}"/>
    <cellStyle name="Separador de milhares 2 2 2 3 3" xfId="18297" xr:uid="{00000000-0005-0000-0000-000051500000}"/>
    <cellStyle name="Separador de milhares 2 2 2 30" xfId="18298" xr:uid="{00000000-0005-0000-0000-000052500000}"/>
    <cellStyle name="Separador de milhares 2 2 2 31" xfId="18299" xr:uid="{00000000-0005-0000-0000-000053500000}"/>
    <cellStyle name="Separador de milhares 2 2 2 32" xfId="18300" xr:uid="{00000000-0005-0000-0000-000054500000}"/>
    <cellStyle name="Separador de milhares 2 2 2 33" xfId="18301" xr:uid="{00000000-0005-0000-0000-000055500000}"/>
    <cellStyle name="Separador de milhares 2 2 2 34" xfId="18302" xr:uid="{00000000-0005-0000-0000-000056500000}"/>
    <cellStyle name="Separador de milhares 2 2 2 35" xfId="18303" xr:uid="{00000000-0005-0000-0000-000057500000}"/>
    <cellStyle name="Separador de milhares 2 2 2 36" xfId="18304" xr:uid="{00000000-0005-0000-0000-000058500000}"/>
    <cellStyle name="Separador de milhares 2 2 2 37" xfId="18305" xr:uid="{00000000-0005-0000-0000-000059500000}"/>
    <cellStyle name="Separador de milhares 2 2 2 38" xfId="18225" xr:uid="{00000000-0005-0000-0000-00005A500000}"/>
    <cellStyle name="Separador de milhares 2 2 2 38 2" xfId="28578" xr:uid="{B5D55FBC-20DD-4D26-A716-3BD5E5A6A702}"/>
    <cellStyle name="Separador de milhares 2 2 2 39" xfId="27309" xr:uid="{00000000-0005-0000-0000-00005B500000}"/>
    <cellStyle name="Separador de milhares 2 2 2 39 2" xfId="33146" xr:uid="{B7EF27E5-4CAC-4F1D-9849-ACE0AAD3C910}"/>
    <cellStyle name="Separador de milhares 2 2 2 4" xfId="18306" xr:uid="{00000000-0005-0000-0000-00005C500000}"/>
    <cellStyle name="Separador de milhares 2 2 2 4 10" xfId="18307" xr:uid="{00000000-0005-0000-0000-00005D500000}"/>
    <cellStyle name="Separador de milhares 2 2 2 4 11" xfId="18308" xr:uid="{00000000-0005-0000-0000-00005E500000}"/>
    <cellStyle name="Separador de milhares 2 2 2 4 2" xfId="18309" xr:uid="{00000000-0005-0000-0000-00005F500000}"/>
    <cellStyle name="Separador de milhares 2 2 2 4 3" xfId="18310" xr:uid="{00000000-0005-0000-0000-000060500000}"/>
    <cellStyle name="Separador de milhares 2 2 2 4 4" xfId="18311" xr:uid="{00000000-0005-0000-0000-000061500000}"/>
    <cellStyle name="Separador de milhares 2 2 2 4 5" xfId="18312" xr:uid="{00000000-0005-0000-0000-000062500000}"/>
    <cellStyle name="Separador de milhares 2 2 2 4 6" xfId="18313" xr:uid="{00000000-0005-0000-0000-000063500000}"/>
    <cellStyle name="Separador de milhares 2 2 2 4 7" xfId="18314" xr:uid="{00000000-0005-0000-0000-000064500000}"/>
    <cellStyle name="Separador de milhares 2 2 2 4 8" xfId="18315" xr:uid="{00000000-0005-0000-0000-000065500000}"/>
    <cellStyle name="Separador de milhares 2 2 2 4 9" xfId="18316" xr:uid="{00000000-0005-0000-0000-000066500000}"/>
    <cellStyle name="Separador de milhares 2 2 2 40" xfId="27480" xr:uid="{00000000-0005-0000-0000-000067500000}"/>
    <cellStyle name="Separador de milhares 2 2 2 40 2" xfId="33317" xr:uid="{8B17E5AE-EFE4-4962-A61A-F292A3000F81}"/>
    <cellStyle name="Separador de milhares 2 2 2 41" xfId="27649" xr:uid="{00000000-0005-0000-0000-000068500000}"/>
    <cellStyle name="Separador de milhares 2 2 2 41 2" xfId="33460" xr:uid="{46766AF5-A9CB-43E9-B0FC-08EC8D3A6085}"/>
    <cellStyle name="Separador de milhares 2 2 2 42" xfId="27806" xr:uid="{00000000-0005-0000-0000-000069500000}"/>
    <cellStyle name="Separador de milhares 2 2 2 42 2" xfId="33617" xr:uid="{6209BC91-0E01-4FE8-94A1-46FFD03DC55A}"/>
    <cellStyle name="Separador de milhares 2 2 2 43" xfId="27930" xr:uid="{31E2B3C4-FEFD-49A2-99A9-D636235DA25A}"/>
    <cellStyle name="Separador de milhares 2 2 2 5" xfId="18317" xr:uid="{00000000-0005-0000-0000-00006A500000}"/>
    <cellStyle name="Separador de milhares 2 2 2 5 10" xfId="18318" xr:uid="{00000000-0005-0000-0000-00006B500000}"/>
    <cellStyle name="Separador de milhares 2 2 2 5 11" xfId="18319" xr:uid="{00000000-0005-0000-0000-00006C500000}"/>
    <cellStyle name="Separador de milhares 2 2 2 5 2" xfId="18320" xr:uid="{00000000-0005-0000-0000-00006D500000}"/>
    <cellStyle name="Separador de milhares 2 2 2 5 3" xfId="18321" xr:uid="{00000000-0005-0000-0000-00006E500000}"/>
    <cellStyle name="Separador de milhares 2 2 2 5 4" xfId="18322" xr:uid="{00000000-0005-0000-0000-00006F500000}"/>
    <cellStyle name="Separador de milhares 2 2 2 5 5" xfId="18323" xr:uid="{00000000-0005-0000-0000-000070500000}"/>
    <cellStyle name="Separador de milhares 2 2 2 5 6" xfId="18324" xr:uid="{00000000-0005-0000-0000-000071500000}"/>
    <cellStyle name="Separador de milhares 2 2 2 5 7" xfId="18325" xr:uid="{00000000-0005-0000-0000-000072500000}"/>
    <cellStyle name="Separador de milhares 2 2 2 5 8" xfId="18326" xr:uid="{00000000-0005-0000-0000-000073500000}"/>
    <cellStyle name="Separador de milhares 2 2 2 5 9" xfId="18327" xr:uid="{00000000-0005-0000-0000-000074500000}"/>
    <cellStyle name="Separador de milhares 2 2 2 6" xfId="18328" xr:uid="{00000000-0005-0000-0000-000075500000}"/>
    <cellStyle name="Separador de milhares 2 2 2 6 10" xfId="18329" xr:uid="{00000000-0005-0000-0000-000076500000}"/>
    <cellStyle name="Separador de milhares 2 2 2 6 11" xfId="18330" xr:uid="{00000000-0005-0000-0000-000077500000}"/>
    <cellStyle name="Separador de milhares 2 2 2 6 2" xfId="18331" xr:uid="{00000000-0005-0000-0000-000078500000}"/>
    <cellStyle name="Separador de milhares 2 2 2 6 3" xfId="18332" xr:uid="{00000000-0005-0000-0000-000079500000}"/>
    <cellStyle name="Separador de milhares 2 2 2 6 4" xfId="18333" xr:uid="{00000000-0005-0000-0000-00007A500000}"/>
    <cellStyle name="Separador de milhares 2 2 2 6 5" xfId="18334" xr:uid="{00000000-0005-0000-0000-00007B500000}"/>
    <cellStyle name="Separador de milhares 2 2 2 6 6" xfId="18335" xr:uid="{00000000-0005-0000-0000-00007C500000}"/>
    <cellStyle name="Separador de milhares 2 2 2 6 7" xfId="18336" xr:uid="{00000000-0005-0000-0000-00007D500000}"/>
    <cellStyle name="Separador de milhares 2 2 2 6 8" xfId="18337" xr:uid="{00000000-0005-0000-0000-00007E500000}"/>
    <cellStyle name="Separador de milhares 2 2 2 6 9" xfId="18338" xr:uid="{00000000-0005-0000-0000-00007F500000}"/>
    <cellStyle name="Separador de milhares 2 2 2 7" xfId="18339" xr:uid="{00000000-0005-0000-0000-000080500000}"/>
    <cellStyle name="Separador de milhares 2 2 2 7 10" xfId="18340" xr:uid="{00000000-0005-0000-0000-000081500000}"/>
    <cellStyle name="Separador de milhares 2 2 2 7 11" xfId="18341" xr:uid="{00000000-0005-0000-0000-000082500000}"/>
    <cellStyle name="Separador de milhares 2 2 2 7 2" xfId="18342" xr:uid="{00000000-0005-0000-0000-000083500000}"/>
    <cellStyle name="Separador de milhares 2 2 2 7 3" xfId="18343" xr:uid="{00000000-0005-0000-0000-000084500000}"/>
    <cellStyle name="Separador de milhares 2 2 2 7 4" xfId="18344" xr:uid="{00000000-0005-0000-0000-000085500000}"/>
    <cellStyle name="Separador de milhares 2 2 2 7 5" xfId="18345" xr:uid="{00000000-0005-0000-0000-000086500000}"/>
    <cellStyle name="Separador de milhares 2 2 2 7 6" xfId="18346" xr:uid="{00000000-0005-0000-0000-000087500000}"/>
    <cellStyle name="Separador de milhares 2 2 2 7 7" xfId="18347" xr:uid="{00000000-0005-0000-0000-000088500000}"/>
    <cellStyle name="Separador de milhares 2 2 2 7 8" xfId="18348" xr:uid="{00000000-0005-0000-0000-000089500000}"/>
    <cellStyle name="Separador de milhares 2 2 2 7 9" xfId="18349" xr:uid="{00000000-0005-0000-0000-00008A500000}"/>
    <cellStyle name="Separador de milhares 2 2 2 8" xfId="18350" xr:uid="{00000000-0005-0000-0000-00008B500000}"/>
    <cellStyle name="Separador de milhares 2 2 2 8 2" xfId="18351" xr:uid="{00000000-0005-0000-0000-00008C500000}"/>
    <cellStyle name="Separador de milhares 2 2 2 8 3" xfId="18352" xr:uid="{00000000-0005-0000-0000-00008D500000}"/>
    <cellStyle name="Separador de milhares 2 2 2 9" xfId="18353" xr:uid="{00000000-0005-0000-0000-00008E500000}"/>
    <cellStyle name="Separador de milhares 2 2 2 9 2" xfId="18354" xr:uid="{00000000-0005-0000-0000-00008F500000}"/>
    <cellStyle name="Separador de milhares 2 2 2 9 3" xfId="18355" xr:uid="{00000000-0005-0000-0000-000090500000}"/>
    <cellStyle name="Separador de milhares 2 2 20" xfId="18356" xr:uid="{00000000-0005-0000-0000-000091500000}"/>
    <cellStyle name="Separador de milhares 2 2 20 2" xfId="18357" xr:uid="{00000000-0005-0000-0000-000092500000}"/>
    <cellStyle name="Separador de milhares 2 2 20 3" xfId="18358" xr:uid="{00000000-0005-0000-0000-000093500000}"/>
    <cellStyle name="Separador de milhares 2 2 21" xfId="18359" xr:uid="{00000000-0005-0000-0000-000094500000}"/>
    <cellStyle name="Separador de milhares 2 2 21 2" xfId="18360" xr:uid="{00000000-0005-0000-0000-000095500000}"/>
    <cellStyle name="Separador de milhares 2 2 21 3" xfId="18361" xr:uid="{00000000-0005-0000-0000-000096500000}"/>
    <cellStyle name="Separador de milhares 2 2 22" xfId="18362" xr:uid="{00000000-0005-0000-0000-000097500000}"/>
    <cellStyle name="Separador de milhares 2 2 23" xfId="18363" xr:uid="{00000000-0005-0000-0000-000098500000}"/>
    <cellStyle name="Separador de milhares 2 2 24" xfId="18364" xr:uid="{00000000-0005-0000-0000-000099500000}"/>
    <cellStyle name="Separador de milhares 2 2 25" xfId="18365" xr:uid="{00000000-0005-0000-0000-00009A500000}"/>
    <cellStyle name="Separador de milhares 2 2 26" xfId="18366" xr:uid="{00000000-0005-0000-0000-00009B500000}"/>
    <cellStyle name="Separador de milhares 2 2 27" xfId="18367" xr:uid="{00000000-0005-0000-0000-00009C500000}"/>
    <cellStyle name="Separador de milhares 2 2 28" xfId="18368" xr:uid="{00000000-0005-0000-0000-00009D500000}"/>
    <cellStyle name="Separador de milhares 2 2 29" xfId="18369" xr:uid="{00000000-0005-0000-0000-00009E500000}"/>
    <cellStyle name="Separador de milhares 2 2 3" xfId="690" xr:uid="{00000000-0005-0000-0000-00009F500000}"/>
    <cellStyle name="Separador de milhares 2 2 3 2" xfId="691" xr:uid="{00000000-0005-0000-0000-0000A0500000}"/>
    <cellStyle name="Separador de milhares 2 2 3 2 2" xfId="18371" xr:uid="{00000000-0005-0000-0000-0000A1500000}"/>
    <cellStyle name="Separador de milhares 2 2 3 2 3" xfId="27935" xr:uid="{25527251-D66F-4420-A3A7-192EFAC51565}"/>
    <cellStyle name="Separador de milhares 2 2 3 3" xfId="692" xr:uid="{00000000-0005-0000-0000-0000A2500000}"/>
    <cellStyle name="Separador de milhares 2 2 3 3 2" xfId="18372" xr:uid="{00000000-0005-0000-0000-0000A3500000}"/>
    <cellStyle name="Separador de milhares 2 2 3 3 3" xfId="27936" xr:uid="{AAE467A1-1C1B-4BCA-BAC0-B7C76C022A2F}"/>
    <cellStyle name="Separador de milhares 2 2 3 4" xfId="18373" xr:uid="{00000000-0005-0000-0000-0000A4500000}"/>
    <cellStyle name="Separador de milhares 2 2 3 5" xfId="18370" xr:uid="{00000000-0005-0000-0000-0000A5500000}"/>
    <cellStyle name="Separador de milhares 2 2 3 5 2" xfId="28580" xr:uid="{DA2B9F66-D101-4356-9437-5AE7A1C0775C}"/>
    <cellStyle name="Separador de milhares 2 2 3 6" xfId="27934" xr:uid="{AB0901B4-9AEA-4227-BE0F-649A84F6B450}"/>
    <cellStyle name="Separador de milhares 2 2 30" xfId="18374" xr:uid="{00000000-0005-0000-0000-0000A6500000}"/>
    <cellStyle name="Separador de milhares 2 2 31" xfId="18375" xr:uid="{00000000-0005-0000-0000-0000A7500000}"/>
    <cellStyle name="Separador de milhares 2 2 32" xfId="18376" xr:uid="{00000000-0005-0000-0000-0000A8500000}"/>
    <cellStyle name="Separador de milhares 2 2 33" xfId="18377" xr:uid="{00000000-0005-0000-0000-0000A9500000}"/>
    <cellStyle name="Separador de milhares 2 2 34" xfId="18378" xr:uid="{00000000-0005-0000-0000-0000AA500000}"/>
    <cellStyle name="Separador de milhares 2 2 35" xfId="18379" xr:uid="{00000000-0005-0000-0000-0000AB500000}"/>
    <cellStyle name="Separador de milhares 2 2 36" xfId="18380" xr:uid="{00000000-0005-0000-0000-0000AC500000}"/>
    <cellStyle name="Separador de milhares 2 2 37" xfId="18381" xr:uid="{00000000-0005-0000-0000-0000AD500000}"/>
    <cellStyle name="Separador de milhares 2 2 38" xfId="18382" xr:uid="{00000000-0005-0000-0000-0000AE500000}"/>
    <cellStyle name="Separador de milhares 2 2 39" xfId="18383" xr:uid="{00000000-0005-0000-0000-0000AF500000}"/>
    <cellStyle name="Separador de milhares 2 2 4" xfId="693" xr:uid="{00000000-0005-0000-0000-0000B0500000}"/>
    <cellStyle name="Separador de milhares 2 2 4 2" xfId="27937" xr:uid="{E169A6F8-7BAB-4C24-8746-160C7EC32FE9}"/>
    <cellStyle name="Separador de milhares 2 2 40" xfId="18384" xr:uid="{00000000-0005-0000-0000-0000B1500000}"/>
    <cellStyle name="Separador de milhares 2 2 40 2" xfId="28581" xr:uid="{09B5BB12-48F6-4044-8593-14DAC82A0394}"/>
    <cellStyle name="Separador de milhares 2 2 41" xfId="18196" xr:uid="{00000000-0005-0000-0000-0000B2500000}"/>
    <cellStyle name="Separador de milhares 2 2 41 2" xfId="28577" xr:uid="{995B8803-1E4D-401E-BE8F-A619F32F06FE}"/>
    <cellStyle name="Separador de milhares 2 2 42" xfId="27179" xr:uid="{00000000-0005-0000-0000-0000B3500000}"/>
    <cellStyle name="Separador de milhares 2 2 42 2" xfId="33021" xr:uid="{C34760EF-57F3-4059-82A3-D795460EFE58}"/>
    <cellStyle name="Separador de milhares 2 2 43" xfId="27359" xr:uid="{00000000-0005-0000-0000-0000B4500000}"/>
    <cellStyle name="Separador de milhares 2 2 43 2" xfId="33196" xr:uid="{6B8CF472-FDB4-4633-8EEC-5A226BC64B0E}"/>
    <cellStyle name="Separador de milhares 2 2 44" xfId="27537" xr:uid="{00000000-0005-0000-0000-0000B5500000}"/>
    <cellStyle name="Separador de milhares 2 2 44 2" xfId="33349" xr:uid="{6A376344-0C14-4139-8FA1-00438717B146}"/>
    <cellStyle name="Separador de milhares 2 2 45" xfId="27688" xr:uid="{00000000-0005-0000-0000-0000B6500000}"/>
    <cellStyle name="Separador de milhares 2 2 45 2" xfId="33499" xr:uid="{42BA12A5-85BA-453A-9535-81D146E92230}"/>
    <cellStyle name="Separador de milhares 2 2 46" xfId="27929" xr:uid="{7B41A2EC-36BE-4D5E-9987-A4F2DE03C6EA}"/>
    <cellStyle name="Separador de milhares 2 2 5" xfId="18385" xr:uid="{00000000-0005-0000-0000-0000B7500000}"/>
    <cellStyle name="Separador de milhares 2 2 5 10" xfId="18386" xr:uid="{00000000-0005-0000-0000-0000B8500000}"/>
    <cellStyle name="Separador de milhares 2 2 5 11" xfId="18387" xr:uid="{00000000-0005-0000-0000-0000B9500000}"/>
    <cellStyle name="Separador de milhares 2 2 5 12" xfId="18388" xr:uid="{00000000-0005-0000-0000-0000BA500000}"/>
    <cellStyle name="Separador de milhares 2 2 5 13" xfId="28582" xr:uid="{336B8242-D62B-4440-ADEE-ACDA9255D5E2}"/>
    <cellStyle name="Separador de milhares 2 2 5 2" xfId="18389" xr:uid="{00000000-0005-0000-0000-0000BB500000}"/>
    <cellStyle name="Separador de milhares 2 2 5 2 2" xfId="18390" xr:uid="{00000000-0005-0000-0000-0000BC500000}"/>
    <cellStyle name="Separador de milhares 2 2 5 2 3" xfId="18391" xr:uid="{00000000-0005-0000-0000-0000BD500000}"/>
    <cellStyle name="Separador de milhares 2 2 5 3" xfId="18392" xr:uid="{00000000-0005-0000-0000-0000BE500000}"/>
    <cellStyle name="Separador de milhares 2 2 5 4" xfId="18393" xr:uid="{00000000-0005-0000-0000-0000BF500000}"/>
    <cellStyle name="Separador de milhares 2 2 5 5" xfId="18394" xr:uid="{00000000-0005-0000-0000-0000C0500000}"/>
    <cellStyle name="Separador de milhares 2 2 5 6" xfId="18395" xr:uid="{00000000-0005-0000-0000-0000C1500000}"/>
    <cellStyle name="Separador de milhares 2 2 5 7" xfId="18396" xr:uid="{00000000-0005-0000-0000-0000C2500000}"/>
    <cellStyle name="Separador de milhares 2 2 5 8" xfId="18397" xr:uid="{00000000-0005-0000-0000-0000C3500000}"/>
    <cellStyle name="Separador de milhares 2 2 5 9" xfId="18398" xr:uid="{00000000-0005-0000-0000-0000C4500000}"/>
    <cellStyle name="Separador de milhares 2 2 6" xfId="18399" xr:uid="{00000000-0005-0000-0000-0000C5500000}"/>
    <cellStyle name="Separador de milhares 2 2 6 2" xfId="28583" xr:uid="{7E992211-8E81-435D-BAD9-3AE6C2722D08}"/>
    <cellStyle name="Separador de milhares 2 2 7" xfId="18400" xr:uid="{00000000-0005-0000-0000-0000C6500000}"/>
    <cellStyle name="Separador de milhares 2 2 8" xfId="18401" xr:uid="{00000000-0005-0000-0000-0000C7500000}"/>
    <cellStyle name="Separador de milhares 2 2 9" xfId="18402" xr:uid="{00000000-0005-0000-0000-0000C8500000}"/>
    <cellStyle name="Separador de milhares 2 20" xfId="18403" xr:uid="{00000000-0005-0000-0000-0000C9500000}"/>
    <cellStyle name="Separador de milhares 2 20 2" xfId="18404" xr:uid="{00000000-0005-0000-0000-0000CA500000}"/>
    <cellStyle name="Separador de milhares 2 20 3" xfId="18405" xr:uid="{00000000-0005-0000-0000-0000CB500000}"/>
    <cellStyle name="Separador de milhares 2 20 4" xfId="18406" xr:uid="{00000000-0005-0000-0000-0000CC500000}"/>
    <cellStyle name="Separador de milhares 2 20 5" xfId="28584" xr:uid="{2A78E3E8-F65F-462B-A632-9777A87A8AB2}"/>
    <cellStyle name="Separador de milhares 2 21" xfId="18407" xr:uid="{00000000-0005-0000-0000-0000CD500000}"/>
    <cellStyle name="Separador de milhares 2 21 2" xfId="18408" xr:uid="{00000000-0005-0000-0000-0000CE500000}"/>
    <cellStyle name="Separador de milhares 2 21 3" xfId="18409" xr:uid="{00000000-0005-0000-0000-0000CF500000}"/>
    <cellStyle name="Separador de milhares 2 21 4" xfId="18410" xr:uid="{00000000-0005-0000-0000-0000D0500000}"/>
    <cellStyle name="Separador de milhares 2 21 5" xfId="28585" xr:uid="{92C0CEF5-9AF9-4511-8159-B30D90A8EBC9}"/>
    <cellStyle name="Separador de milhares 2 22" xfId="18411" xr:uid="{00000000-0005-0000-0000-0000D1500000}"/>
    <cellStyle name="Separador de milhares 2 22 2" xfId="18412" xr:uid="{00000000-0005-0000-0000-0000D2500000}"/>
    <cellStyle name="Separador de milhares 2 22 3" xfId="28586" xr:uid="{846263CF-C212-4838-9812-56FDC308EC4B}"/>
    <cellStyle name="Separador de milhares 2 23" xfId="18413" xr:uid="{00000000-0005-0000-0000-0000D3500000}"/>
    <cellStyle name="Separador de milhares 2 23 2" xfId="18414" xr:uid="{00000000-0005-0000-0000-0000D4500000}"/>
    <cellStyle name="Separador de milhares 2 23 3" xfId="28587" xr:uid="{F32EBDF2-79D4-44B5-9692-C564DF471D50}"/>
    <cellStyle name="Separador de milhares 2 24" xfId="18415" xr:uid="{00000000-0005-0000-0000-0000D5500000}"/>
    <cellStyle name="Separador de milhares 2 24 2" xfId="18416" xr:uid="{00000000-0005-0000-0000-0000D6500000}"/>
    <cellStyle name="Separador de milhares 2 24 3" xfId="28588" xr:uid="{49E6D5D3-050F-459A-BEEA-7BA66393D249}"/>
    <cellStyle name="Separador de milhares 2 25" xfId="18417" xr:uid="{00000000-0005-0000-0000-0000D7500000}"/>
    <cellStyle name="Separador de milhares 2 25 2" xfId="18418" xr:uid="{00000000-0005-0000-0000-0000D8500000}"/>
    <cellStyle name="Separador de milhares 2 25 3" xfId="28589" xr:uid="{AACD7068-85E3-4444-BC07-52B99BB7A251}"/>
    <cellStyle name="Separador de milhares 2 26" xfId="18419" xr:uid="{00000000-0005-0000-0000-0000D9500000}"/>
    <cellStyle name="Separador de milhares 2 26 2" xfId="18420" xr:uid="{00000000-0005-0000-0000-0000DA500000}"/>
    <cellStyle name="Separador de milhares 2 26 3" xfId="28590" xr:uid="{67A477F7-C6B9-4F5D-AF22-23E4F83DACCC}"/>
    <cellStyle name="Separador de milhares 2 27" xfId="18421" xr:uid="{00000000-0005-0000-0000-0000DB500000}"/>
    <cellStyle name="Separador de milhares 2 27 2" xfId="18422" xr:uid="{00000000-0005-0000-0000-0000DC500000}"/>
    <cellStyle name="Separador de milhares 2 27 3" xfId="28591" xr:uid="{F8896C24-D4B6-442F-B2B0-3977A85609D0}"/>
    <cellStyle name="Separador de milhares 2 28" xfId="18423" xr:uid="{00000000-0005-0000-0000-0000DD500000}"/>
    <cellStyle name="Separador de milhares 2 28 2" xfId="18424" xr:uid="{00000000-0005-0000-0000-0000DE500000}"/>
    <cellStyle name="Separador de milhares 2 28 3" xfId="28592" xr:uid="{D6055C77-DC4D-4DC0-80BB-0B7F85E66542}"/>
    <cellStyle name="Separador de milhares 2 29" xfId="18425" xr:uid="{00000000-0005-0000-0000-0000DF500000}"/>
    <cellStyle name="Separador de milhares 2 29 2" xfId="18426" xr:uid="{00000000-0005-0000-0000-0000E0500000}"/>
    <cellStyle name="Separador de milhares 2 29 3" xfId="28593" xr:uid="{1322BE16-D46A-4930-9A47-1CD82233D4B3}"/>
    <cellStyle name="Separador de milhares 2 3" xfId="694" xr:uid="{00000000-0005-0000-0000-0000E1500000}"/>
    <cellStyle name="Separador de milhares 2 3 10" xfId="18428" xr:uid="{00000000-0005-0000-0000-0000E2500000}"/>
    <cellStyle name="Separador de milhares 2 3 10 2" xfId="28595" xr:uid="{53ABED8E-1B27-4344-9C77-155D25706481}"/>
    <cellStyle name="Separador de milhares 2 3 11" xfId="18429" xr:uid="{00000000-0005-0000-0000-0000E3500000}"/>
    <cellStyle name="Separador de milhares 2 3 11 2" xfId="28596" xr:uid="{D948424C-AE72-4817-A206-7FA84DFFBB5D}"/>
    <cellStyle name="Separador de milhares 2 3 12" xfId="18427" xr:uid="{00000000-0005-0000-0000-0000E4500000}"/>
    <cellStyle name="Separador de milhares 2 3 12 2" xfId="28594" xr:uid="{C3082606-77D7-420E-8813-BE31ED83CEDD}"/>
    <cellStyle name="Separador de milhares 2 3 13" xfId="27180" xr:uid="{00000000-0005-0000-0000-0000E5500000}"/>
    <cellStyle name="Separador de milhares 2 3 13 2" xfId="33022" xr:uid="{CDC9055D-1ABD-47FB-9CCC-968864DF18D3}"/>
    <cellStyle name="Separador de milhares 2 3 14" xfId="27360" xr:uid="{00000000-0005-0000-0000-0000E6500000}"/>
    <cellStyle name="Separador de milhares 2 3 14 2" xfId="33197" xr:uid="{896CA23C-7024-4D0C-913A-BF901EAFCF09}"/>
    <cellStyle name="Separador de milhares 2 3 15" xfId="27538" xr:uid="{00000000-0005-0000-0000-0000E7500000}"/>
    <cellStyle name="Separador de milhares 2 3 15 2" xfId="33350" xr:uid="{84502FC5-A317-47CB-9E22-630E61669B81}"/>
    <cellStyle name="Separador de milhares 2 3 16" xfId="27689" xr:uid="{00000000-0005-0000-0000-0000E8500000}"/>
    <cellStyle name="Separador de milhares 2 3 16 2" xfId="33500" xr:uid="{9FFBB79A-D7F4-45A1-A82A-BE9D098BDE15}"/>
    <cellStyle name="Separador de milhares 2 3 17" xfId="27938" xr:uid="{826E9EF2-16F4-4470-95C1-2D77AEA02FDC}"/>
    <cellStyle name="Separador de milhares 2 3 2" xfId="695" xr:uid="{00000000-0005-0000-0000-0000E9500000}"/>
    <cellStyle name="Separador de milhares 2 3 2 10" xfId="18430" xr:uid="{00000000-0005-0000-0000-0000EA500000}"/>
    <cellStyle name="Separador de milhares 2 3 2 11" xfId="18431" xr:uid="{00000000-0005-0000-0000-0000EB500000}"/>
    <cellStyle name="Separador de milhares 2 3 2 12" xfId="18432" xr:uid="{00000000-0005-0000-0000-0000EC500000}"/>
    <cellStyle name="Separador de milhares 2 3 2 13" xfId="18433" xr:uid="{00000000-0005-0000-0000-0000ED500000}"/>
    <cellStyle name="Separador de milhares 2 3 2 14" xfId="18434" xr:uid="{00000000-0005-0000-0000-0000EE500000}"/>
    <cellStyle name="Separador de milhares 2 3 2 15" xfId="18435" xr:uid="{00000000-0005-0000-0000-0000EF500000}"/>
    <cellStyle name="Separador de milhares 2 3 2 16" xfId="18436" xr:uid="{00000000-0005-0000-0000-0000F0500000}"/>
    <cellStyle name="Separador de milhares 2 3 2 17" xfId="18437" xr:uid="{00000000-0005-0000-0000-0000F1500000}"/>
    <cellStyle name="Separador de milhares 2 3 2 18" xfId="27124" xr:uid="{00000000-0005-0000-0000-0000F2500000}"/>
    <cellStyle name="Separador de milhares 2 3 2 18 2" xfId="32983" xr:uid="{9A638A1E-FF17-4629-BDAD-0174BB35722D}"/>
    <cellStyle name="Separador de milhares 2 3 2 19" xfId="27310" xr:uid="{00000000-0005-0000-0000-0000F3500000}"/>
    <cellStyle name="Separador de milhares 2 3 2 19 2" xfId="33147" xr:uid="{2443CF0F-8D26-46C7-AE74-E5FC65246A18}"/>
    <cellStyle name="Separador de milhares 2 3 2 2" xfId="18438" xr:uid="{00000000-0005-0000-0000-0000F4500000}"/>
    <cellStyle name="Separador de milhares 2 3 2 2 2" xfId="18439" xr:uid="{00000000-0005-0000-0000-0000F5500000}"/>
    <cellStyle name="Separador de milhares 2 3 2 2 2 10" xfId="18440" xr:uid="{00000000-0005-0000-0000-0000F6500000}"/>
    <cellStyle name="Separador de milhares 2 3 2 2 2 11" xfId="18441" xr:uid="{00000000-0005-0000-0000-0000F7500000}"/>
    <cellStyle name="Separador de milhares 2 3 2 2 2 2" xfId="18442" xr:uid="{00000000-0005-0000-0000-0000F8500000}"/>
    <cellStyle name="Separador de milhares 2 3 2 2 2 3" xfId="18443" xr:uid="{00000000-0005-0000-0000-0000F9500000}"/>
    <cellStyle name="Separador de milhares 2 3 2 2 2 4" xfId="18444" xr:uid="{00000000-0005-0000-0000-0000FA500000}"/>
    <cellStyle name="Separador de milhares 2 3 2 2 2 5" xfId="18445" xr:uid="{00000000-0005-0000-0000-0000FB500000}"/>
    <cellStyle name="Separador de milhares 2 3 2 2 2 6" xfId="18446" xr:uid="{00000000-0005-0000-0000-0000FC500000}"/>
    <cellStyle name="Separador de milhares 2 3 2 2 2 7" xfId="18447" xr:uid="{00000000-0005-0000-0000-0000FD500000}"/>
    <cellStyle name="Separador de milhares 2 3 2 2 2 8" xfId="18448" xr:uid="{00000000-0005-0000-0000-0000FE500000}"/>
    <cellStyle name="Separador de milhares 2 3 2 2 2 9" xfId="18449" xr:uid="{00000000-0005-0000-0000-0000FF500000}"/>
    <cellStyle name="Separador de milhares 2 3 2 2 3" xfId="18450" xr:uid="{00000000-0005-0000-0000-000000510000}"/>
    <cellStyle name="Separador de milhares 2 3 2 20" xfId="27481" xr:uid="{00000000-0005-0000-0000-000001510000}"/>
    <cellStyle name="Separador de milhares 2 3 2 20 2" xfId="33318" xr:uid="{8EE3C769-E42C-4FC4-9CFC-4BD88B5111C4}"/>
    <cellStyle name="Separador de milhares 2 3 2 21" xfId="27650" xr:uid="{00000000-0005-0000-0000-000002510000}"/>
    <cellStyle name="Separador de milhares 2 3 2 21 2" xfId="33461" xr:uid="{21358C2B-F677-4686-9D12-08C2093D3CD0}"/>
    <cellStyle name="Separador de milhares 2 3 2 22" xfId="27807" xr:uid="{00000000-0005-0000-0000-000003510000}"/>
    <cellStyle name="Separador de milhares 2 3 2 22 2" xfId="33618" xr:uid="{57A16198-B3C1-4019-B5FA-8816A79F200B}"/>
    <cellStyle name="Separador de milhares 2 3 2 3" xfId="18451" xr:uid="{00000000-0005-0000-0000-000004510000}"/>
    <cellStyle name="Separador de milhares 2 3 2 3 10" xfId="18452" xr:uid="{00000000-0005-0000-0000-000005510000}"/>
    <cellStyle name="Separador de milhares 2 3 2 3 2" xfId="18453" xr:uid="{00000000-0005-0000-0000-000006510000}"/>
    <cellStyle name="Separador de milhares 2 3 2 3 3" xfId="18454" xr:uid="{00000000-0005-0000-0000-000007510000}"/>
    <cellStyle name="Separador de milhares 2 3 2 3 4" xfId="18455" xr:uid="{00000000-0005-0000-0000-000008510000}"/>
    <cellStyle name="Separador de milhares 2 3 2 3 5" xfId="18456" xr:uid="{00000000-0005-0000-0000-000009510000}"/>
    <cellStyle name="Separador de milhares 2 3 2 3 6" xfId="18457" xr:uid="{00000000-0005-0000-0000-00000A510000}"/>
    <cellStyle name="Separador de milhares 2 3 2 3 7" xfId="18458" xr:uid="{00000000-0005-0000-0000-00000B510000}"/>
    <cellStyle name="Separador de milhares 2 3 2 3 8" xfId="18459" xr:uid="{00000000-0005-0000-0000-00000C510000}"/>
    <cellStyle name="Separador de milhares 2 3 2 3 9" xfId="18460" xr:uid="{00000000-0005-0000-0000-00000D510000}"/>
    <cellStyle name="Separador de milhares 2 3 2 4" xfId="18461" xr:uid="{00000000-0005-0000-0000-00000E510000}"/>
    <cellStyle name="Separador de milhares 2 3 2 4 10" xfId="18462" xr:uid="{00000000-0005-0000-0000-00000F510000}"/>
    <cellStyle name="Separador de milhares 2 3 2 4 2" xfId="18463" xr:uid="{00000000-0005-0000-0000-000010510000}"/>
    <cellStyle name="Separador de milhares 2 3 2 4 3" xfId="18464" xr:uid="{00000000-0005-0000-0000-000011510000}"/>
    <cellStyle name="Separador de milhares 2 3 2 4 4" xfId="18465" xr:uid="{00000000-0005-0000-0000-000012510000}"/>
    <cellStyle name="Separador de milhares 2 3 2 4 5" xfId="18466" xr:uid="{00000000-0005-0000-0000-000013510000}"/>
    <cellStyle name="Separador de milhares 2 3 2 4 6" xfId="18467" xr:uid="{00000000-0005-0000-0000-000014510000}"/>
    <cellStyle name="Separador de milhares 2 3 2 4 7" xfId="18468" xr:uid="{00000000-0005-0000-0000-000015510000}"/>
    <cellStyle name="Separador de milhares 2 3 2 4 8" xfId="18469" xr:uid="{00000000-0005-0000-0000-000016510000}"/>
    <cellStyle name="Separador de milhares 2 3 2 4 9" xfId="18470" xr:uid="{00000000-0005-0000-0000-000017510000}"/>
    <cellStyle name="Separador de milhares 2 3 2 5" xfId="18471" xr:uid="{00000000-0005-0000-0000-000018510000}"/>
    <cellStyle name="Separador de milhares 2 3 2 5 10" xfId="18472" xr:uid="{00000000-0005-0000-0000-000019510000}"/>
    <cellStyle name="Separador de milhares 2 3 2 5 2" xfId="18473" xr:uid="{00000000-0005-0000-0000-00001A510000}"/>
    <cellStyle name="Separador de milhares 2 3 2 5 3" xfId="18474" xr:uid="{00000000-0005-0000-0000-00001B510000}"/>
    <cellStyle name="Separador de milhares 2 3 2 5 4" xfId="18475" xr:uid="{00000000-0005-0000-0000-00001C510000}"/>
    <cellStyle name="Separador de milhares 2 3 2 5 5" xfId="18476" xr:uid="{00000000-0005-0000-0000-00001D510000}"/>
    <cellStyle name="Separador de milhares 2 3 2 5 6" xfId="18477" xr:uid="{00000000-0005-0000-0000-00001E510000}"/>
    <cellStyle name="Separador de milhares 2 3 2 5 7" xfId="18478" xr:uid="{00000000-0005-0000-0000-00001F510000}"/>
    <cellStyle name="Separador de milhares 2 3 2 5 8" xfId="18479" xr:uid="{00000000-0005-0000-0000-000020510000}"/>
    <cellStyle name="Separador de milhares 2 3 2 5 9" xfId="18480" xr:uid="{00000000-0005-0000-0000-000021510000}"/>
    <cellStyle name="Separador de milhares 2 3 2 6" xfId="18481" xr:uid="{00000000-0005-0000-0000-000022510000}"/>
    <cellStyle name="Separador de milhares 2 3 2 6 10" xfId="18482" xr:uid="{00000000-0005-0000-0000-000023510000}"/>
    <cellStyle name="Separador de milhares 2 3 2 6 2" xfId="18483" xr:uid="{00000000-0005-0000-0000-000024510000}"/>
    <cellStyle name="Separador de milhares 2 3 2 6 3" xfId="18484" xr:uid="{00000000-0005-0000-0000-000025510000}"/>
    <cellStyle name="Separador de milhares 2 3 2 6 4" xfId="18485" xr:uid="{00000000-0005-0000-0000-000026510000}"/>
    <cellStyle name="Separador de milhares 2 3 2 6 5" xfId="18486" xr:uid="{00000000-0005-0000-0000-000027510000}"/>
    <cellStyle name="Separador de milhares 2 3 2 6 6" xfId="18487" xr:uid="{00000000-0005-0000-0000-000028510000}"/>
    <cellStyle name="Separador de milhares 2 3 2 6 7" xfId="18488" xr:uid="{00000000-0005-0000-0000-000029510000}"/>
    <cellStyle name="Separador de milhares 2 3 2 6 8" xfId="18489" xr:uid="{00000000-0005-0000-0000-00002A510000}"/>
    <cellStyle name="Separador de milhares 2 3 2 6 9" xfId="18490" xr:uid="{00000000-0005-0000-0000-00002B510000}"/>
    <cellStyle name="Separador de milhares 2 3 2 7" xfId="18491" xr:uid="{00000000-0005-0000-0000-00002C510000}"/>
    <cellStyle name="Separador de milhares 2 3 2 7 10" xfId="18492" xr:uid="{00000000-0005-0000-0000-00002D510000}"/>
    <cellStyle name="Separador de milhares 2 3 2 7 2" xfId="18493" xr:uid="{00000000-0005-0000-0000-00002E510000}"/>
    <cellStyle name="Separador de milhares 2 3 2 7 3" xfId="18494" xr:uid="{00000000-0005-0000-0000-00002F510000}"/>
    <cellStyle name="Separador de milhares 2 3 2 7 4" xfId="18495" xr:uid="{00000000-0005-0000-0000-000030510000}"/>
    <cellStyle name="Separador de milhares 2 3 2 7 5" xfId="18496" xr:uid="{00000000-0005-0000-0000-000031510000}"/>
    <cellStyle name="Separador de milhares 2 3 2 7 6" xfId="18497" xr:uid="{00000000-0005-0000-0000-000032510000}"/>
    <cellStyle name="Separador de milhares 2 3 2 7 7" xfId="18498" xr:uid="{00000000-0005-0000-0000-000033510000}"/>
    <cellStyle name="Separador de milhares 2 3 2 7 8" xfId="18499" xr:uid="{00000000-0005-0000-0000-000034510000}"/>
    <cellStyle name="Separador de milhares 2 3 2 7 9" xfId="18500" xr:uid="{00000000-0005-0000-0000-000035510000}"/>
    <cellStyle name="Separador de milhares 2 3 2 8" xfId="18501" xr:uid="{00000000-0005-0000-0000-000036510000}"/>
    <cellStyle name="Separador de milhares 2 3 2 9" xfId="18502" xr:uid="{00000000-0005-0000-0000-000037510000}"/>
    <cellStyle name="Separador de milhares 2 3 3" xfId="696" xr:uid="{00000000-0005-0000-0000-000038510000}"/>
    <cellStyle name="Separador de milhares 2 3 3 10" xfId="18504" xr:uid="{00000000-0005-0000-0000-000039510000}"/>
    <cellStyle name="Separador de milhares 2 3 3 11" xfId="18505" xr:uid="{00000000-0005-0000-0000-00003A510000}"/>
    <cellStyle name="Separador de milhares 2 3 3 12" xfId="18503" xr:uid="{00000000-0005-0000-0000-00003B510000}"/>
    <cellStyle name="Separador de milhares 2 3 3 13" xfId="27939" xr:uid="{63885E0B-114D-46FF-B328-5B7E9F07C074}"/>
    <cellStyle name="Separador de milhares 2 3 3 2" xfId="18506" xr:uid="{00000000-0005-0000-0000-00003C510000}"/>
    <cellStyle name="Separador de milhares 2 3 3 3" xfId="18507" xr:uid="{00000000-0005-0000-0000-00003D510000}"/>
    <cellStyle name="Separador de milhares 2 3 3 4" xfId="18508" xr:uid="{00000000-0005-0000-0000-00003E510000}"/>
    <cellStyle name="Separador de milhares 2 3 3 5" xfId="18509" xr:uid="{00000000-0005-0000-0000-00003F510000}"/>
    <cellStyle name="Separador de milhares 2 3 3 6" xfId="18510" xr:uid="{00000000-0005-0000-0000-000040510000}"/>
    <cellStyle name="Separador de milhares 2 3 3 7" xfId="18511" xr:uid="{00000000-0005-0000-0000-000041510000}"/>
    <cellStyle name="Separador de milhares 2 3 3 8" xfId="18512" xr:uid="{00000000-0005-0000-0000-000042510000}"/>
    <cellStyle name="Separador de milhares 2 3 3 9" xfId="18513" xr:uid="{00000000-0005-0000-0000-000043510000}"/>
    <cellStyle name="Separador de milhares 2 3 4" xfId="697" xr:uid="{00000000-0005-0000-0000-000044510000}"/>
    <cellStyle name="Separador de milhares 2 3 4 2" xfId="18514" xr:uid="{00000000-0005-0000-0000-000045510000}"/>
    <cellStyle name="Separador de milhares 2 3 4 3" xfId="27940" xr:uid="{2D6D7ED9-44CC-4AF4-B955-A0FE60D842E1}"/>
    <cellStyle name="Separador de milhares 2 3 5" xfId="698" xr:uid="{00000000-0005-0000-0000-000046510000}"/>
    <cellStyle name="Separador de milhares 2 3 5 2" xfId="18515" xr:uid="{00000000-0005-0000-0000-000047510000}"/>
    <cellStyle name="Separador de milhares 2 3 5 3" xfId="27941" xr:uid="{E1FC2B05-80CD-410B-9B76-7EB03DAC603B}"/>
    <cellStyle name="Separador de milhares 2 3 6" xfId="18516" xr:uid="{00000000-0005-0000-0000-000048510000}"/>
    <cellStyle name="Separador de milhares 2 3 7" xfId="18517" xr:uid="{00000000-0005-0000-0000-000049510000}"/>
    <cellStyle name="Separador de milhares 2 3 8" xfId="18518" xr:uid="{00000000-0005-0000-0000-00004A510000}"/>
    <cellStyle name="Separador de milhares 2 3 9" xfId="18519" xr:uid="{00000000-0005-0000-0000-00004B510000}"/>
    <cellStyle name="Separador de milhares 2 30" xfId="18520" xr:uid="{00000000-0005-0000-0000-00004C510000}"/>
    <cellStyle name="Separador de milhares 2 30 2" xfId="18521" xr:uid="{00000000-0005-0000-0000-00004D510000}"/>
    <cellStyle name="Separador de milhares 2 30 3" xfId="28597" xr:uid="{6EE04B97-8FB3-4FFE-8391-7ED3E7874B22}"/>
    <cellStyle name="Separador de milhares 2 31" xfId="18522" xr:uid="{00000000-0005-0000-0000-00004E510000}"/>
    <cellStyle name="Separador de milhares 2 31 2" xfId="18523" xr:uid="{00000000-0005-0000-0000-00004F510000}"/>
    <cellStyle name="Separador de milhares 2 31 3" xfId="28598" xr:uid="{D211FEFD-E01D-4725-89B5-4573158F25AB}"/>
    <cellStyle name="Separador de milhares 2 32" xfId="18524" xr:uid="{00000000-0005-0000-0000-000050510000}"/>
    <cellStyle name="Separador de milhares 2 32 2" xfId="18525" xr:uid="{00000000-0005-0000-0000-000051510000}"/>
    <cellStyle name="Separador de milhares 2 32 3" xfId="28599" xr:uid="{CDFCC672-BAF7-4BE0-B0D5-7F0257C099A2}"/>
    <cellStyle name="Separador de milhares 2 33" xfId="18526" xr:uid="{00000000-0005-0000-0000-000052510000}"/>
    <cellStyle name="Separador de milhares 2 33 2" xfId="18527" xr:uid="{00000000-0005-0000-0000-000053510000}"/>
    <cellStyle name="Separador de milhares 2 33 3" xfId="28600" xr:uid="{99DFB643-DEBB-4210-BE1D-032ED7FB3995}"/>
    <cellStyle name="Separador de milhares 2 34" xfId="18528" xr:uid="{00000000-0005-0000-0000-000054510000}"/>
    <cellStyle name="Separador de milhares 2 34 2" xfId="18529" xr:uid="{00000000-0005-0000-0000-000055510000}"/>
    <cellStyle name="Separador de milhares 2 34 3" xfId="28601" xr:uid="{A90E2297-AF0D-4473-98BE-6EC9E5EBFC4C}"/>
    <cellStyle name="Separador de milhares 2 35" xfId="18530" xr:uid="{00000000-0005-0000-0000-000056510000}"/>
    <cellStyle name="Separador de milhares 2 35 2" xfId="18531" xr:uid="{00000000-0005-0000-0000-000057510000}"/>
    <cellStyle name="Separador de milhares 2 36" xfId="18532" xr:uid="{00000000-0005-0000-0000-000058510000}"/>
    <cellStyle name="Separador de milhares 2 36 2" xfId="18533" xr:uid="{00000000-0005-0000-0000-000059510000}"/>
    <cellStyle name="Separador de milhares 2 37" xfId="18534" xr:uid="{00000000-0005-0000-0000-00005A510000}"/>
    <cellStyle name="Separador de milhares 2 37 2" xfId="18535" xr:uid="{00000000-0005-0000-0000-00005B510000}"/>
    <cellStyle name="Separador de milhares 2 38" xfId="18536" xr:uid="{00000000-0005-0000-0000-00005C510000}"/>
    <cellStyle name="Separador de milhares 2 38 2" xfId="18537" xr:uid="{00000000-0005-0000-0000-00005D510000}"/>
    <cellStyle name="Separador de milhares 2 39" xfId="18538" xr:uid="{00000000-0005-0000-0000-00005E510000}"/>
    <cellStyle name="Separador de milhares 2 39 2" xfId="18539" xr:uid="{00000000-0005-0000-0000-00005F510000}"/>
    <cellStyle name="Separador de milhares 2 4" xfId="699" xr:uid="{00000000-0005-0000-0000-000060510000}"/>
    <cellStyle name="Separador de milhares 2 4 10" xfId="18540" xr:uid="{00000000-0005-0000-0000-000061510000}"/>
    <cellStyle name="Separador de milhares 2 4 11" xfId="18541" xr:uid="{00000000-0005-0000-0000-000062510000}"/>
    <cellStyle name="Separador de milhares 2 4 12" xfId="18542" xr:uid="{00000000-0005-0000-0000-000063510000}"/>
    <cellStyle name="Separador de milhares 2 4 13" xfId="27181" xr:uid="{00000000-0005-0000-0000-000064510000}"/>
    <cellStyle name="Separador de milhares 2 4 13 2" xfId="33023" xr:uid="{BADC974A-C5A4-4BC2-996D-937ACE75FAB3}"/>
    <cellStyle name="Separador de milhares 2 4 14" xfId="27361" xr:uid="{00000000-0005-0000-0000-000065510000}"/>
    <cellStyle name="Separador de milhares 2 4 14 2" xfId="33198" xr:uid="{BB3F0E14-760D-41DF-B6A1-10AD42D5F6FF}"/>
    <cellStyle name="Separador de milhares 2 4 15" xfId="27539" xr:uid="{00000000-0005-0000-0000-000066510000}"/>
    <cellStyle name="Separador de milhares 2 4 15 2" xfId="33351" xr:uid="{E1DFB399-48E0-4533-8E79-3FBDFDC1E74C}"/>
    <cellStyle name="Separador de milhares 2 4 16" xfId="27690" xr:uid="{00000000-0005-0000-0000-000067510000}"/>
    <cellStyle name="Separador de milhares 2 4 16 2" xfId="33501" xr:uid="{2B042A95-F607-4D8C-8BA0-84FB3F7671C3}"/>
    <cellStyle name="Separador de milhares 2 4 2" xfId="700" xr:uid="{00000000-0005-0000-0000-000068510000}"/>
    <cellStyle name="Separador de milhares 2 4 2 2" xfId="18543" xr:uid="{00000000-0005-0000-0000-000069510000}"/>
    <cellStyle name="Separador de milhares 2 4 2 3" xfId="27125" xr:uid="{00000000-0005-0000-0000-00006A510000}"/>
    <cellStyle name="Separador de milhares 2 4 2 3 2" xfId="32984" xr:uid="{494CADA1-4DED-4BF8-B6EE-C8D37C1CF968}"/>
    <cellStyle name="Separador de milhares 2 4 2 4" xfId="27311" xr:uid="{00000000-0005-0000-0000-00006B510000}"/>
    <cellStyle name="Separador de milhares 2 4 2 4 2" xfId="33148" xr:uid="{107A74DD-867B-4871-86CC-E3F501AAA687}"/>
    <cellStyle name="Separador de milhares 2 4 2 5" xfId="27482" xr:uid="{00000000-0005-0000-0000-00006C510000}"/>
    <cellStyle name="Separador de milhares 2 4 2 5 2" xfId="33319" xr:uid="{AB444CD7-FA67-40E0-9118-07B8BF333FB0}"/>
    <cellStyle name="Separador de milhares 2 4 2 6" xfId="27651" xr:uid="{00000000-0005-0000-0000-00006D510000}"/>
    <cellStyle name="Separador de milhares 2 4 2 6 2" xfId="33462" xr:uid="{E5FCA2DB-3A2C-4A1C-971A-71D65B2DEBFD}"/>
    <cellStyle name="Separador de milhares 2 4 2 7" xfId="27808" xr:uid="{00000000-0005-0000-0000-00006E510000}"/>
    <cellStyle name="Separador de milhares 2 4 2 7 2" xfId="33619" xr:uid="{EFB96F0D-70F1-4D80-A2E0-1BCCE2350A44}"/>
    <cellStyle name="Separador de milhares 2 4 3" xfId="701" xr:uid="{00000000-0005-0000-0000-00006F510000}"/>
    <cellStyle name="Separador de milhares 2 4 3 2" xfId="18544" xr:uid="{00000000-0005-0000-0000-000070510000}"/>
    <cellStyle name="Separador de milhares 2 4 3 3" xfId="27942" xr:uid="{F80FF32C-D08C-46E3-B2AD-F6FE0F7F6BAB}"/>
    <cellStyle name="Separador de milhares 2 4 4" xfId="18545" xr:uid="{00000000-0005-0000-0000-000071510000}"/>
    <cellStyle name="Separador de milhares 2 4 5" xfId="18546" xr:uid="{00000000-0005-0000-0000-000072510000}"/>
    <cellStyle name="Separador de milhares 2 4 6" xfId="18547" xr:uid="{00000000-0005-0000-0000-000073510000}"/>
    <cellStyle name="Separador de milhares 2 4 7" xfId="18548" xr:uid="{00000000-0005-0000-0000-000074510000}"/>
    <cellStyle name="Separador de milhares 2 4 8" xfId="18549" xr:uid="{00000000-0005-0000-0000-000075510000}"/>
    <cellStyle name="Separador de milhares 2 4 9" xfId="18550" xr:uid="{00000000-0005-0000-0000-000076510000}"/>
    <cellStyle name="Separador de milhares 2 40" xfId="18551" xr:uid="{00000000-0005-0000-0000-000077510000}"/>
    <cellStyle name="Separador de milhares 2 40 2" xfId="18552" xr:uid="{00000000-0005-0000-0000-000078510000}"/>
    <cellStyle name="Separador de milhares 2 41" xfId="18553" xr:uid="{00000000-0005-0000-0000-000079510000}"/>
    <cellStyle name="Separador de milhares 2 41 2" xfId="18554" xr:uid="{00000000-0005-0000-0000-00007A510000}"/>
    <cellStyle name="Separador de milhares 2 42" xfId="18555" xr:uid="{00000000-0005-0000-0000-00007B510000}"/>
    <cellStyle name="Separador de milhares 2 42 2" xfId="18556" xr:uid="{00000000-0005-0000-0000-00007C510000}"/>
    <cellStyle name="Separador de milhares 2 43" xfId="18557" xr:uid="{00000000-0005-0000-0000-00007D510000}"/>
    <cellStyle name="Separador de milhares 2 43 2" xfId="28602" xr:uid="{2CCADCB9-A1F9-4DA3-A27D-3F822EAC6007}"/>
    <cellStyle name="Separador de milhares 2 44" xfId="18558" xr:uid="{00000000-0005-0000-0000-00007E510000}"/>
    <cellStyle name="Separador de milhares 2 44 2" xfId="28603" xr:uid="{AAC262CC-59AD-44D1-8858-E098DB39F77C}"/>
    <cellStyle name="Separador de milhares 2 45" xfId="18559" xr:uid="{00000000-0005-0000-0000-00007F510000}"/>
    <cellStyle name="Separador de milhares 2 45 2" xfId="28604" xr:uid="{50FD52E6-E35A-4D1F-A337-A3353A6715F0}"/>
    <cellStyle name="Separador de milhares 2 46" xfId="18560" xr:uid="{00000000-0005-0000-0000-000080510000}"/>
    <cellStyle name="Separador de milhares 2 46 2" xfId="28605" xr:uid="{A230969F-8764-45EE-B5F3-572DAF09214A}"/>
    <cellStyle name="Separador de milhares 2 47" xfId="18561" xr:uid="{00000000-0005-0000-0000-000081510000}"/>
    <cellStyle name="Separador de milhares 2 47 2" xfId="28606" xr:uid="{6A599625-DB1B-4DEC-80E8-B608F8D625D6}"/>
    <cellStyle name="Separador de milhares 2 48" xfId="18562" xr:uid="{00000000-0005-0000-0000-000082510000}"/>
    <cellStyle name="Separador de milhares 2 48 2" xfId="28607" xr:uid="{3102563A-E819-4CFD-9025-86F94EB4771F}"/>
    <cellStyle name="Separador de milhares 2 49" xfId="18563" xr:uid="{00000000-0005-0000-0000-000083510000}"/>
    <cellStyle name="Separador de milhares 2 49 2" xfId="28608" xr:uid="{A1EFF06C-859C-458F-A31B-72EE2DB5975B}"/>
    <cellStyle name="Separador de milhares 2 5" xfId="702" xr:uid="{00000000-0005-0000-0000-000084510000}"/>
    <cellStyle name="Separador de milhares 2 5 10" xfId="27182" xr:uid="{00000000-0005-0000-0000-000085510000}"/>
    <cellStyle name="Separador de milhares 2 5 10 2" xfId="33024" xr:uid="{430D884E-548E-4B86-87B9-A9C1887D2A84}"/>
    <cellStyle name="Separador de milhares 2 5 11" xfId="27362" xr:uid="{00000000-0005-0000-0000-000086510000}"/>
    <cellStyle name="Separador de milhares 2 5 11 2" xfId="33199" xr:uid="{A30743B4-8FAB-4970-B974-07780A795245}"/>
    <cellStyle name="Separador de milhares 2 5 12" xfId="27540" xr:uid="{00000000-0005-0000-0000-000087510000}"/>
    <cellStyle name="Separador de milhares 2 5 12 2" xfId="33352" xr:uid="{08D2F30E-472A-4010-8718-9DCC0522B964}"/>
    <cellStyle name="Separador de milhares 2 5 13" xfId="27691" xr:uid="{00000000-0005-0000-0000-000088510000}"/>
    <cellStyle name="Separador de milhares 2 5 13 2" xfId="33502" xr:uid="{0D6C0FC4-339F-4384-AE75-6BDF69F99A53}"/>
    <cellStyle name="Separador de milhares 2 5 14" xfId="27943" xr:uid="{EC5627CA-F7D0-4DBD-B810-AB45B30413D5}"/>
    <cellStyle name="Separador de milhares 2 5 2" xfId="703" xr:uid="{00000000-0005-0000-0000-000089510000}"/>
    <cellStyle name="Separador de milhares 2 5 2 10" xfId="18565" xr:uid="{00000000-0005-0000-0000-00008A510000}"/>
    <cellStyle name="Separador de milhares 2 5 2 11" xfId="18566" xr:uid="{00000000-0005-0000-0000-00008B510000}"/>
    <cellStyle name="Separador de milhares 2 5 2 12" xfId="18564" xr:uid="{00000000-0005-0000-0000-00008C510000}"/>
    <cellStyle name="Separador de milhares 2 5 2 13" xfId="27126" xr:uid="{00000000-0005-0000-0000-00008D510000}"/>
    <cellStyle name="Separador de milhares 2 5 2 13 2" xfId="32985" xr:uid="{84506B77-57CA-4BCC-A2DB-D46EB9AD38AA}"/>
    <cellStyle name="Separador de milhares 2 5 2 14" xfId="27312" xr:uid="{00000000-0005-0000-0000-00008E510000}"/>
    <cellStyle name="Separador de milhares 2 5 2 14 2" xfId="33149" xr:uid="{D4D0540A-240F-48CF-85AD-94FF8DF114E7}"/>
    <cellStyle name="Separador de milhares 2 5 2 15" xfId="27483" xr:uid="{00000000-0005-0000-0000-00008F510000}"/>
    <cellStyle name="Separador de milhares 2 5 2 15 2" xfId="33320" xr:uid="{B2DB1B91-502B-4026-913F-7EA2E9193AA9}"/>
    <cellStyle name="Separador de milhares 2 5 2 16" xfId="27652" xr:uid="{00000000-0005-0000-0000-000090510000}"/>
    <cellStyle name="Separador de milhares 2 5 2 16 2" xfId="33463" xr:uid="{982AB097-870D-4DBC-BA41-16419EA00928}"/>
    <cellStyle name="Separador de milhares 2 5 2 17" xfId="27809" xr:uid="{00000000-0005-0000-0000-000091510000}"/>
    <cellStyle name="Separador de milhares 2 5 2 17 2" xfId="33620" xr:uid="{E66F7945-AAB6-49A3-BD80-B6149F5F2D00}"/>
    <cellStyle name="Separador de milhares 2 5 2 2" xfId="18567" xr:uid="{00000000-0005-0000-0000-000092510000}"/>
    <cellStyle name="Separador de milhares 2 5 2 3" xfId="18568" xr:uid="{00000000-0005-0000-0000-000093510000}"/>
    <cellStyle name="Separador de milhares 2 5 2 4" xfId="18569" xr:uid="{00000000-0005-0000-0000-000094510000}"/>
    <cellStyle name="Separador de milhares 2 5 2 5" xfId="18570" xr:uid="{00000000-0005-0000-0000-000095510000}"/>
    <cellStyle name="Separador de milhares 2 5 2 6" xfId="18571" xr:uid="{00000000-0005-0000-0000-000096510000}"/>
    <cellStyle name="Separador de milhares 2 5 2 7" xfId="18572" xr:uid="{00000000-0005-0000-0000-000097510000}"/>
    <cellStyle name="Separador de milhares 2 5 2 8" xfId="18573" xr:uid="{00000000-0005-0000-0000-000098510000}"/>
    <cellStyle name="Separador de milhares 2 5 2 9" xfId="18574" xr:uid="{00000000-0005-0000-0000-000099510000}"/>
    <cellStyle name="Separador de milhares 2 5 3" xfId="704" xr:uid="{00000000-0005-0000-0000-00009A510000}"/>
    <cellStyle name="Separador de milhares 2 5 3 2" xfId="18575" xr:uid="{00000000-0005-0000-0000-00009B510000}"/>
    <cellStyle name="Separador de milhares 2 5 3 3" xfId="27944" xr:uid="{4DDBA2BD-FA08-44AC-80A8-414D3C8BBDB9}"/>
    <cellStyle name="Separador de milhares 2 5 4" xfId="18576" xr:uid="{00000000-0005-0000-0000-00009C510000}"/>
    <cellStyle name="Separador de milhares 2 5 5" xfId="18577" xr:uid="{00000000-0005-0000-0000-00009D510000}"/>
    <cellStyle name="Separador de milhares 2 5 5 2" xfId="28609" xr:uid="{4E2EE4E0-CF29-4279-B5F5-B6B77A04BFBE}"/>
    <cellStyle name="Separador de milhares 2 5 6" xfId="18578" xr:uid="{00000000-0005-0000-0000-00009E510000}"/>
    <cellStyle name="Separador de milhares 2 5 6 2" xfId="28610" xr:uid="{12707E35-B9F4-442D-AB4D-BF0F8115A8AD}"/>
    <cellStyle name="Separador de milhares 2 5 7" xfId="18579" xr:uid="{00000000-0005-0000-0000-00009F510000}"/>
    <cellStyle name="Separador de milhares 2 5 7 2" xfId="28611" xr:uid="{4AA1190A-F8A5-4C9D-B960-1CA64F5656BD}"/>
    <cellStyle name="Separador de milhares 2 5 8" xfId="18580" xr:uid="{00000000-0005-0000-0000-0000A0510000}"/>
    <cellStyle name="Separador de milhares 2 5 8 2" xfId="28612" xr:uid="{3DA71793-E5B9-4433-BBF1-93D6C697F814}"/>
    <cellStyle name="Separador de milhares 2 5 9" xfId="18581" xr:uid="{00000000-0005-0000-0000-0000A1510000}"/>
    <cellStyle name="Separador de milhares 2 5 9 2" xfId="28613" xr:uid="{0EC79607-DE8C-4ADD-9032-0A0F5E9DE757}"/>
    <cellStyle name="Separador de milhares 2 50" xfId="18582" xr:uid="{00000000-0005-0000-0000-0000A2510000}"/>
    <cellStyle name="Separador de milhares 2 50 2" xfId="28614" xr:uid="{3AD8A386-3A48-4BB0-BEA4-CB1E20F2437B}"/>
    <cellStyle name="Separador de milhares 2 51" xfId="18583" xr:uid="{00000000-0005-0000-0000-0000A3510000}"/>
    <cellStyle name="Separador de milhares 2 51 2" xfId="28615" xr:uid="{1910A4C5-F858-4A92-85E7-94C449B58800}"/>
    <cellStyle name="Separador de milhares 2 52" xfId="18584" xr:uid="{00000000-0005-0000-0000-0000A4510000}"/>
    <cellStyle name="Separador de milhares 2 52 2" xfId="28616" xr:uid="{A6ED45C5-D72F-4714-B57D-C77CFD528247}"/>
    <cellStyle name="Separador de milhares 2 53" xfId="18585" xr:uid="{00000000-0005-0000-0000-0000A5510000}"/>
    <cellStyle name="Separador de milhares 2 53 2" xfId="28617" xr:uid="{915FFC6D-FDEB-4861-A830-F507D4FC7ADB}"/>
    <cellStyle name="Separador de milhares 2 54" xfId="18586" xr:uid="{00000000-0005-0000-0000-0000A6510000}"/>
    <cellStyle name="Separador de milhares 2 54 2" xfId="28618" xr:uid="{0DDE10E0-1D05-4641-8E5C-3D9F88A66024}"/>
    <cellStyle name="Separador de milhares 2 55" xfId="18587" xr:uid="{00000000-0005-0000-0000-0000A7510000}"/>
    <cellStyle name="Separador de milhares 2 55 2" xfId="28619" xr:uid="{8AC3D478-1A5E-419F-B7FA-B2B5CBDB7F6E}"/>
    <cellStyle name="Separador de milhares 2 56" xfId="18588" xr:uid="{00000000-0005-0000-0000-0000A8510000}"/>
    <cellStyle name="Separador de milhares 2 56 2" xfId="28620" xr:uid="{6A36454F-0FC7-4D43-AF08-41BD5DADBDE0}"/>
    <cellStyle name="Separador de milhares 2 57" xfId="18589" xr:uid="{00000000-0005-0000-0000-0000A9510000}"/>
    <cellStyle name="Separador de milhares 2 57 2" xfId="28621" xr:uid="{B18A1383-9AA3-4A6B-92B0-401F01A13C7E}"/>
    <cellStyle name="Separador de milhares 2 58" xfId="18590" xr:uid="{00000000-0005-0000-0000-0000AA510000}"/>
    <cellStyle name="Separador de milhares 2 58 2" xfId="28622" xr:uid="{0C2C28A7-F69B-43EB-B094-47AA18FC1A04}"/>
    <cellStyle name="Separador de milhares 2 59" xfId="18591" xr:uid="{00000000-0005-0000-0000-0000AB510000}"/>
    <cellStyle name="Separador de milhares 2 59 2" xfId="28623" xr:uid="{B4C474E7-88CF-4A48-BA18-968E562C900B}"/>
    <cellStyle name="Separador de milhares 2 6" xfId="705" xr:uid="{00000000-0005-0000-0000-0000AC510000}"/>
    <cellStyle name="Separador de milhares 2 6 10" xfId="18592" xr:uid="{00000000-0005-0000-0000-0000AD510000}"/>
    <cellStyle name="Separador de milhares 2 6 11" xfId="18593" xr:uid="{00000000-0005-0000-0000-0000AE510000}"/>
    <cellStyle name="Separador de milhares 2 6 12" xfId="18594" xr:uid="{00000000-0005-0000-0000-0000AF510000}"/>
    <cellStyle name="Separador de milhares 2 6 13" xfId="27183" xr:uid="{00000000-0005-0000-0000-0000B0510000}"/>
    <cellStyle name="Separador de milhares 2 6 13 2" xfId="33025" xr:uid="{F8D9A123-F6C7-467D-9B40-6C6DB660FA66}"/>
    <cellStyle name="Separador de milhares 2 6 14" xfId="27363" xr:uid="{00000000-0005-0000-0000-0000B1510000}"/>
    <cellStyle name="Separador de milhares 2 6 14 2" xfId="33200" xr:uid="{5F70ABC0-002C-4A9F-A00F-E8F4FC798581}"/>
    <cellStyle name="Separador de milhares 2 6 15" xfId="27541" xr:uid="{00000000-0005-0000-0000-0000B2510000}"/>
    <cellStyle name="Separador de milhares 2 6 15 2" xfId="33353" xr:uid="{43048B51-DE75-46B1-8B6D-5F74B41F8FF4}"/>
    <cellStyle name="Separador de milhares 2 6 16" xfId="27692" xr:uid="{00000000-0005-0000-0000-0000B3510000}"/>
    <cellStyle name="Separador de milhares 2 6 16 2" xfId="33503" xr:uid="{7B455AD8-CFD3-49FE-9A12-1D7D932F3884}"/>
    <cellStyle name="Separador de milhares 2 6 2" xfId="706" xr:uid="{00000000-0005-0000-0000-0000B4510000}"/>
    <cellStyle name="Separador de milhares 2 6 2 2" xfId="18595" xr:uid="{00000000-0005-0000-0000-0000B5510000}"/>
    <cellStyle name="Separador de milhares 2 6 2 3" xfId="27945" xr:uid="{07CE9109-9C94-4B95-8088-9949B2894440}"/>
    <cellStyle name="Separador de milhares 2 6 3" xfId="18596" xr:uid="{00000000-0005-0000-0000-0000B6510000}"/>
    <cellStyle name="Separador de milhares 2 6 4" xfId="18597" xr:uid="{00000000-0005-0000-0000-0000B7510000}"/>
    <cellStyle name="Separador de milhares 2 6 5" xfId="18598" xr:uid="{00000000-0005-0000-0000-0000B8510000}"/>
    <cellStyle name="Separador de milhares 2 6 6" xfId="18599" xr:uid="{00000000-0005-0000-0000-0000B9510000}"/>
    <cellStyle name="Separador de milhares 2 6 7" xfId="18600" xr:uid="{00000000-0005-0000-0000-0000BA510000}"/>
    <cellStyle name="Separador de milhares 2 6 8" xfId="18601" xr:uid="{00000000-0005-0000-0000-0000BB510000}"/>
    <cellStyle name="Separador de milhares 2 6 9" xfId="18602" xr:uid="{00000000-0005-0000-0000-0000BC510000}"/>
    <cellStyle name="Separador de milhares 2 60" xfId="18603" xr:uid="{00000000-0005-0000-0000-0000BD510000}"/>
    <cellStyle name="Separador de milhares 2 60 2" xfId="28624" xr:uid="{671B4E0D-8A21-429F-8E3B-F1E2AEEC933C}"/>
    <cellStyle name="Separador de milhares 2 61" xfId="18604" xr:uid="{00000000-0005-0000-0000-0000BE510000}"/>
    <cellStyle name="Separador de milhares 2 61 2" xfId="28625" xr:uid="{41CF3364-0E4E-427F-8418-A9F3CE0FC456}"/>
    <cellStyle name="Separador de milhares 2 62" xfId="18605" xr:uid="{00000000-0005-0000-0000-0000BF510000}"/>
    <cellStyle name="Separador de milhares 2 62 2" xfId="28626" xr:uid="{8BA8576E-E0A5-4D9F-9A96-38532416CBFA}"/>
    <cellStyle name="Separador de milhares 2 63" xfId="18606" xr:uid="{00000000-0005-0000-0000-0000C0510000}"/>
    <cellStyle name="Separador de milhares 2 63 2" xfId="28627" xr:uid="{F8793EA5-2EAB-4748-9B71-F6C30E40C2C0}"/>
    <cellStyle name="Separador de milhares 2 64" xfId="18118" xr:uid="{00000000-0005-0000-0000-0000C1510000}"/>
    <cellStyle name="Separador de milhares 2 65" xfId="27178" xr:uid="{00000000-0005-0000-0000-0000C2510000}"/>
    <cellStyle name="Separador de milhares 2 65 2" xfId="33020" xr:uid="{56C6D83D-508C-4260-A5F3-165FAA23D52C}"/>
    <cellStyle name="Separador de milhares 2 66" xfId="27358" xr:uid="{00000000-0005-0000-0000-0000C3510000}"/>
    <cellStyle name="Separador de milhares 2 66 2" xfId="33195" xr:uid="{F52FCFE1-251F-48F7-8E10-AA075A7F7DE3}"/>
    <cellStyle name="Separador de milhares 2 67" xfId="27536" xr:uid="{00000000-0005-0000-0000-0000C4510000}"/>
    <cellStyle name="Separador de milhares 2 67 2" xfId="33348" xr:uid="{609A195E-D4F5-4B9E-AAE6-D8A0D3D33885}"/>
    <cellStyle name="Separador de milhares 2 68" xfId="27687" xr:uid="{00000000-0005-0000-0000-0000C5510000}"/>
    <cellStyle name="Separador de milhares 2 68 2" xfId="33498" xr:uid="{6716430B-CA62-42C4-81D5-57B28618E074}"/>
    <cellStyle name="Separador de milhares 2 69" xfId="27928" xr:uid="{B2C6231E-D80A-4CCD-BA57-98E9F4DAFA8E}"/>
    <cellStyle name="Separador de milhares 2 7" xfId="707" xr:uid="{00000000-0005-0000-0000-0000C6510000}"/>
    <cellStyle name="Separador de milhares 2 7 10" xfId="18607" xr:uid="{00000000-0005-0000-0000-0000C7510000}"/>
    <cellStyle name="Separador de milhares 2 7 11" xfId="18608" xr:uid="{00000000-0005-0000-0000-0000C8510000}"/>
    <cellStyle name="Separador de milhares 2 7 12" xfId="18609" xr:uid="{00000000-0005-0000-0000-0000C9510000}"/>
    <cellStyle name="Separador de milhares 2 7 13" xfId="27946" xr:uid="{6471581E-4560-4E2B-9812-69E276A1908C}"/>
    <cellStyle name="Separador de milhares 2 7 2" xfId="18610" xr:uid="{00000000-0005-0000-0000-0000CA510000}"/>
    <cellStyle name="Separador de milhares 2 7 3" xfId="18611" xr:uid="{00000000-0005-0000-0000-0000CB510000}"/>
    <cellStyle name="Separador de milhares 2 7 4" xfId="18612" xr:uid="{00000000-0005-0000-0000-0000CC510000}"/>
    <cellStyle name="Separador de milhares 2 7 5" xfId="18613" xr:uid="{00000000-0005-0000-0000-0000CD510000}"/>
    <cellStyle name="Separador de milhares 2 7 6" xfId="18614" xr:uid="{00000000-0005-0000-0000-0000CE510000}"/>
    <cellStyle name="Separador de milhares 2 7 7" xfId="18615" xr:uid="{00000000-0005-0000-0000-0000CF510000}"/>
    <cellStyle name="Separador de milhares 2 7 8" xfId="18616" xr:uid="{00000000-0005-0000-0000-0000D0510000}"/>
    <cellStyle name="Separador de milhares 2 7 9" xfId="18617" xr:uid="{00000000-0005-0000-0000-0000D1510000}"/>
    <cellStyle name="Separador de milhares 2 8" xfId="18618" xr:uid="{00000000-0005-0000-0000-0000D2510000}"/>
    <cellStyle name="Separador de milhares 2 8 10" xfId="18619" xr:uid="{00000000-0005-0000-0000-0000D3510000}"/>
    <cellStyle name="Separador de milhares 2 8 11" xfId="18620" xr:uid="{00000000-0005-0000-0000-0000D4510000}"/>
    <cellStyle name="Separador de milhares 2 8 12" xfId="28628" xr:uid="{9A5200F4-B67A-4BD5-AE79-8CD748F3C120}"/>
    <cellStyle name="Separador de milhares 2 8 2" xfId="18621" xr:uid="{00000000-0005-0000-0000-0000D5510000}"/>
    <cellStyle name="Separador de milhares 2 8 3" xfId="18622" xr:uid="{00000000-0005-0000-0000-0000D6510000}"/>
    <cellStyle name="Separador de milhares 2 8 4" xfId="18623" xr:uid="{00000000-0005-0000-0000-0000D7510000}"/>
    <cellStyle name="Separador de milhares 2 8 5" xfId="18624" xr:uid="{00000000-0005-0000-0000-0000D8510000}"/>
    <cellStyle name="Separador de milhares 2 8 6" xfId="18625" xr:uid="{00000000-0005-0000-0000-0000D9510000}"/>
    <cellStyle name="Separador de milhares 2 8 7" xfId="18626" xr:uid="{00000000-0005-0000-0000-0000DA510000}"/>
    <cellStyle name="Separador de milhares 2 8 8" xfId="18627" xr:uid="{00000000-0005-0000-0000-0000DB510000}"/>
    <cellStyle name="Separador de milhares 2 8 9" xfId="18628" xr:uid="{00000000-0005-0000-0000-0000DC510000}"/>
    <cellStyle name="Separador de milhares 2 9" xfId="18629" xr:uid="{00000000-0005-0000-0000-0000DD510000}"/>
    <cellStyle name="Separador de milhares 2 9 10" xfId="18630" xr:uid="{00000000-0005-0000-0000-0000DE510000}"/>
    <cellStyle name="Separador de milhares 2 9 11" xfId="18631" xr:uid="{00000000-0005-0000-0000-0000DF510000}"/>
    <cellStyle name="Separador de milhares 2 9 12" xfId="18632" xr:uid="{00000000-0005-0000-0000-0000E0510000}"/>
    <cellStyle name="Separador de milhares 2 9 13" xfId="28629" xr:uid="{2CDAD506-AD95-448B-A5B4-642DED59552D}"/>
    <cellStyle name="Separador de milhares 2 9 2" xfId="18633" xr:uid="{00000000-0005-0000-0000-0000E1510000}"/>
    <cellStyle name="Separador de milhares 2 9 3" xfId="18634" xr:uid="{00000000-0005-0000-0000-0000E2510000}"/>
    <cellStyle name="Separador de milhares 2 9 4" xfId="18635" xr:uid="{00000000-0005-0000-0000-0000E3510000}"/>
    <cellStyle name="Separador de milhares 2 9 5" xfId="18636" xr:uid="{00000000-0005-0000-0000-0000E4510000}"/>
    <cellStyle name="Separador de milhares 2 9 6" xfId="18637" xr:uid="{00000000-0005-0000-0000-0000E5510000}"/>
    <cellStyle name="Separador de milhares 2 9 7" xfId="18638" xr:uid="{00000000-0005-0000-0000-0000E6510000}"/>
    <cellStyle name="Separador de milhares 2 9 8" xfId="18639" xr:uid="{00000000-0005-0000-0000-0000E7510000}"/>
    <cellStyle name="Separador de milhares 2 9 9" xfId="18640" xr:uid="{00000000-0005-0000-0000-0000E8510000}"/>
    <cellStyle name="Separador de milhares 2_Pasta2" xfId="708" xr:uid="{00000000-0005-0000-0000-0000E9510000}"/>
    <cellStyle name="Separador de milhares 20" xfId="18641" xr:uid="{00000000-0005-0000-0000-0000EA510000}"/>
    <cellStyle name="Separador de milhares 20 10" xfId="18642" xr:uid="{00000000-0005-0000-0000-0000EB510000}"/>
    <cellStyle name="Separador de milhares 20 11" xfId="18643" xr:uid="{00000000-0005-0000-0000-0000EC510000}"/>
    <cellStyle name="Separador de milhares 20 12" xfId="18644" xr:uid="{00000000-0005-0000-0000-0000ED510000}"/>
    <cellStyle name="Separador de milhares 20 12 2" xfId="28631" xr:uid="{62F9CDED-81B8-4D4F-A5A7-49CF43E2EE4C}"/>
    <cellStyle name="Separador de milhares 20 13" xfId="28630" xr:uid="{72C18F15-1F1C-4AA1-BF0F-7D05F051AF27}"/>
    <cellStyle name="Separador de milhares 20 2" xfId="18645" xr:uid="{00000000-0005-0000-0000-0000EE510000}"/>
    <cellStyle name="Separador de milhares 20 2 2" xfId="18646" xr:uid="{00000000-0005-0000-0000-0000EF510000}"/>
    <cellStyle name="Separador de milhares 20 2 3" xfId="18647" xr:uid="{00000000-0005-0000-0000-0000F0510000}"/>
    <cellStyle name="Separador de milhares 20 2 4" xfId="28632" xr:uid="{2CB1DCE5-88DF-4A96-AD15-ED9BC171F8A6}"/>
    <cellStyle name="Separador de milhares 20 3" xfId="18648" xr:uid="{00000000-0005-0000-0000-0000F1510000}"/>
    <cellStyle name="Separador de milhares 20 4" xfId="18649" xr:uid="{00000000-0005-0000-0000-0000F2510000}"/>
    <cellStyle name="Separador de milhares 20 5" xfId="18650" xr:uid="{00000000-0005-0000-0000-0000F3510000}"/>
    <cellStyle name="Separador de milhares 20 6" xfId="18651" xr:uid="{00000000-0005-0000-0000-0000F4510000}"/>
    <cellStyle name="Separador de milhares 20 7" xfId="18652" xr:uid="{00000000-0005-0000-0000-0000F5510000}"/>
    <cellStyle name="Separador de milhares 20 8" xfId="18653" xr:uid="{00000000-0005-0000-0000-0000F6510000}"/>
    <cellStyle name="Separador de milhares 20 9" xfId="18654" xr:uid="{00000000-0005-0000-0000-0000F7510000}"/>
    <cellStyle name="Separador de milhares 21" xfId="18655" xr:uid="{00000000-0005-0000-0000-0000F8510000}"/>
    <cellStyle name="Separador de milhares 21 2" xfId="18656" xr:uid="{00000000-0005-0000-0000-0000F9510000}"/>
    <cellStyle name="Separador de milhares 21 2 2" xfId="28634" xr:uid="{084E0EA4-28E7-40D8-A5A3-FD70792F552F}"/>
    <cellStyle name="Separador de milhares 21 3" xfId="28633" xr:uid="{D27B1032-CBB7-4128-931D-F99C2A3FA3C3}"/>
    <cellStyle name="Separador de milhares 22" xfId="18657" xr:uid="{00000000-0005-0000-0000-0000FA510000}"/>
    <cellStyle name="Separador de milhares 22 2" xfId="18658" xr:uid="{00000000-0005-0000-0000-0000FB510000}"/>
    <cellStyle name="Separador de milhares 22 2 2" xfId="28636" xr:uid="{4B1C2A4A-FCAA-42E1-9251-B06D30C45F93}"/>
    <cellStyle name="Separador de milhares 22 3" xfId="28635" xr:uid="{029BE2F8-C172-4958-90AA-FC5436555648}"/>
    <cellStyle name="Separador de milhares 23" xfId="18659" xr:uid="{00000000-0005-0000-0000-0000FC510000}"/>
    <cellStyle name="Separador de milhares 23 2" xfId="18660" xr:uid="{00000000-0005-0000-0000-0000FD510000}"/>
    <cellStyle name="Separador de milhares 23 2 2" xfId="28638" xr:uid="{9F3270B1-D26D-4A26-BB53-DCA5941DC330}"/>
    <cellStyle name="Separador de milhares 23 3" xfId="28637" xr:uid="{6C177E2B-CD68-4F15-90B5-B2850D977C6B}"/>
    <cellStyle name="Separador de milhares 24" xfId="18661" xr:uid="{00000000-0005-0000-0000-0000FE510000}"/>
    <cellStyle name="Separador de milhares 24 2" xfId="18662" xr:uid="{00000000-0005-0000-0000-0000FF510000}"/>
    <cellStyle name="Separador de milhares 24 2 2" xfId="28640" xr:uid="{978E4522-4069-4DF1-9B8B-F5622722B790}"/>
    <cellStyle name="Separador de milhares 24 3" xfId="28639" xr:uid="{2C7E72B8-E2DE-4DB1-9781-2671361E0FA6}"/>
    <cellStyle name="Separador de milhares 25" xfId="18663" xr:uid="{00000000-0005-0000-0000-000000520000}"/>
    <cellStyle name="Separador de milhares 25 2" xfId="18664" xr:uid="{00000000-0005-0000-0000-000001520000}"/>
    <cellStyle name="Separador de milhares 25 2 2" xfId="28642" xr:uid="{7D9593F7-2386-453D-84F5-482F7A30C513}"/>
    <cellStyle name="Separador de milhares 25 3" xfId="28641" xr:uid="{B9B7454C-CF15-43A9-8A40-63A0E9A1F5AB}"/>
    <cellStyle name="Separador de milhares 26" xfId="18665" xr:uid="{00000000-0005-0000-0000-000002520000}"/>
    <cellStyle name="Separador de milhares 26 2" xfId="18666" xr:uid="{00000000-0005-0000-0000-000003520000}"/>
    <cellStyle name="Separador de milhares 26 2 2" xfId="28644" xr:uid="{1C475FE2-F821-4B01-A098-DD08FCD1A85C}"/>
    <cellStyle name="Separador de milhares 26 3" xfId="28643" xr:uid="{CE0AFD4A-CFFA-4A85-A4A1-03E0E026F207}"/>
    <cellStyle name="Separador de milhares 27" xfId="18667" xr:uid="{00000000-0005-0000-0000-000004520000}"/>
    <cellStyle name="Separador de milhares 27 2" xfId="18668" xr:uid="{00000000-0005-0000-0000-000005520000}"/>
    <cellStyle name="Separador de milhares 27 2 2" xfId="28646" xr:uid="{DEA36D55-7703-4D37-B2C2-2F2C3E568AE0}"/>
    <cellStyle name="Separador de milhares 27 3" xfId="28645" xr:uid="{FAF36DA1-81E8-41FD-BF82-77E849718B75}"/>
    <cellStyle name="Separador de milhares 28" xfId="18669" xr:uid="{00000000-0005-0000-0000-000006520000}"/>
    <cellStyle name="Separador de milhares 28 2" xfId="18670" xr:uid="{00000000-0005-0000-0000-000007520000}"/>
    <cellStyle name="Separador de milhares 28 2 2" xfId="28648" xr:uid="{F50876B4-3ABF-46A6-8890-53EC826F1D1C}"/>
    <cellStyle name="Separador de milhares 28 3" xfId="28647" xr:uid="{7BAAADED-CA7D-4857-9312-D61AAF01519F}"/>
    <cellStyle name="Separador de milhares 29" xfId="18671" xr:uid="{00000000-0005-0000-0000-000008520000}"/>
    <cellStyle name="Separador de milhares 29 2" xfId="18672" xr:uid="{00000000-0005-0000-0000-000009520000}"/>
    <cellStyle name="Separador de milhares 29 2 2" xfId="28650" xr:uid="{AE170EDB-7638-45B7-B8EE-ECF3862BC1C5}"/>
    <cellStyle name="Separador de milhares 29 3" xfId="28649" xr:uid="{3694C533-2D02-4D91-856A-8C7935055A91}"/>
    <cellStyle name="Separador de milhares 3" xfId="709" xr:uid="{00000000-0005-0000-0000-00000A520000}"/>
    <cellStyle name="Separador de milhares 3 10" xfId="710" xr:uid="{00000000-0005-0000-0000-00000B520000}"/>
    <cellStyle name="Separador de milhares 3 10 2" xfId="18674" xr:uid="{00000000-0005-0000-0000-00000C520000}"/>
    <cellStyle name="Separador de milhares 3 10 3" xfId="18675" xr:uid="{00000000-0005-0000-0000-00000D520000}"/>
    <cellStyle name="Separador de milhares 3 10 4" xfId="18676" xr:uid="{00000000-0005-0000-0000-00000E520000}"/>
    <cellStyle name="Separador de milhares 3 10 5" xfId="18673" xr:uid="{00000000-0005-0000-0000-00000F520000}"/>
    <cellStyle name="Separador de milhares 3 10 6" xfId="27948" xr:uid="{26379F8E-47C5-4D88-B78F-F5B4EA4D7098}"/>
    <cellStyle name="Separador de milhares 3 11" xfId="711" xr:uid="{00000000-0005-0000-0000-000010520000}"/>
    <cellStyle name="Separador de milhares 3 11 2" xfId="18678" xr:uid="{00000000-0005-0000-0000-000011520000}"/>
    <cellStyle name="Separador de milhares 3 11 3" xfId="18679" xr:uid="{00000000-0005-0000-0000-000012520000}"/>
    <cellStyle name="Separador de milhares 3 11 4" xfId="18680" xr:uid="{00000000-0005-0000-0000-000013520000}"/>
    <cellStyle name="Separador de milhares 3 11 5" xfId="18677" xr:uid="{00000000-0005-0000-0000-000014520000}"/>
    <cellStyle name="Separador de milhares 3 12" xfId="18681" xr:uid="{00000000-0005-0000-0000-000015520000}"/>
    <cellStyle name="Separador de milhares 3 12 2" xfId="18682" xr:uid="{00000000-0005-0000-0000-000016520000}"/>
    <cellStyle name="Separador de milhares 3 12 3" xfId="18683" xr:uid="{00000000-0005-0000-0000-000017520000}"/>
    <cellStyle name="Separador de milhares 3 12 4" xfId="18684" xr:uid="{00000000-0005-0000-0000-000018520000}"/>
    <cellStyle name="Separador de milhares 3 13" xfId="18685" xr:uid="{00000000-0005-0000-0000-000019520000}"/>
    <cellStyle name="Separador de milhares 3 13 2" xfId="18686" xr:uid="{00000000-0005-0000-0000-00001A520000}"/>
    <cellStyle name="Separador de milhares 3 13 3" xfId="18687" xr:uid="{00000000-0005-0000-0000-00001B520000}"/>
    <cellStyle name="Separador de milhares 3 13 4" xfId="18688" xr:uid="{00000000-0005-0000-0000-00001C520000}"/>
    <cellStyle name="Separador de milhares 3 14" xfId="18689" xr:uid="{00000000-0005-0000-0000-00001D520000}"/>
    <cellStyle name="Separador de milhares 3 14 2" xfId="18690" xr:uid="{00000000-0005-0000-0000-00001E520000}"/>
    <cellStyle name="Separador de milhares 3 14 3" xfId="18691" xr:uid="{00000000-0005-0000-0000-00001F520000}"/>
    <cellStyle name="Separador de milhares 3 14 4" xfId="18692" xr:uid="{00000000-0005-0000-0000-000020520000}"/>
    <cellStyle name="Separador de milhares 3 15" xfId="18693" xr:uid="{00000000-0005-0000-0000-000021520000}"/>
    <cellStyle name="Separador de milhares 3 15 2" xfId="18694" xr:uid="{00000000-0005-0000-0000-000022520000}"/>
    <cellStyle name="Separador de milhares 3 15 3" xfId="18695" xr:uid="{00000000-0005-0000-0000-000023520000}"/>
    <cellStyle name="Separador de milhares 3 15 4" xfId="18696" xr:uid="{00000000-0005-0000-0000-000024520000}"/>
    <cellStyle name="Separador de milhares 3 16" xfId="18697" xr:uid="{00000000-0005-0000-0000-000025520000}"/>
    <cellStyle name="Separador de milhares 3 16 2" xfId="18698" xr:uid="{00000000-0005-0000-0000-000026520000}"/>
    <cellStyle name="Separador de milhares 3 16 3" xfId="18699" xr:uid="{00000000-0005-0000-0000-000027520000}"/>
    <cellStyle name="Separador de milhares 3 16 4" xfId="18700" xr:uid="{00000000-0005-0000-0000-000028520000}"/>
    <cellStyle name="Separador de milhares 3 17" xfId="18701" xr:uid="{00000000-0005-0000-0000-000029520000}"/>
    <cellStyle name="Separador de milhares 3 17 2" xfId="18702" xr:uid="{00000000-0005-0000-0000-00002A520000}"/>
    <cellStyle name="Separador de milhares 3 17 3" xfId="18703" xr:uid="{00000000-0005-0000-0000-00002B520000}"/>
    <cellStyle name="Separador de milhares 3 17 4" xfId="18704" xr:uid="{00000000-0005-0000-0000-00002C520000}"/>
    <cellStyle name="Separador de milhares 3 18" xfId="18705" xr:uid="{00000000-0005-0000-0000-00002D520000}"/>
    <cellStyle name="Separador de milhares 3 18 2" xfId="18706" xr:uid="{00000000-0005-0000-0000-00002E520000}"/>
    <cellStyle name="Separador de milhares 3 18 3" xfId="18707" xr:uid="{00000000-0005-0000-0000-00002F520000}"/>
    <cellStyle name="Separador de milhares 3 18 4" xfId="18708" xr:uid="{00000000-0005-0000-0000-000030520000}"/>
    <cellStyle name="Separador de milhares 3 19" xfId="18709" xr:uid="{00000000-0005-0000-0000-000031520000}"/>
    <cellStyle name="Separador de milhares 3 19 2" xfId="18710" xr:uid="{00000000-0005-0000-0000-000032520000}"/>
    <cellStyle name="Separador de milhares 3 19 3" xfId="18711" xr:uid="{00000000-0005-0000-0000-000033520000}"/>
    <cellStyle name="Separador de milhares 3 19 4" xfId="18712" xr:uid="{00000000-0005-0000-0000-000034520000}"/>
    <cellStyle name="Separador de milhares 3 2" xfId="712" xr:uid="{00000000-0005-0000-0000-000035520000}"/>
    <cellStyle name="Separador de milhares 3 2 10" xfId="18714" xr:uid="{00000000-0005-0000-0000-000036520000}"/>
    <cellStyle name="Separador de milhares 3 2 10 2" xfId="18715" xr:uid="{00000000-0005-0000-0000-000037520000}"/>
    <cellStyle name="Separador de milhares 3 2 10 3" xfId="18716" xr:uid="{00000000-0005-0000-0000-000038520000}"/>
    <cellStyle name="Separador de milhares 3 2 10 4" xfId="18717" xr:uid="{00000000-0005-0000-0000-000039520000}"/>
    <cellStyle name="Separador de milhares 3 2 11" xfId="18718" xr:uid="{00000000-0005-0000-0000-00003A520000}"/>
    <cellStyle name="Separador de milhares 3 2 11 2" xfId="18719" xr:uid="{00000000-0005-0000-0000-00003B520000}"/>
    <cellStyle name="Separador de milhares 3 2 11 3" xfId="18720" xr:uid="{00000000-0005-0000-0000-00003C520000}"/>
    <cellStyle name="Separador de milhares 3 2 11 4" xfId="18721" xr:uid="{00000000-0005-0000-0000-00003D520000}"/>
    <cellStyle name="Separador de milhares 3 2 12" xfId="18722" xr:uid="{00000000-0005-0000-0000-00003E520000}"/>
    <cellStyle name="Separador de milhares 3 2 12 2" xfId="18723" xr:uid="{00000000-0005-0000-0000-00003F520000}"/>
    <cellStyle name="Separador de milhares 3 2 12 3" xfId="18724" xr:uid="{00000000-0005-0000-0000-000040520000}"/>
    <cellStyle name="Separador de milhares 3 2 12 4" xfId="18725" xr:uid="{00000000-0005-0000-0000-000041520000}"/>
    <cellStyle name="Separador de milhares 3 2 13" xfId="18726" xr:uid="{00000000-0005-0000-0000-000042520000}"/>
    <cellStyle name="Separador de milhares 3 2 13 2" xfId="18727" xr:uid="{00000000-0005-0000-0000-000043520000}"/>
    <cellStyle name="Separador de milhares 3 2 13 3" xfId="18728" xr:uid="{00000000-0005-0000-0000-000044520000}"/>
    <cellStyle name="Separador de milhares 3 2 13 4" xfId="18729" xr:uid="{00000000-0005-0000-0000-000045520000}"/>
    <cellStyle name="Separador de milhares 3 2 14" xfId="18730" xr:uid="{00000000-0005-0000-0000-000046520000}"/>
    <cellStyle name="Separador de milhares 3 2 14 2" xfId="18731" xr:uid="{00000000-0005-0000-0000-000047520000}"/>
    <cellStyle name="Separador de milhares 3 2 14 3" xfId="18732" xr:uid="{00000000-0005-0000-0000-000048520000}"/>
    <cellStyle name="Separador de milhares 3 2 14 4" xfId="18733" xr:uid="{00000000-0005-0000-0000-000049520000}"/>
    <cellStyle name="Separador de milhares 3 2 15" xfId="18734" xr:uid="{00000000-0005-0000-0000-00004A520000}"/>
    <cellStyle name="Separador de milhares 3 2 15 2" xfId="18735" xr:uid="{00000000-0005-0000-0000-00004B520000}"/>
    <cellStyle name="Separador de milhares 3 2 15 3" xfId="18736" xr:uid="{00000000-0005-0000-0000-00004C520000}"/>
    <cellStyle name="Separador de milhares 3 2 15 4" xfId="18737" xr:uid="{00000000-0005-0000-0000-00004D520000}"/>
    <cellStyle name="Separador de milhares 3 2 16" xfId="18738" xr:uid="{00000000-0005-0000-0000-00004E520000}"/>
    <cellStyle name="Separador de milhares 3 2 16 2" xfId="18739" xr:uid="{00000000-0005-0000-0000-00004F520000}"/>
    <cellStyle name="Separador de milhares 3 2 16 3" xfId="18740" xr:uid="{00000000-0005-0000-0000-000050520000}"/>
    <cellStyle name="Separador de milhares 3 2 16 4" xfId="18741" xr:uid="{00000000-0005-0000-0000-000051520000}"/>
    <cellStyle name="Separador de milhares 3 2 17" xfId="18742" xr:uid="{00000000-0005-0000-0000-000052520000}"/>
    <cellStyle name="Separador de milhares 3 2 17 2" xfId="18743" xr:uid="{00000000-0005-0000-0000-000053520000}"/>
    <cellStyle name="Separador de milhares 3 2 17 3" xfId="18744" xr:uid="{00000000-0005-0000-0000-000054520000}"/>
    <cellStyle name="Separador de milhares 3 2 17 4" xfId="18745" xr:uid="{00000000-0005-0000-0000-000055520000}"/>
    <cellStyle name="Separador de milhares 3 2 18" xfId="18746" xr:uid="{00000000-0005-0000-0000-000056520000}"/>
    <cellStyle name="Separador de milhares 3 2 18 2" xfId="18747" xr:uid="{00000000-0005-0000-0000-000057520000}"/>
    <cellStyle name="Separador de milhares 3 2 18 3" xfId="18748" xr:uid="{00000000-0005-0000-0000-000058520000}"/>
    <cellStyle name="Separador de milhares 3 2 18 4" xfId="18749" xr:uid="{00000000-0005-0000-0000-000059520000}"/>
    <cellStyle name="Separador de milhares 3 2 19" xfId="18750" xr:uid="{00000000-0005-0000-0000-00005A520000}"/>
    <cellStyle name="Separador de milhares 3 2 19 2" xfId="18751" xr:uid="{00000000-0005-0000-0000-00005B520000}"/>
    <cellStyle name="Separador de milhares 3 2 19 3" xfId="18752" xr:uid="{00000000-0005-0000-0000-00005C520000}"/>
    <cellStyle name="Separador de milhares 3 2 19 4" xfId="18753" xr:uid="{00000000-0005-0000-0000-00005D520000}"/>
    <cellStyle name="Separador de milhares 3 2 2" xfId="713" xr:uid="{00000000-0005-0000-0000-00005E520000}"/>
    <cellStyle name="Separador de milhares 3 2 2 10" xfId="18755" xr:uid="{00000000-0005-0000-0000-00005F520000}"/>
    <cellStyle name="Separador de milhares 3 2 2 10 2" xfId="18756" xr:uid="{00000000-0005-0000-0000-000060520000}"/>
    <cellStyle name="Separador de milhares 3 2 2 10 3" xfId="18757" xr:uid="{00000000-0005-0000-0000-000061520000}"/>
    <cellStyle name="Separador de milhares 3 2 2 10 4" xfId="18758" xr:uid="{00000000-0005-0000-0000-000062520000}"/>
    <cellStyle name="Separador de milhares 3 2 2 11" xfId="18759" xr:uid="{00000000-0005-0000-0000-000063520000}"/>
    <cellStyle name="Separador de milhares 3 2 2 11 2" xfId="18760" xr:uid="{00000000-0005-0000-0000-000064520000}"/>
    <cellStyle name="Separador de milhares 3 2 2 11 3" xfId="18761" xr:uid="{00000000-0005-0000-0000-000065520000}"/>
    <cellStyle name="Separador de milhares 3 2 2 11 4" xfId="18762" xr:uid="{00000000-0005-0000-0000-000066520000}"/>
    <cellStyle name="Separador de milhares 3 2 2 12" xfId="18763" xr:uid="{00000000-0005-0000-0000-000067520000}"/>
    <cellStyle name="Separador de milhares 3 2 2 12 2" xfId="18764" xr:uid="{00000000-0005-0000-0000-000068520000}"/>
    <cellStyle name="Separador de milhares 3 2 2 12 3" xfId="18765" xr:uid="{00000000-0005-0000-0000-000069520000}"/>
    <cellStyle name="Separador de milhares 3 2 2 12 4" xfId="18766" xr:uid="{00000000-0005-0000-0000-00006A520000}"/>
    <cellStyle name="Separador de milhares 3 2 2 13" xfId="18767" xr:uid="{00000000-0005-0000-0000-00006B520000}"/>
    <cellStyle name="Separador de milhares 3 2 2 13 2" xfId="18768" xr:uid="{00000000-0005-0000-0000-00006C520000}"/>
    <cellStyle name="Separador de milhares 3 2 2 13 3" xfId="18769" xr:uid="{00000000-0005-0000-0000-00006D520000}"/>
    <cellStyle name="Separador de milhares 3 2 2 13 4" xfId="18770" xr:uid="{00000000-0005-0000-0000-00006E520000}"/>
    <cellStyle name="Separador de milhares 3 2 2 14" xfId="18771" xr:uid="{00000000-0005-0000-0000-00006F520000}"/>
    <cellStyle name="Separador de milhares 3 2 2 14 2" xfId="18772" xr:uid="{00000000-0005-0000-0000-000070520000}"/>
    <cellStyle name="Separador de milhares 3 2 2 14 3" xfId="18773" xr:uid="{00000000-0005-0000-0000-000071520000}"/>
    <cellStyle name="Separador de milhares 3 2 2 14 4" xfId="18774" xr:uid="{00000000-0005-0000-0000-000072520000}"/>
    <cellStyle name="Separador de milhares 3 2 2 15" xfId="18775" xr:uid="{00000000-0005-0000-0000-000073520000}"/>
    <cellStyle name="Separador de milhares 3 2 2 15 2" xfId="18776" xr:uid="{00000000-0005-0000-0000-000074520000}"/>
    <cellStyle name="Separador de milhares 3 2 2 15 3" xfId="18777" xr:uid="{00000000-0005-0000-0000-000075520000}"/>
    <cellStyle name="Separador de milhares 3 2 2 15 4" xfId="18778" xr:uid="{00000000-0005-0000-0000-000076520000}"/>
    <cellStyle name="Separador de milhares 3 2 2 16" xfId="18779" xr:uid="{00000000-0005-0000-0000-000077520000}"/>
    <cellStyle name="Separador de milhares 3 2 2 16 2" xfId="18780" xr:uid="{00000000-0005-0000-0000-000078520000}"/>
    <cellStyle name="Separador de milhares 3 2 2 16 3" xfId="18781" xr:uid="{00000000-0005-0000-0000-000079520000}"/>
    <cellStyle name="Separador de milhares 3 2 2 16 4" xfId="18782" xr:uid="{00000000-0005-0000-0000-00007A520000}"/>
    <cellStyle name="Separador de milhares 3 2 2 17" xfId="18783" xr:uid="{00000000-0005-0000-0000-00007B520000}"/>
    <cellStyle name="Separador de milhares 3 2 2 17 2" xfId="18784" xr:uid="{00000000-0005-0000-0000-00007C520000}"/>
    <cellStyle name="Separador de milhares 3 2 2 18" xfId="18785" xr:uid="{00000000-0005-0000-0000-00007D520000}"/>
    <cellStyle name="Separador de milhares 3 2 2 18 2" xfId="18786" xr:uid="{00000000-0005-0000-0000-00007E520000}"/>
    <cellStyle name="Separador de milhares 3 2 2 19" xfId="18787" xr:uid="{00000000-0005-0000-0000-00007F520000}"/>
    <cellStyle name="Separador de milhares 3 2 2 19 2" xfId="18788" xr:uid="{00000000-0005-0000-0000-000080520000}"/>
    <cellStyle name="Separador de milhares 3 2 2 2" xfId="714" xr:uid="{00000000-0005-0000-0000-000081520000}"/>
    <cellStyle name="Separador de milhares 3 2 2 2 10" xfId="18790" xr:uid="{00000000-0005-0000-0000-000082520000}"/>
    <cellStyle name="Separador de milhares 3 2 2 2 11" xfId="18791" xr:uid="{00000000-0005-0000-0000-000083520000}"/>
    <cellStyle name="Separador de milhares 3 2 2 2 12" xfId="18792" xr:uid="{00000000-0005-0000-0000-000084520000}"/>
    <cellStyle name="Separador de milhares 3 2 2 2 13" xfId="18789" xr:uid="{00000000-0005-0000-0000-000085520000}"/>
    <cellStyle name="Separador de milhares 3 2 2 2 14" xfId="27313" xr:uid="{00000000-0005-0000-0000-000086520000}"/>
    <cellStyle name="Separador de milhares 3 2 2 2 14 2" xfId="33150" xr:uid="{9B94BE3A-6616-436B-A556-5B36E1D06990}"/>
    <cellStyle name="Separador de milhares 3 2 2 2 15" xfId="27484" xr:uid="{00000000-0005-0000-0000-000087520000}"/>
    <cellStyle name="Separador de milhares 3 2 2 2 15 2" xfId="33321" xr:uid="{4016C5BB-9FC5-45BA-9217-50C0C6F783C3}"/>
    <cellStyle name="Separador de milhares 3 2 2 2 16" xfId="27653" xr:uid="{00000000-0005-0000-0000-000088520000}"/>
    <cellStyle name="Separador de milhares 3 2 2 2 16 2" xfId="33464" xr:uid="{28241472-A9CC-4719-9FE7-EB8808F4C0C9}"/>
    <cellStyle name="Separador de milhares 3 2 2 2 17" xfId="27810" xr:uid="{00000000-0005-0000-0000-000089520000}"/>
    <cellStyle name="Separador de milhares 3 2 2 2 17 2" xfId="33621" xr:uid="{9E82125E-36AE-44B0-9B1C-CE6E0B25D654}"/>
    <cellStyle name="Separador de milhares 3 2 2 2 18" xfId="27951" xr:uid="{6E098DE0-254F-453A-A3FA-DFC079C639B8}"/>
    <cellStyle name="Separador de milhares 3 2 2 2 2" xfId="715" xr:uid="{00000000-0005-0000-0000-00008A520000}"/>
    <cellStyle name="Separador de milhares 3 2 2 2 2 2" xfId="716" xr:uid="{00000000-0005-0000-0000-00008B520000}"/>
    <cellStyle name="Separador de milhares 3 2 2 2 2 2 2" xfId="27953" xr:uid="{D991B25B-6A05-43D0-A78C-7F3A838F48F4}"/>
    <cellStyle name="Separador de milhares 3 2 2 2 2 3" xfId="18793" xr:uid="{00000000-0005-0000-0000-00008C520000}"/>
    <cellStyle name="Separador de milhares 3 2 2 2 2 4" xfId="27952" xr:uid="{6CD07F7F-6D62-4175-B6D8-3B2D6F4226C4}"/>
    <cellStyle name="Separador de milhares 3 2 2 2 3" xfId="717" xr:uid="{00000000-0005-0000-0000-00008D520000}"/>
    <cellStyle name="Separador de milhares 3 2 2 2 3 2" xfId="18794" xr:uid="{00000000-0005-0000-0000-00008E520000}"/>
    <cellStyle name="Separador de milhares 3 2 2 2 3 3" xfId="27954" xr:uid="{3D2C249B-4E42-4238-8C1B-6064CA9630D5}"/>
    <cellStyle name="Separador de milhares 3 2 2 2 4" xfId="18795" xr:uid="{00000000-0005-0000-0000-00008F520000}"/>
    <cellStyle name="Separador de milhares 3 2 2 2 5" xfId="18796" xr:uid="{00000000-0005-0000-0000-000090520000}"/>
    <cellStyle name="Separador de milhares 3 2 2 2 6" xfId="18797" xr:uid="{00000000-0005-0000-0000-000091520000}"/>
    <cellStyle name="Separador de milhares 3 2 2 2 7" xfId="18798" xr:uid="{00000000-0005-0000-0000-000092520000}"/>
    <cellStyle name="Separador de milhares 3 2 2 2 8" xfId="18799" xr:uid="{00000000-0005-0000-0000-000093520000}"/>
    <cellStyle name="Separador de milhares 3 2 2 2 9" xfId="18800" xr:uid="{00000000-0005-0000-0000-000094520000}"/>
    <cellStyle name="Separador de milhares 3 2 2 20" xfId="18801" xr:uid="{00000000-0005-0000-0000-000095520000}"/>
    <cellStyle name="Separador de milhares 3 2 2 20 2" xfId="18802" xr:uid="{00000000-0005-0000-0000-000096520000}"/>
    <cellStyle name="Separador de milhares 3 2 2 21" xfId="18803" xr:uid="{00000000-0005-0000-0000-000097520000}"/>
    <cellStyle name="Separador de milhares 3 2 2 21 2" xfId="18804" xr:uid="{00000000-0005-0000-0000-000098520000}"/>
    <cellStyle name="Separador de milhares 3 2 2 22" xfId="18805" xr:uid="{00000000-0005-0000-0000-000099520000}"/>
    <cellStyle name="Separador de milhares 3 2 2 22 2" xfId="18806" xr:uid="{00000000-0005-0000-0000-00009A520000}"/>
    <cellStyle name="Separador de milhares 3 2 2 23" xfId="18807" xr:uid="{00000000-0005-0000-0000-00009B520000}"/>
    <cellStyle name="Separador de milhares 3 2 2 23 2" xfId="18808" xr:uid="{00000000-0005-0000-0000-00009C520000}"/>
    <cellStyle name="Separador de milhares 3 2 2 24" xfId="18809" xr:uid="{00000000-0005-0000-0000-00009D520000}"/>
    <cellStyle name="Separador de milhares 3 2 2 24 2" xfId="18810" xr:uid="{00000000-0005-0000-0000-00009E520000}"/>
    <cellStyle name="Separador de milhares 3 2 2 25" xfId="18811" xr:uid="{00000000-0005-0000-0000-00009F520000}"/>
    <cellStyle name="Separador de milhares 3 2 2 25 2" xfId="18812" xr:uid="{00000000-0005-0000-0000-0000A0520000}"/>
    <cellStyle name="Separador de milhares 3 2 2 26" xfId="18813" xr:uid="{00000000-0005-0000-0000-0000A1520000}"/>
    <cellStyle name="Separador de milhares 3 2 2 26 2" xfId="18814" xr:uid="{00000000-0005-0000-0000-0000A2520000}"/>
    <cellStyle name="Separador de milhares 3 2 2 27" xfId="18815" xr:uid="{00000000-0005-0000-0000-0000A3520000}"/>
    <cellStyle name="Separador de milhares 3 2 2 27 2" xfId="18816" xr:uid="{00000000-0005-0000-0000-0000A4520000}"/>
    <cellStyle name="Separador de milhares 3 2 2 28" xfId="18817" xr:uid="{00000000-0005-0000-0000-0000A5520000}"/>
    <cellStyle name="Separador de milhares 3 2 2 28 2" xfId="18818" xr:uid="{00000000-0005-0000-0000-0000A6520000}"/>
    <cellStyle name="Separador de milhares 3 2 2 29" xfId="18819" xr:uid="{00000000-0005-0000-0000-0000A7520000}"/>
    <cellStyle name="Separador de milhares 3 2 2 29 2" xfId="18820" xr:uid="{00000000-0005-0000-0000-0000A8520000}"/>
    <cellStyle name="Separador de milhares 3 2 2 3" xfId="718" xr:uid="{00000000-0005-0000-0000-0000A9520000}"/>
    <cellStyle name="Separador de milhares 3 2 2 3 10" xfId="18822" xr:uid="{00000000-0005-0000-0000-0000AA520000}"/>
    <cellStyle name="Separador de milhares 3 2 2 3 11" xfId="18823" xr:uid="{00000000-0005-0000-0000-0000AB520000}"/>
    <cellStyle name="Separador de milhares 3 2 2 3 12" xfId="18824" xr:uid="{00000000-0005-0000-0000-0000AC520000}"/>
    <cellStyle name="Separador de milhares 3 2 2 3 13" xfId="18821" xr:uid="{00000000-0005-0000-0000-0000AD520000}"/>
    <cellStyle name="Separador de milhares 3 2 2 3 14" xfId="27955" xr:uid="{BAD2062B-38DE-4E2F-B34F-E904CBE9E36C}"/>
    <cellStyle name="Separador de milhares 3 2 2 3 2" xfId="719" xr:uid="{00000000-0005-0000-0000-0000AE520000}"/>
    <cellStyle name="Separador de milhares 3 2 2 3 2 2" xfId="18825" xr:uid="{00000000-0005-0000-0000-0000AF520000}"/>
    <cellStyle name="Separador de milhares 3 2 2 3 2 3" xfId="27956" xr:uid="{5B463248-5B2C-4A3E-880B-EF68B327DC86}"/>
    <cellStyle name="Separador de milhares 3 2 2 3 3" xfId="18826" xr:uid="{00000000-0005-0000-0000-0000B0520000}"/>
    <cellStyle name="Separador de milhares 3 2 2 3 4" xfId="18827" xr:uid="{00000000-0005-0000-0000-0000B1520000}"/>
    <cellStyle name="Separador de milhares 3 2 2 3 5" xfId="18828" xr:uid="{00000000-0005-0000-0000-0000B2520000}"/>
    <cellStyle name="Separador de milhares 3 2 2 3 6" xfId="18829" xr:uid="{00000000-0005-0000-0000-0000B3520000}"/>
    <cellStyle name="Separador de milhares 3 2 2 3 7" xfId="18830" xr:uid="{00000000-0005-0000-0000-0000B4520000}"/>
    <cellStyle name="Separador de milhares 3 2 2 3 8" xfId="18831" xr:uid="{00000000-0005-0000-0000-0000B5520000}"/>
    <cellStyle name="Separador de milhares 3 2 2 3 9" xfId="18832" xr:uid="{00000000-0005-0000-0000-0000B6520000}"/>
    <cellStyle name="Separador de milhares 3 2 2 30" xfId="18833" xr:uid="{00000000-0005-0000-0000-0000B7520000}"/>
    <cellStyle name="Separador de milhares 3 2 2 30 2" xfId="18834" xr:uid="{00000000-0005-0000-0000-0000B8520000}"/>
    <cellStyle name="Separador de milhares 3 2 2 31" xfId="18835" xr:uid="{00000000-0005-0000-0000-0000B9520000}"/>
    <cellStyle name="Separador de milhares 3 2 2 31 2" xfId="18836" xr:uid="{00000000-0005-0000-0000-0000BA520000}"/>
    <cellStyle name="Separador de milhares 3 2 2 32" xfId="18837" xr:uid="{00000000-0005-0000-0000-0000BB520000}"/>
    <cellStyle name="Separador de milhares 3 2 2 32 2" xfId="18838" xr:uid="{00000000-0005-0000-0000-0000BC520000}"/>
    <cellStyle name="Separador de milhares 3 2 2 33" xfId="18839" xr:uid="{00000000-0005-0000-0000-0000BD520000}"/>
    <cellStyle name="Separador de milhares 3 2 2 33 2" xfId="18840" xr:uid="{00000000-0005-0000-0000-0000BE520000}"/>
    <cellStyle name="Separador de milhares 3 2 2 34" xfId="18841" xr:uid="{00000000-0005-0000-0000-0000BF520000}"/>
    <cellStyle name="Separador de milhares 3 2 2 34 2" xfId="18842" xr:uid="{00000000-0005-0000-0000-0000C0520000}"/>
    <cellStyle name="Separador de milhares 3 2 2 35" xfId="18843" xr:uid="{00000000-0005-0000-0000-0000C1520000}"/>
    <cellStyle name="Separador de milhares 3 2 2 35 2" xfId="18844" xr:uid="{00000000-0005-0000-0000-0000C2520000}"/>
    <cellStyle name="Separador de milhares 3 2 2 36" xfId="18845" xr:uid="{00000000-0005-0000-0000-0000C3520000}"/>
    <cellStyle name="Separador de milhares 3 2 2 37" xfId="18846" xr:uid="{00000000-0005-0000-0000-0000C4520000}"/>
    <cellStyle name="Separador de milhares 3 2 2 38" xfId="18847" xr:uid="{00000000-0005-0000-0000-0000C5520000}"/>
    <cellStyle name="Separador de milhares 3 2 2 39" xfId="18754" xr:uid="{00000000-0005-0000-0000-0000C6520000}"/>
    <cellStyle name="Separador de milhares 3 2 2 39 2" xfId="28652" xr:uid="{12303D8E-FDA7-4509-AB69-CF758378035B}"/>
    <cellStyle name="Separador de milhares 3 2 2 4" xfId="720" xr:uid="{00000000-0005-0000-0000-0000C7520000}"/>
    <cellStyle name="Separador de milhares 3 2 2 4 2" xfId="18849" xr:uid="{00000000-0005-0000-0000-0000C8520000}"/>
    <cellStyle name="Separador de milhares 3 2 2 4 3" xfId="18850" xr:uid="{00000000-0005-0000-0000-0000C9520000}"/>
    <cellStyle name="Separador de milhares 3 2 2 4 4" xfId="18851" xr:uid="{00000000-0005-0000-0000-0000CA520000}"/>
    <cellStyle name="Separador de milhares 3 2 2 4 5" xfId="18848" xr:uid="{00000000-0005-0000-0000-0000CB520000}"/>
    <cellStyle name="Separador de milhares 3 2 2 4 6" xfId="27957" xr:uid="{47313D6E-FA2A-47A7-AFE4-11E495C4E289}"/>
    <cellStyle name="Separador de milhares 3 2 2 40" xfId="27185" xr:uid="{00000000-0005-0000-0000-0000CC520000}"/>
    <cellStyle name="Separador de milhares 3 2 2 40 2" xfId="33027" xr:uid="{9E181C80-36C3-4350-B9C4-EF27B275F956}"/>
    <cellStyle name="Separador de milhares 3 2 2 41" xfId="27365" xr:uid="{00000000-0005-0000-0000-0000CD520000}"/>
    <cellStyle name="Separador de milhares 3 2 2 41 2" xfId="33202" xr:uid="{142FFF41-93AE-4573-A0A1-D4F11D877227}"/>
    <cellStyle name="Separador de milhares 3 2 2 42" xfId="27543" xr:uid="{00000000-0005-0000-0000-0000CE520000}"/>
    <cellStyle name="Separador de milhares 3 2 2 42 2" xfId="33355" xr:uid="{93095430-E6B5-43F5-889A-F250BD729E54}"/>
    <cellStyle name="Separador de milhares 3 2 2 43" xfId="27694" xr:uid="{00000000-0005-0000-0000-0000CF520000}"/>
    <cellStyle name="Separador de milhares 3 2 2 43 2" xfId="33505" xr:uid="{A36E9503-4D25-4140-BDBC-20ABC16E546E}"/>
    <cellStyle name="Separador de milhares 3 2 2 44" xfId="27950" xr:uid="{7BE60585-B2DE-41DE-86D1-7D24C4D200D3}"/>
    <cellStyle name="Separador de milhares 3 2 2 5" xfId="18852" xr:uid="{00000000-0005-0000-0000-0000D0520000}"/>
    <cellStyle name="Separador de milhares 3 2 2 5 2" xfId="18853" xr:uid="{00000000-0005-0000-0000-0000D1520000}"/>
    <cellStyle name="Separador de milhares 3 2 2 5 3" xfId="18854" xr:uid="{00000000-0005-0000-0000-0000D2520000}"/>
    <cellStyle name="Separador de milhares 3 2 2 5 4" xfId="18855" xr:uid="{00000000-0005-0000-0000-0000D3520000}"/>
    <cellStyle name="Separador de milhares 3 2 2 6" xfId="18856" xr:uid="{00000000-0005-0000-0000-0000D4520000}"/>
    <cellStyle name="Separador de milhares 3 2 2 6 2" xfId="18857" xr:uid="{00000000-0005-0000-0000-0000D5520000}"/>
    <cellStyle name="Separador de milhares 3 2 2 6 3" xfId="18858" xr:uid="{00000000-0005-0000-0000-0000D6520000}"/>
    <cellStyle name="Separador de milhares 3 2 2 6 4" xfId="18859" xr:uid="{00000000-0005-0000-0000-0000D7520000}"/>
    <cellStyle name="Separador de milhares 3 2 2 7" xfId="18860" xr:uid="{00000000-0005-0000-0000-0000D8520000}"/>
    <cellStyle name="Separador de milhares 3 2 2 7 2" xfId="18861" xr:uid="{00000000-0005-0000-0000-0000D9520000}"/>
    <cellStyle name="Separador de milhares 3 2 2 7 3" xfId="18862" xr:uid="{00000000-0005-0000-0000-0000DA520000}"/>
    <cellStyle name="Separador de milhares 3 2 2 7 4" xfId="18863" xr:uid="{00000000-0005-0000-0000-0000DB520000}"/>
    <cellStyle name="Separador de milhares 3 2 2 8" xfId="18864" xr:uid="{00000000-0005-0000-0000-0000DC520000}"/>
    <cellStyle name="Separador de milhares 3 2 2 8 2" xfId="18865" xr:uid="{00000000-0005-0000-0000-0000DD520000}"/>
    <cellStyle name="Separador de milhares 3 2 2 8 3" xfId="18866" xr:uid="{00000000-0005-0000-0000-0000DE520000}"/>
    <cellStyle name="Separador de milhares 3 2 2 8 4" xfId="18867" xr:uid="{00000000-0005-0000-0000-0000DF520000}"/>
    <cellStyle name="Separador de milhares 3 2 2 9" xfId="18868" xr:uid="{00000000-0005-0000-0000-0000E0520000}"/>
    <cellStyle name="Separador de milhares 3 2 2 9 2" xfId="18869" xr:uid="{00000000-0005-0000-0000-0000E1520000}"/>
    <cellStyle name="Separador de milhares 3 2 2 9 3" xfId="18870" xr:uid="{00000000-0005-0000-0000-0000E2520000}"/>
    <cellStyle name="Separador de milhares 3 2 2 9 4" xfId="18871" xr:uid="{00000000-0005-0000-0000-0000E3520000}"/>
    <cellStyle name="Separador de milhares 3 2 20" xfId="18872" xr:uid="{00000000-0005-0000-0000-0000E4520000}"/>
    <cellStyle name="Separador de milhares 3 2 20 2" xfId="18873" xr:uid="{00000000-0005-0000-0000-0000E5520000}"/>
    <cellStyle name="Separador de milhares 3 2 20 3" xfId="18874" xr:uid="{00000000-0005-0000-0000-0000E6520000}"/>
    <cellStyle name="Separador de milhares 3 2 20 4" xfId="18875" xr:uid="{00000000-0005-0000-0000-0000E7520000}"/>
    <cellStyle name="Separador de milhares 3 2 21" xfId="18876" xr:uid="{00000000-0005-0000-0000-0000E8520000}"/>
    <cellStyle name="Separador de milhares 3 2 21 2" xfId="18877" xr:uid="{00000000-0005-0000-0000-0000E9520000}"/>
    <cellStyle name="Separador de milhares 3 2 21 3" xfId="18878" xr:uid="{00000000-0005-0000-0000-0000EA520000}"/>
    <cellStyle name="Separador de milhares 3 2 21 4" xfId="18879" xr:uid="{00000000-0005-0000-0000-0000EB520000}"/>
    <cellStyle name="Separador de milhares 3 2 22" xfId="18880" xr:uid="{00000000-0005-0000-0000-0000EC520000}"/>
    <cellStyle name="Separador de milhares 3 2 22 2" xfId="18881" xr:uid="{00000000-0005-0000-0000-0000ED520000}"/>
    <cellStyle name="Separador de milhares 3 2 22 3" xfId="18882" xr:uid="{00000000-0005-0000-0000-0000EE520000}"/>
    <cellStyle name="Separador de milhares 3 2 22 4" xfId="18883" xr:uid="{00000000-0005-0000-0000-0000EF520000}"/>
    <cellStyle name="Separador de milhares 3 2 23" xfId="18884" xr:uid="{00000000-0005-0000-0000-0000F0520000}"/>
    <cellStyle name="Separador de milhares 3 2 23 2" xfId="18885" xr:uid="{00000000-0005-0000-0000-0000F1520000}"/>
    <cellStyle name="Separador de milhares 3 2 24" xfId="18886" xr:uid="{00000000-0005-0000-0000-0000F2520000}"/>
    <cellStyle name="Separador de milhares 3 2 24 2" xfId="18887" xr:uid="{00000000-0005-0000-0000-0000F3520000}"/>
    <cellStyle name="Separador de milhares 3 2 25" xfId="18888" xr:uid="{00000000-0005-0000-0000-0000F4520000}"/>
    <cellStyle name="Separador de milhares 3 2 25 2" xfId="18889" xr:uid="{00000000-0005-0000-0000-0000F5520000}"/>
    <cellStyle name="Separador de milhares 3 2 26" xfId="18890" xr:uid="{00000000-0005-0000-0000-0000F6520000}"/>
    <cellStyle name="Separador de milhares 3 2 26 2" xfId="18891" xr:uid="{00000000-0005-0000-0000-0000F7520000}"/>
    <cellStyle name="Separador de milhares 3 2 27" xfId="18892" xr:uid="{00000000-0005-0000-0000-0000F8520000}"/>
    <cellStyle name="Separador de milhares 3 2 27 2" xfId="18893" xr:uid="{00000000-0005-0000-0000-0000F9520000}"/>
    <cellStyle name="Separador de milhares 3 2 28" xfId="18894" xr:uid="{00000000-0005-0000-0000-0000FA520000}"/>
    <cellStyle name="Separador de milhares 3 2 28 2" xfId="18895" xr:uid="{00000000-0005-0000-0000-0000FB520000}"/>
    <cellStyle name="Separador de milhares 3 2 29" xfId="18896" xr:uid="{00000000-0005-0000-0000-0000FC520000}"/>
    <cellStyle name="Separador de milhares 3 2 29 2" xfId="18897" xr:uid="{00000000-0005-0000-0000-0000FD520000}"/>
    <cellStyle name="Separador de milhares 3 2 3" xfId="721" xr:uid="{00000000-0005-0000-0000-0000FE520000}"/>
    <cellStyle name="Separador de milhares 3 2 3 10" xfId="18899" xr:uid="{00000000-0005-0000-0000-0000FF520000}"/>
    <cellStyle name="Separador de milhares 3 2 3 11" xfId="18900" xr:uid="{00000000-0005-0000-0000-000000530000}"/>
    <cellStyle name="Separador de milhares 3 2 3 12" xfId="18901" xr:uid="{00000000-0005-0000-0000-000001530000}"/>
    <cellStyle name="Separador de milhares 3 2 3 13" xfId="18898" xr:uid="{00000000-0005-0000-0000-000002530000}"/>
    <cellStyle name="Separador de milhares 3 2 3 14" xfId="27186" xr:uid="{00000000-0005-0000-0000-000003530000}"/>
    <cellStyle name="Separador de milhares 3 2 3 14 2" xfId="33028" xr:uid="{92EA5B1D-83F6-4AF3-B812-B687EEE2191C}"/>
    <cellStyle name="Separador de milhares 3 2 3 15" xfId="27366" xr:uid="{00000000-0005-0000-0000-000004530000}"/>
    <cellStyle name="Separador de milhares 3 2 3 15 2" xfId="33203" xr:uid="{A7439F74-6A43-4C9E-87CA-D337102E190B}"/>
    <cellStyle name="Separador de milhares 3 2 3 16" xfId="27544" xr:uid="{00000000-0005-0000-0000-000005530000}"/>
    <cellStyle name="Separador de milhares 3 2 3 16 2" xfId="33356" xr:uid="{A2027686-8032-41C8-8886-18187A57D0E6}"/>
    <cellStyle name="Separador de milhares 3 2 3 17" xfId="27695" xr:uid="{00000000-0005-0000-0000-000006530000}"/>
    <cellStyle name="Separador de milhares 3 2 3 17 2" xfId="33506" xr:uid="{0BC29A98-2CF8-4C75-BFF8-36916265008E}"/>
    <cellStyle name="Separador de milhares 3 2 3 18" xfId="27958" xr:uid="{D3EA9019-AC35-411C-AEDE-F1FC4A18515E}"/>
    <cellStyle name="Separador de milhares 3 2 3 2" xfId="722" xr:uid="{00000000-0005-0000-0000-000007530000}"/>
    <cellStyle name="Separador de milhares 3 2 3 2 2" xfId="723" xr:uid="{00000000-0005-0000-0000-000008530000}"/>
    <cellStyle name="Separador de milhares 3 2 3 2 2 2" xfId="724" xr:uid="{00000000-0005-0000-0000-000009530000}"/>
    <cellStyle name="Separador de milhares 3 2 3 2 2 2 2" xfId="27961" xr:uid="{335EED7D-CA7C-491E-884F-B1CBCF2A683B}"/>
    <cellStyle name="Separador de milhares 3 2 3 2 2 3" xfId="27960" xr:uid="{2AFC290E-2FFB-4BB6-BCBC-197FD540D7A4}"/>
    <cellStyle name="Separador de milhares 3 2 3 2 3" xfId="725" xr:uid="{00000000-0005-0000-0000-00000A530000}"/>
    <cellStyle name="Separador de milhares 3 2 3 2 3 2" xfId="27962" xr:uid="{E6A69E52-2F1C-40F5-8A29-E0651128DCFD}"/>
    <cellStyle name="Separador de milhares 3 2 3 2 4" xfId="18902" xr:uid="{00000000-0005-0000-0000-00000B530000}"/>
    <cellStyle name="Separador de milhares 3 2 3 2 5" xfId="27187" xr:uid="{00000000-0005-0000-0000-00000C530000}"/>
    <cellStyle name="Separador de milhares 3 2 3 2 5 2" xfId="33029" xr:uid="{CD0860F6-DD7E-496D-A36B-86B159EB6058}"/>
    <cellStyle name="Separador de milhares 3 2 3 2 6" xfId="27367" xr:uid="{00000000-0005-0000-0000-00000D530000}"/>
    <cellStyle name="Separador de milhares 3 2 3 2 6 2" xfId="33204" xr:uid="{B0134BCF-A50F-4BD3-8427-75E8200AD45D}"/>
    <cellStyle name="Separador de milhares 3 2 3 2 7" xfId="27545" xr:uid="{00000000-0005-0000-0000-00000E530000}"/>
    <cellStyle name="Separador de milhares 3 2 3 2 7 2" xfId="33357" xr:uid="{B750AB30-39B9-4ED8-AEAC-91204C0B51EA}"/>
    <cellStyle name="Separador de milhares 3 2 3 2 8" xfId="27696" xr:uid="{00000000-0005-0000-0000-00000F530000}"/>
    <cellStyle name="Separador de milhares 3 2 3 2 8 2" xfId="33507" xr:uid="{3CAAB234-7A17-4579-ADAD-439BF9A8DD79}"/>
    <cellStyle name="Separador de milhares 3 2 3 2 9" xfId="27959" xr:uid="{EA7ACCE9-D6D0-404A-A087-33CFDB7D9B89}"/>
    <cellStyle name="Separador de milhares 3 2 3 3" xfId="726" xr:uid="{00000000-0005-0000-0000-000010530000}"/>
    <cellStyle name="Separador de milhares 3 2 3 3 2" xfId="727" xr:uid="{00000000-0005-0000-0000-000011530000}"/>
    <cellStyle name="Separador de milhares 3 2 3 3 2 2" xfId="27964" xr:uid="{C5DA9FD8-308A-4F3B-BB83-24D7FC7FAF82}"/>
    <cellStyle name="Separador de milhares 3 2 3 3 3" xfId="18903" xr:uid="{00000000-0005-0000-0000-000012530000}"/>
    <cellStyle name="Separador de milhares 3 2 3 3 4" xfId="27963" xr:uid="{CE66A8D6-739C-48DD-AA28-DC6E8658921B}"/>
    <cellStyle name="Separador de milhares 3 2 3 4" xfId="728" xr:uid="{00000000-0005-0000-0000-000013530000}"/>
    <cellStyle name="Separador de milhares 3 2 3 4 2" xfId="18904" xr:uid="{00000000-0005-0000-0000-000014530000}"/>
    <cellStyle name="Separador de milhares 3 2 3 4 3" xfId="27965" xr:uid="{5FE56982-5CF9-4F45-A735-E0C4A5B4DF12}"/>
    <cellStyle name="Separador de milhares 3 2 3 5" xfId="18905" xr:uid="{00000000-0005-0000-0000-000015530000}"/>
    <cellStyle name="Separador de milhares 3 2 3 6" xfId="18906" xr:uid="{00000000-0005-0000-0000-000016530000}"/>
    <cellStyle name="Separador de milhares 3 2 3 7" xfId="18907" xr:uid="{00000000-0005-0000-0000-000017530000}"/>
    <cellStyle name="Separador de milhares 3 2 3 8" xfId="18908" xr:uid="{00000000-0005-0000-0000-000018530000}"/>
    <cellStyle name="Separador de milhares 3 2 3 9" xfId="18909" xr:uid="{00000000-0005-0000-0000-000019530000}"/>
    <cellStyle name="Separador de milhares 3 2 30" xfId="18910" xr:uid="{00000000-0005-0000-0000-00001A530000}"/>
    <cellStyle name="Separador de milhares 3 2 30 2" xfId="18911" xr:uid="{00000000-0005-0000-0000-00001B530000}"/>
    <cellStyle name="Separador de milhares 3 2 31" xfId="18912" xr:uid="{00000000-0005-0000-0000-00001C530000}"/>
    <cellStyle name="Separador de milhares 3 2 31 2" xfId="18913" xr:uid="{00000000-0005-0000-0000-00001D530000}"/>
    <cellStyle name="Separador de milhares 3 2 32" xfId="18914" xr:uid="{00000000-0005-0000-0000-00001E530000}"/>
    <cellStyle name="Separador de milhares 3 2 32 2" xfId="18915" xr:uid="{00000000-0005-0000-0000-00001F530000}"/>
    <cellStyle name="Separador de milhares 3 2 33" xfId="18916" xr:uid="{00000000-0005-0000-0000-000020530000}"/>
    <cellStyle name="Separador de milhares 3 2 33 2" xfId="18917" xr:uid="{00000000-0005-0000-0000-000021530000}"/>
    <cellStyle name="Separador de milhares 3 2 34" xfId="18918" xr:uid="{00000000-0005-0000-0000-000022530000}"/>
    <cellStyle name="Separador de milhares 3 2 34 2" xfId="18919" xr:uid="{00000000-0005-0000-0000-000023530000}"/>
    <cellStyle name="Separador de milhares 3 2 35" xfId="18920" xr:uid="{00000000-0005-0000-0000-000024530000}"/>
    <cellStyle name="Separador de milhares 3 2 35 2" xfId="18921" xr:uid="{00000000-0005-0000-0000-000025530000}"/>
    <cellStyle name="Separador de milhares 3 2 36" xfId="18922" xr:uid="{00000000-0005-0000-0000-000026530000}"/>
    <cellStyle name="Separador de milhares 3 2 37" xfId="18923" xr:uid="{00000000-0005-0000-0000-000027530000}"/>
    <cellStyle name="Separador de milhares 3 2 38" xfId="18924" xr:uid="{00000000-0005-0000-0000-000028530000}"/>
    <cellStyle name="Separador de milhares 3 2 39" xfId="18713" xr:uid="{00000000-0005-0000-0000-000029530000}"/>
    <cellStyle name="Separador de milhares 3 2 39 2" xfId="28651" xr:uid="{12E1B98A-AE34-4DF3-8CA0-9BECCDD56244}"/>
    <cellStyle name="Separador de milhares 3 2 4" xfId="729" xr:uid="{00000000-0005-0000-0000-00002A530000}"/>
    <cellStyle name="Separador de milhares 3 2 4 10" xfId="18926" xr:uid="{00000000-0005-0000-0000-00002B530000}"/>
    <cellStyle name="Separador de milhares 3 2 4 11" xfId="18927" xr:uid="{00000000-0005-0000-0000-00002C530000}"/>
    <cellStyle name="Separador de milhares 3 2 4 12" xfId="18928" xr:uid="{00000000-0005-0000-0000-00002D530000}"/>
    <cellStyle name="Separador de milhares 3 2 4 13" xfId="18925" xr:uid="{00000000-0005-0000-0000-00002E530000}"/>
    <cellStyle name="Separador de milhares 3 2 4 14" xfId="27188" xr:uid="{00000000-0005-0000-0000-00002F530000}"/>
    <cellStyle name="Separador de milhares 3 2 4 14 2" xfId="33030" xr:uid="{EDEEEA35-F625-48AC-8264-C9C768065857}"/>
    <cellStyle name="Separador de milhares 3 2 4 15" xfId="27368" xr:uid="{00000000-0005-0000-0000-000030530000}"/>
    <cellStyle name="Separador de milhares 3 2 4 15 2" xfId="33205" xr:uid="{F78AA6E5-8EF8-41FD-A0B6-5EE591AB8CB3}"/>
    <cellStyle name="Separador de milhares 3 2 4 16" xfId="27546" xr:uid="{00000000-0005-0000-0000-000031530000}"/>
    <cellStyle name="Separador de milhares 3 2 4 16 2" xfId="33358" xr:uid="{C3BCA655-18D5-44D8-B656-5D99BC888839}"/>
    <cellStyle name="Separador de milhares 3 2 4 17" xfId="27697" xr:uid="{00000000-0005-0000-0000-000032530000}"/>
    <cellStyle name="Separador de milhares 3 2 4 17 2" xfId="33508" xr:uid="{3D216546-0908-4075-A1F3-38FD74961294}"/>
    <cellStyle name="Separador de milhares 3 2 4 18" xfId="27966" xr:uid="{58F850E0-0BE3-4D7F-A26A-84EFA1D610EB}"/>
    <cellStyle name="Separador de milhares 3 2 4 2" xfId="730" xr:uid="{00000000-0005-0000-0000-000033530000}"/>
    <cellStyle name="Separador de milhares 3 2 4 2 2" xfId="731" xr:uid="{00000000-0005-0000-0000-000034530000}"/>
    <cellStyle name="Separador de milhares 3 2 4 2 2 2" xfId="27968" xr:uid="{C8A1AC03-E852-4843-AB42-3F8A5AD2B0F9}"/>
    <cellStyle name="Separador de milhares 3 2 4 2 3" xfId="18929" xr:uid="{00000000-0005-0000-0000-000035530000}"/>
    <cellStyle name="Separador de milhares 3 2 4 2 4" xfId="27967" xr:uid="{174FE856-49F7-4526-A644-CD720CB56246}"/>
    <cellStyle name="Separador de milhares 3 2 4 3" xfId="732" xr:uid="{00000000-0005-0000-0000-000036530000}"/>
    <cellStyle name="Separador de milhares 3 2 4 3 2" xfId="18930" xr:uid="{00000000-0005-0000-0000-000037530000}"/>
    <cellStyle name="Separador de milhares 3 2 4 3 3" xfId="27969" xr:uid="{B44FD3D5-AC91-411C-BB33-035C8E162234}"/>
    <cellStyle name="Separador de milhares 3 2 4 4" xfId="18931" xr:uid="{00000000-0005-0000-0000-000038530000}"/>
    <cellStyle name="Separador de milhares 3 2 4 5" xfId="18932" xr:uid="{00000000-0005-0000-0000-000039530000}"/>
    <cellStyle name="Separador de milhares 3 2 4 6" xfId="18933" xr:uid="{00000000-0005-0000-0000-00003A530000}"/>
    <cellStyle name="Separador de milhares 3 2 4 7" xfId="18934" xr:uid="{00000000-0005-0000-0000-00003B530000}"/>
    <cellStyle name="Separador de milhares 3 2 4 8" xfId="18935" xr:uid="{00000000-0005-0000-0000-00003C530000}"/>
    <cellStyle name="Separador de milhares 3 2 4 9" xfId="18936" xr:uid="{00000000-0005-0000-0000-00003D530000}"/>
    <cellStyle name="Separador de milhares 3 2 40" xfId="27184" xr:uid="{00000000-0005-0000-0000-00003E530000}"/>
    <cellStyle name="Separador de milhares 3 2 40 2" xfId="33026" xr:uid="{704FB73E-859D-4700-9255-8215DE303C78}"/>
    <cellStyle name="Separador de milhares 3 2 41" xfId="27364" xr:uid="{00000000-0005-0000-0000-00003F530000}"/>
    <cellStyle name="Separador de milhares 3 2 41 2" xfId="33201" xr:uid="{863CBC46-253E-46C3-A773-F07C6440B12D}"/>
    <cellStyle name="Separador de milhares 3 2 42" xfId="27542" xr:uid="{00000000-0005-0000-0000-000040530000}"/>
    <cellStyle name="Separador de milhares 3 2 42 2" xfId="33354" xr:uid="{E1198C25-9325-4DDB-AB51-4BEB4457C78E}"/>
    <cellStyle name="Separador de milhares 3 2 43" xfId="27693" xr:uid="{00000000-0005-0000-0000-000041530000}"/>
    <cellStyle name="Separador de milhares 3 2 43 2" xfId="33504" xr:uid="{27FFF709-4313-40A6-8DC0-5BB04F01AC3C}"/>
    <cellStyle name="Separador de milhares 3 2 44" xfId="27949" xr:uid="{3736D93D-0F5A-49D5-9810-7739F9FE1217}"/>
    <cellStyle name="Separador de milhares 3 2 5" xfId="733" xr:uid="{00000000-0005-0000-0000-000042530000}"/>
    <cellStyle name="Separador de milhares 3 2 5 2" xfId="734" xr:uid="{00000000-0005-0000-0000-000043530000}"/>
    <cellStyle name="Separador de milhares 3 2 5 2 2" xfId="18938" xr:uid="{00000000-0005-0000-0000-000044530000}"/>
    <cellStyle name="Separador de milhares 3 2 5 2 3" xfId="27971" xr:uid="{7251A6E1-029C-4595-86FE-0766AF8B7352}"/>
    <cellStyle name="Separador de milhares 3 2 5 3" xfId="18939" xr:uid="{00000000-0005-0000-0000-000045530000}"/>
    <cellStyle name="Separador de milhares 3 2 5 4" xfId="18940" xr:uid="{00000000-0005-0000-0000-000046530000}"/>
    <cellStyle name="Separador de milhares 3 2 5 5" xfId="18941" xr:uid="{00000000-0005-0000-0000-000047530000}"/>
    <cellStyle name="Separador de milhares 3 2 5 6" xfId="18942" xr:uid="{00000000-0005-0000-0000-000048530000}"/>
    <cellStyle name="Separador de milhares 3 2 5 7" xfId="18937" xr:uid="{00000000-0005-0000-0000-000049530000}"/>
    <cellStyle name="Separador de milhares 3 2 5 8" xfId="27970" xr:uid="{1CC95D9D-70C9-4010-8DC5-3DCC1D26A493}"/>
    <cellStyle name="Separador de milhares 3 2 6" xfId="735" xr:uid="{00000000-0005-0000-0000-00004A530000}"/>
    <cellStyle name="Separador de milhares 3 2 6 2" xfId="18944" xr:uid="{00000000-0005-0000-0000-00004B530000}"/>
    <cellStyle name="Separador de milhares 3 2 6 3" xfId="18945" xr:uid="{00000000-0005-0000-0000-00004C530000}"/>
    <cellStyle name="Separador de milhares 3 2 6 4" xfId="18946" xr:uid="{00000000-0005-0000-0000-00004D530000}"/>
    <cellStyle name="Separador de milhares 3 2 6 5" xfId="18947" xr:uid="{00000000-0005-0000-0000-00004E530000}"/>
    <cellStyle name="Separador de milhares 3 2 6 6" xfId="18948" xr:uid="{00000000-0005-0000-0000-00004F530000}"/>
    <cellStyle name="Separador de milhares 3 2 6 7" xfId="18943" xr:uid="{00000000-0005-0000-0000-000050530000}"/>
    <cellStyle name="Separador de milhares 3 2 6 8" xfId="27972" xr:uid="{91144985-AD71-4700-95F9-FB6C8238F223}"/>
    <cellStyle name="Separador de milhares 3 2 7" xfId="18949" xr:uid="{00000000-0005-0000-0000-000051530000}"/>
    <cellStyle name="Separador de milhares 3 2 7 2" xfId="18950" xr:uid="{00000000-0005-0000-0000-000052530000}"/>
    <cellStyle name="Separador de milhares 3 2 7 3" xfId="18951" xr:uid="{00000000-0005-0000-0000-000053530000}"/>
    <cellStyle name="Separador de milhares 3 2 7 4" xfId="18952" xr:uid="{00000000-0005-0000-0000-000054530000}"/>
    <cellStyle name="Separador de milhares 3 2 7 5" xfId="18953" xr:uid="{00000000-0005-0000-0000-000055530000}"/>
    <cellStyle name="Separador de milhares 3 2 7 6" xfId="18954" xr:uid="{00000000-0005-0000-0000-000056530000}"/>
    <cellStyle name="Separador de milhares 3 2 8" xfId="18955" xr:uid="{00000000-0005-0000-0000-000057530000}"/>
    <cellStyle name="Separador de milhares 3 2 8 2" xfId="18956" xr:uid="{00000000-0005-0000-0000-000058530000}"/>
    <cellStyle name="Separador de milhares 3 2 8 3" xfId="18957" xr:uid="{00000000-0005-0000-0000-000059530000}"/>
    <cellStyle name="Separador de milhares 3 2 8 4" xfId="18958" xr:uid="{00000000-0005-0000-0000-00005A530000}"/>
    <cellStyle name="Separador de milhares 3 2 8 5" xfId="18959" xr:uid="{00000000-0005-0000-0000-00005B530000}"/>
    <cellStyle name="Separador de milhares 3 2 8 6" xfId="18960" xr:uid="{00000000-0005-0000-0000-00005C530000}"/>
    <cellStyle name="Separador de milhares 3 2 9" xfId="18961" xr:uid="{00000000-0005-0000-0000-00005D530000}"/>
    <cellStyle name="Separador de milhares 3 2 9 2" xfId="18962" xr:uid="{00000000-0005-0000-0000-00005E530000}"/>
    <cellStyle name="Separador de milhares 3 2 9 3" xfId="18963" xr:uid="{00000000-0005-0000-0000-00005F530000}"/>
    <cellStyle name="Separador de milhares 3 2 9 4" xfId="18964" xr:uid="{00000000-0005-0000-0000-000060530000}"/>
    <cellStyle name="Separador de milhares 3 2 9 5" xfId="18965" xr:uid="{00000000-0005-0000-0000-000061530000}"/>
    <cellStyle name="Separador de milhares 3 2 9 6" xfId="18966" xr:uid="{00000000-0005-0000-0000-000062530000}"/>
    <cellStyle name="Separador de milhares 3 20" xfId="18967" xr:uid="{00000000-0005-0000-0000-000063530000}"/>
    <cellStyle name="Separador de milhares 3 20 2" xfId="18968" xr:uid="{00000000-0005-0000-0000-000064530000}"/>
    <cellStyle name="Separador de milhares 3 20 3" xfId="18969" xr:uid="{00000000-0005-0000-0000-000065530000}"/>
    <cellStyle name="Separador de milhares 3 20 4" xfId="18970" xr:uid="{00000000-0005-0000-0000-000066530000}"/>
    <cellStyle name="Separador de milhares 3 21" xfId="18971" xr:uid="{00000000-0005-0000-0000-000067530000}"/>
    <cellStyle name="Separador de milhares 3 21 2" xfId="18972" xr:uid="{00000000-0005-0000-0000-000068530000}"/>
    <cellStyle name="Separador de milhares 3 21 3" xfId="18973" xr:uid="{00000000-0005-0000-0000-000069530000}"/>
    <cellStyle name="Separador de milhares 3 21 4" xfId="18974" xr:uid="{00000000-0005-0000-0000-00006A530000}"/>
    <cellStyle name="Separador de milhares 3 22" xfId="18975" xr:uid="{00000000-0005-0000-0000-00006B530000}"/>
    <cellStyle name="Separador de milhares 3 22 2" xfId="18976" xr:uid="{00000000-0005-0000-0000-00006C530000}"/>
    <cellStyle name="Separador de milhares 3 22 3" xfId="18977" xr:uid="{00000000-0005-0000-0000-00006D530000}"/>
    <cellStyle name="Separador de milhares 3 22 4" xfId="18978" xr:uid="{00000000-0005-0000-0000-00006E530000}"/>
    <cellStyle name="Separador de milhares 3 23" xfId="18979" xr:uid="{00000000-0005-0000-0000-00006F530000}"/>
    <cellStyle name="Separador de milhares 3 23 2" xfId="18980" xr:uid="{00000000-0005-0000-0000-000070530000}"/>
    <cellStyle name="Separador de milhares 3 24" xfId="18981" xr:uid="{00000000-0005-0000-0000-000071530000}"/>
    <cellStyle name="Separador de milhares 3 24 2" xfId="18982" xr:uid="{00000000-0005-0000-0000-000072530000}"/>
    <cellStyle name="Separador de milhares 3 25" xfId="18983" xr:uid="{00000000-0005-0000-0000-000073530000}"/>
    <cellStyle name="Separador de milhares 3 25 2" xfId="18984" xr:uid="{00000000-0005-0000-0000-000074530000}"/>
    <cellStyle name="Separador de milhares 3 26" xfId="18985" xr:uid="{00000000-0005-0000-0000-000075530000}"/>
    <cellStyle name="Separador de milhares 3 26 2" xfId="18986" xr:uid="{00000000-0005-0000-0000-000076530000}"/>
    <cellStyle name="Separador de milhares 3 27" xfId="18987" xr:uid="{00000000-0005-0000-0000-000077530000}"/>
    <cellStyle name="Separador de milhares 3 27 2" xfId="18988" xr:uid="{00000000-0005-0000-0000-000078530000}"/>
    <cellStyle name="Separador de milhares 3 28" xfId="18989" xr:uid="{00000000-0005-0000-0000-000079530000}"/>
    <cellStyle name="Separador de milhares 3 28 2" xfId="18990" xr:uid="{00000000-0005-0000-0000-00007A530000}"/>
    <cellStyle name="Separador de milhares 3 29" xfId="18991" xr:uid="{00000000-0005-0000-0000-00007B530000}"/>
    <cellStyle name="Separador de milhares 3 29 2" xfId="18992" xr:uid="{00000000-0005-0000-0000-00007C530000}"/>
    <cellStyle name="Separador de milhares 3 3" xfId="736" xr:uid="{00000000-0005-0000-0000-00007D530000}"/>
    <cellStyle name="Separador de milhares 3 3 10" xfId="18994" xr:uid="{00000000-0005-0000-0000-00007E530000}"/>
    <cellStyle name="Separador de milhares 3 3 11" xfId="18995" xr:uid="{00000000-0005-0000-0000-00007F530000}"/>
    <cellStyle name="Separador de milhares 3 3 12" xfId="18996" xr:uid="{00000000-0005-0000-0000-000080530000}"/>
    <cellStyle name="Separador de milhares 3 3 13" xfId="18997" xr:uid="{00000000-0005-0000-0000-000081530000}"/>
    <cellStyle name="Separador de milhares 3 3 14" xfId="18998" xr:uid="{00000000-0005-0000-0000-000082530000}"/>
    <cellStyle name="Separador de milhares 3 3 15" xfId="18993" xr:uid="{00000000-0005-0000-0000-000083530000}"/>
    <cellStyle name="Separador de milhares 3 3 16" xfId="27189" xr:uid="{00000000-0005-0000-0000-000084530000}"/>
    <cellStyle name="Separador de milhares 3 3 16 2" xfId="33031" xr:uid="{8B515346-7BEA-483F-AF50-908533AA788C}"/>
    <cellStyle name="Separador de milhares 3 3 17" xfId="27369" xr:uid="{00000000-0005-0000-0000-000085530000}"/>
    <cellStyle name="Separador de milhares 3 3 17 2" xfId="33206" xr:uid="{00EED452-9788-4F9D-8B0C-52BB05566E02}"/>
    <cellStyle name="Separador de milhares 3 3 18" xfId="27547" xr:uid="{00000000-0005-0000-0000-000086530000}"/>
    <cellStyle name="Separador de milhares 3 3 18 2" xfId="33359" xr:uid="{A3395C57-C70B-4D62-B989-5D7346073F60}"/>
    <cellStyle name="Separador de milhares 3 3 19" xfId="27698" xr:uid="{00000000-0005-0000-0000-000087530000}"/>
    <cellStyle name="Separador de milhares 3 3 19 2" xfId="33509" xr:uid="{7D44EBFE-0F37-4771-9CA0-3661DE9B34A5}"/>
    <cellStyle name="Separador de milhares 3 3 2" xfId="737" xr:uid="{00000000-0005-0000-0000-000088530000}"/>
    <cellStyle name="Separador de milhares 3 3 2 10" xfId="19000" xr:uid="{00000000-0005-0000-0000-000089530000}"/>
    <cellStyle name="Separador de milhares 3 3 2 11" xfId="18999" xr:uid="{00000000-0005-0000-0000-00008A530000}"/>
    <cellStyle name="Separador de milhares 3 3 2 11 2" xfId="28653" xr:uid="{F3D361B7-D976-4C8D-AC47-0811C70F155D}"/>
    <cellStyle name="Separador de milhares 3 3 2 12" xfId="27314" xr:uid="{00000000-0005-0000-0000-00008B530000}"/>
    <cellStyle name="Separador de milhares 3 3 2 12 2" xfId="33151" xr:uid="{B7B520BE-3DDE-4679-B032-F5F3D7D5361E}"/>
    <cellStyle name="Separador de milhares 3 3 2 13" xfId="27485" xr:uid="{00000000-0005-0000-0000-00008C530000}"/>
    <cellStyle name="Separador de milhares 3 3 2 13 2" xfId="33322" xr:uid="{91DBAE8A-59FB-47F5-9C68-12188FFC7A55}"/>
    <cellStyle name="Separador de milhares 3 3 2 14" xfId="27654" xr:uid="{00000000-0005-0000-0000-00008D530000}"/>
    <cellStyle name="Separador de milhares 3 3 2 14 2" xfId="33465" xr:uid="{2D661217-BFD2-49E5-BCA9-649A39A98326}"/>
    <cellStyle name="Separador de milhares 3 3 2 15" xfId="27811" xr:uid="{00000000-0005-0000-0000-00008E530000}"/>
    <cellStyle name="Separador de milhares 3 3 2 15 2" xfId="33622" xr:uid="{A17E93FF-EA72-4FC4-9BAD-29E3613C10C0}"/>
    <cellStyle name="Separador de milhares 3 3 2 16" xfId="27974" xr:uid="{EA45284F-0885-45AA-9996-086B475085CE}"/>
    <cellStyle name="Separador de milhares 3 3 2 2" xfId="738" xr:uid="{00000000-0005-0000-0000-00008F530000}"/>
    <cellStyle name="Separador de milhares 3 3 2 2 2" xfId="739" xr:uid="{00000000-0005-0000-0000-000090530000}"/>
    <cellStyle name="Separador de milhares 3 3 2 2 2 2" xfId="740" xr:uid="{00000000-0005-0000-0000-000091530000}"/>
    <cellStyle name="Separador de milhares 3 3 2 2 2 2 2" xfId="27977" xr:uid="{1494DB55-C06A-463B-8F35-4548FD0880E0}"/>
    <cellStyle name="Separador de milhares 3 3 2 2 2 3" xfId="27976" xr:uid="{0423EC08-C915-4C3B-B7CC-C9E00D2DDB15}"/>
    <cellStyle name="Separador de milhares 3 3 2 2 3" xfId="741" xr:uid="{00000000-0005-0000-0000-000092530000}"/>
    <cellStyle name="Separador de milhares 3 3 2 2 3 2" xfId="27978" xr:uid="{50E6D75B-6231-426E-BE63-5DF4B36EF9C1}"/>
    <cellStyle name="Separador de milhares 3 3 2 2 4" xfId="19001" xr:uid="{00000000-0005-0000-0000-000093530000}"/>
    <cellStyle name="Separador de milhares 3 3 2 2 5" xfId="27975" xr:uid="{FA2020E3-2364-43B6-9140-7C85E87FAB3B}"/>
    <cellStyle name="Separador de milhares 3 3 2 3" xfId="742" xr:uid="{00000000-0005-0000-0000-000094530000}"/>
    <cellStyle name="Separador de milhares 3 3 2 3 2" xfId="743" xr:uid="{00000000-0005-0000-0000-000095530000}"/>
    <cellStyle name="Separador de milhares 3 3 2 3 2 2" xfId="27980" xr:uid="{0F987F37-E585-4C2C-8F76-F3AE739B1EA3}"/>
    <cellStyle name="Separador de milhares 3 3 2 3 3" xfId="19002" xr:uid="{00000000-0005-0000-0000-000096530000}"/>
    <cellStyle name="Separador de milhares 3 3 2 3 4" xfId="27979" xr:uid="{5DAF5AD5-7110-4D2C-823C-3912970DB3FC}"/>
    <cellStyle name="Separador de milhares 3 3 2 4" xfId="744" xr:uid="{00000000-0005-0000-0000-000097530000}"/>
    <cellStyle name="Separador de milhares 3 3 2 4 2" xfId="19003" xr:uid="{00000000-0005-0000-0000-000098530000}"/>
    <cellStyle name="Separador de milhares 3 3 2 4 3" xfId="27981" xr:uid="{6A0E311E-C765-40A6-B41C-15AD39B5AED9}"/>
    <cellStyle name="Separador de milhares 3 3 2 5" xfId="19004" xr:uid="{00000000-0005-0000-0000-000099530000}"/>
    <cellStyle name="Separador de milhares 3 3 2 6" xfId="19005" xr:uid="{00000000-0005-0000-0000-00009A530000}"/>
    <cellStyle name="Separador de milhares 3 3 2 7" xfId="19006" xr:uid="{00000000-0005-0000-0000-00009B530000}"/>
    <cellStyle name="Separador de milhares 3 3 2 8" xfId="19007" xr:uid="{00000000-0005-0000-0000-00009C530000}"/>
    <cellStyle name="Separador de milhares 3 3 2 9" xfId="19008" xr:uid="{00000000-0005-0000-0000-00009D530000}"/>
    <cellStyle name="Separador de milhares 3 3 20" xfId="27973" xr:uid="{9D88AA89-1256-4423-A996-21AF9657FC55}"/>
    <cellStyle name="Separador de milhares 3 3 3" xfId="745" xr:uid="{00000000-0005-0000-0000-00009E530000}"/>
    <cellStyle name="Separador de milhares 3 3 3 10" xfId="19010" xr:uid="{00000000-0005-0000-0000-00009F530000}"/>
    <cellStyle name="Separador de milhares 3 3 3 11" xfId="19009" xr:uid="{00000000-0005-0000-0000-0000A0530000}"/>
    <cellStyle name="Separador de milhares 3 3 3 12" xfId="27982" xr:uid="{92F3607C-1531-4C5C-B5D5-3A260D1ADD02}"/>
    <cellStyle name="Separador de milhares 3 3 3 2" xfId="746" xr:uid="{00000000-0005-0000-0000-0000A1530000}"/>
    <cellStyle name="Separador de milhares 3 3 3 2 2" xfId="747" xr:uid="{00000000-0005-0000-0000-0000A2530000}"/>
    <cellStyle name="Separador de milhares 3 3 3 2 2 2" xfId="27984" xr:uid="{348EC312-3294-4F03-8CE8-5B1561EC42A1}"/>
    <cellStyle name="Separador de milhares 3 3 3 2 3" xfId="19011" xr:uid="{00000000-0005-0000-0000-0000A3530000}"/>
    <cellStyle name="Separador de milhares 3 3 3 2 4" xfId="27983" xr:uid="{2AA5C045-9A97-452B-A1B8-E3400B75A31D}"/>
    <cellStyle name="Separador de milhares 3 3 3 3" xfId="748" xr:uid="{00000000-0005-0000-0000-0000A4530000}"/>
    <cellStyle name="Separador de milhares 3 3 3 3 2" xfId="19012" xr:uid="{00000000-0005-0000-0000-0000A5530000}"/>
    <cellStyle name="Separador de milhares 3 3 3 3 3" xfId="27985" xr:uid="{F1F74ADA-1904-4101-87B2-BC7715991D14}"/>
    <cellStyle name="Separador de milhares 3 3 3 4" xfId="19013" xr:uid="{00000000-0005-0000-0000-0000A6530000}"/>
    <cellStyle name="Separador de milhares 3 3 3 5" xfId="19014" xr:uid="{00000000-0005-0000-0000-0000A7530000}"/>
    <cellStyle name="Separador de milhares 3 3 3 6" xfId="19015" xr:uid="{00000000-0005-0000-0000-0000A8530000}"/>
    <cellStyle name="Separador de milhares 3 3 3 7" xfId="19016" xr:uid="{00000000-0005-0000-0000-0000A9530000}"/>
    <cellStyle name="Separador de milhares 3 3 3 8" xfId="19017" xr:uid="{00000000-0005-0000-0000-0000AA530000}"/>
    <cellStyle name="Separador de milhares 3 3 3 9" xfId="19018" xr:uid="{00000000-0005-0000-0000-0000AB530000}"/>
    <cellStyle name="Separador de milhares 3 3 4" xfId="749" xr:uid="{00000000-0005-0000-0000-0000AC530000}"/>
    <cellStyle name="Separador de milhares 3 3 4 2" xfId="750" xr:uid="{00000000-0005-0000-0000-0000AD530000}"/>
    <cellStyle name="Separador de milhares 3 3 4 2 2" xfId="27987" xr:uid="{54336E9A-36BC-4EB1-B9A2-250B15D79CAB}"/>
    <cellStyle name="Separador de milhares 3 3 4 3" xfId="19019" xr:uid="{00000000-0005-0000-0000-0000AE530000}"/>
    <cellStyle name="Separador de milhares 3 3 4 4" xfId="27986" xr:uid="{5529DE0D-73A5-4097-AEFF-1049268C1F8D}"/>
    <cellStyle name="Separador de milhares 3 3 5" xfId="751" xr:uid="{00000000-0005-0000-0000-0000AF530000}"/>
    <cellStyle name="Separador de milhares 3 3 5 2" xfId="19020" xr:uid="{00000000-0005-0000-0000-0000B0530000}"/>
    <cellStyle name="Separador de milhares 3 3 5 3" xfId="27988" xr:uid="{1AA89B2C-F8F7-4DCC-B42B-2EFDDCB3B96D}"/>
    <cellStyle name="Separador de milhares 3 3 6" xfId="19021" xr:uid="{00000000-0005-0000-0000-0000B1530000}"/>
    <cellStyle name="Separador de milhares 3 3 7" xfId="19022" xr:uid="{00000000-0005-0000-0000-0000B2530000}"/>
    <cellStyle name="Separador de milhares 3 3 8" xfId="19023" xr:uid="{00000000-0005-0000-0000-0000B3530000}"/>
    <cellStyle name="Separador de milhares 3 3 9" xfId="19024" xr:uid="{00000000-0005-0000-0000-0000B4530000}"/>
    <cellStyle name="Separador de milhares 3 30" xfId="19025" xr:uid="{00000000-0005-0000-0000-0000B5530000}"/>
    <cellStyle name="Separador de milhares 3 30 2" xfId="19026" xr:uid="{00000000-0005-0000-0000-0000B6530000}"/>
    <cellStyle name="Separador de milhares 3 31" xfId="19027" xr:uid="{00000000-0005-0000-0000-0000B7530000}"/>
    <cellStyle name="Separador de milhares 3 31 2" xfId="19028" xr:uid="{00000000-0005-0000-0000-0000B8530000}"/>
    <cellStyle name="Separador de milhares 3 32" xfId="19029" xr:uid="{00000000-0005-0000-0000-0000B9530000}"/>
    <cellStyle name="Separador de milhares 3 32 2" xfId="19030" xr:uid="{00000000-0005-0000-0000-0000BA530000}"/>
    <cellStyle name="Separador de milhares 3 33" xfId="19031" xr:uid="{00000000-0005-0000-0000-0000BB530000}"/>
    <cellStyle name="Separador de milhares 3 33 2" xfId="19032" xr:uid="{00000000-0005-0000-0000-0000BC530000}"/>
    <cellStyle name="Separador de milhares 3 34" xfId="19033" xr:uid="{00000000-0005-0000-0000-0000BD530000}"/>
    <cellStyle name="Separador de milhares 3 34 2" xfId="19034" xr:uid="{00000000-0005-0000-0000-0000BE530000}"/>
    <cellStyle name="Separador de milhares 3 35" xfId="19035" xr:uid="{00000000-0005-0000-0000-0000BF530000}"/>
    <cellStyle name="Separador de milhares 3 35 2" xfId="19036" xr:uid="{00000000-0005-0000-0000-0000C0530000}"/>
    <cellStyle name="Separador de milhares 3 36" xfId="19037" xr:uid="{00000000-0005-0000-0000-0000C1530000}"/>
    <cellStyle name="Separador de milhares 3 36 2" xfId="19038" xr:uid="{00000000-0005-0000-0000-0000C2530000}"/>
    <cellStyle name="Separador de milhares 3 37" xfId="19039" xr:uid="{00000000-0005-0000-0000-0000C3530000}"/>
    <cellStyle name="Separador de milhares 3 37 2" xfId="19040" xr:uid="{00000000-0005-0000-0000-0000C4530000}"/>
    <cellStyle name="Separador de milhares 3 38" xfId="19041" xr:uid="{00000000-0005-0000-0000-0000C5530000}"/>
    <cellStyle name="Separador de milhares 3 38 2" xfId="28654" xr:uid="{A300FB49-356A-43AB-A9CE-DB69C5496F12}"/>
    <cellStyle name="Separador de milhares 3 39" xfId="19042" xr:uid="{00000000-0005-0000-0000-0000C6530000}"/>
    <cellStyle name="Separador de milhares 3 39 2" xfId="28655" xr:uid="{41C12E01-CADB-4B54-854A-EFB94E5A8435}"/>
    <cellStyle name="Separador de milhares 3 4" xfId="752" xr:uid="{00000000-0005-0000-0000-0000C7530000}"/>
    <cellStyle name="Separador de milhares 3 4 10" xfId="19044" xr:uid="{00000000-0005-0000-0000-0000C8530000}"/>
    <cellStyle name="Separador de milhares 3 4 11" xfId="19045" xr:uid="{00000000-0005-0000-0000-0000C9530000}"/>
    <cellStyle name="Separador de milhares 3 4 12" xfId="19043" xr:uid="{00000000-0005-0000-0000-0000CA530000}"/>
    <cellStyle name="Separador de milhares 3 4 13" xfId="27989" xr:uid="{BF55DD64-E60B-4D1C-8CC6-685C98BD4509}"/>
    <cellStyle name="Separador de milhares 3 4 2" xfId="753" xr:uid="{00000000-0005-0000-0000-0000CB530000}"/>
    <cellStyle name="Separador de milhares 3 4 2 2" xfId="754" xr:uid="{00000000-0005-0000-0000-0000CC530000}"/>
    <cellStyle name="Separador de milhares 3 4 2 2 2" xfId="755" xr:uid="{00000000-0005-0000-0000-0000CD530000}"/>
    <cellStyle name="Separador de milhares 3 4 2 2 2 2" xfId="27992" xr:uid="{21769E89-A702-4E6E-99A6-950DD6578FDB}"/>
    <cellStyle name="Separador de milhares 3 4 2 2 3" xfId="27991" xr:uid="{B7666CD3-9A1B-4662-A70A-C17C0AC805D6}"/>
    <cellStyle name="Separador de milhares 3 4 2 3" xfId="756" xr:uid="{00000000-0005-0000-0000-0000CE530000}"/>
    <cellStyle name="Separador de milhares 3 4 2 3 2" xfId="27993" xr:uid="{29A00642-6D2A-483C-987A-243F0DB6296F}"/>
    <cellStyle name="Separador de milhares 3 4 2 4" xfId="19046" xr:uid="{00000000-0005-0000-0000-0000CF530000}"/>
    <cellStyle name="Separador de milhares 3 4 2 5" xfId="27990" xr:uid="{8255066F-0FD9-40B6-B6F6-8A8314B003CB}"/>
    <cellStyle name="Separador de milhares 3 4 3" xfId="757" xr:uid="{00000000-0005-0000-0000-0000D0530000}"/>
    <cellStyle name="Separador de milhares 3 4 3 2" xfId="758" xr:uid="{00000000-0005-0000-0000-0000D1530000}"/>
    <cellStyle name="Separador de milhares 3 4 3 2 2" xfId="27995" xr:uid="{CD580C36-2C76-4B99-A2F4-599E793B5372}"/>
    <cellStyle name="Separador de milhares 3 4 3 3" xfId="19047" xr:uid="{00000000-0005-0000-0000-0000D2530000}"/>
    <cellStyle name="Separador de milhares 3 4 3 4" xfId="27994" xr:uid="{FF269680-7A25-4059-B63B-CC308E61318A}"/>
    <cellStyle name="Separador de milhares 3 4 4" xfId="759" xr:uid="{00000000-0005-0000-0000-0000D3530000}"/>
    <cellStyle name="Separador de milhares 3 4 4 2" xfId="19048" xr:uid="{00000000-0005-0000-0000-0000D4530000}"/>
    <cellStyle name="Separador de milhares 3 4 4 3" xfId="27996" xr:uid="{890F1059-D9D8-4F63-96F0-B0C960DD4CB8}"/>
    <cellStyle name="Separador de milhares 3 4 5" xfId="19049" xr:uid="{00000000-0005-0000-0000-0000D5530000}"/>
    <cellStyle name="Separador de milhares 3 4 6" xfId="19050" xr:uid="{00000000-0005-0000-0000-0000D6530000}"/>
    <cellStyle name="Separador de milhares 3 4 7" xfId="19051" xr:uid="{00000000-0005-0000-0000-0000D7530000}"/>
    <cellStyle name="Separador de milhares 3 4 8" xfId="19052" xr:uid="{00000000-0005-0000-0000-0000D8530000}"/>
    <cellStyle name="Separador de milhares 3 4 9" xfId="19053" xr:uid="{00000000-0005-0000-0000-0000D9530000}"/>
    <cellStyle name="Separador de milhares 3 40" xfId="19054" xr:uid="{00000000-0005-0000-0000-0000DA530000}"/>
    <cellStyle name="Separador de milhares 3 40 2" xfId="28656" xr:uid="{B3E4DF6B-A9DA-46CA-B779-46FEEF5EB9ED}"/>
    <cellStyle name="Separador de milhares 3 41" xfId="19055" xr:uid="{00000000-0005-0000-0000-0000DB530000}"/>
    <cellStyle name="Separador de milhares 3 41 2" xfId="28657" xr:uid="{0B8E549B-EC09-422E-ABF5-B288FCF9B402}"/>
    <cellStyle name="Separador de milhares 3 42" xfId="19056" xr:uid="{00000000-0005-0000-0000-0000DC530000}"/>
    <cellStyle name="Separador de milhares 3 42 2" xfId="28658" xr:uid="{38603603-3FA4-4AA2-BE0F-377DB4B3B60C}"/>
    <cellStyle name="Separador de milhares 3 43" xfId="19057" xr:uid="{00000000-0005-0000-0000-0000DD530000}"/>
    <cellStyle name="Separador de milhares 3 43 2" xfId="28659" xr:uid="{39579DC5-A237-423D-863D-F5373BF3F686}"/>
    <cellStyle name="Separador de milhares 3 44" xfId="27947" xr:uid="{CFA8E7EA-C52F-4EA1-8A77-DF72BC8CD12C}"/>
    <cellStyle name="Separador de milhares 3 5" xfId="760" xr:uid="{00000000-0005-0000-0000-0000DE530000}"/>
    <cellStyle name="Separador de milhares 3 5 2" xfId="761" xr:uid="{00000000-0005-0000-0000-0000DF530000}"/>
    <cellStyle name="Separador de milhares 3 5 2 2" xfId="762" xr:uid="{00000000-0005-0000-0000-0000E0530000}"/>
    <cellStyle name="Separador de milhares 3 5 2 2 2" xfId="763" xr:uid="{00000000-0005-0000-0000-0000E1530000}"/>
    <cellStyle name="Separador de milhares 3 5 2 2 2 2" xfId="28000" xr:uid="{CBEC7319-FD0D-4E06-AF1A-929C6DDF04B1}"/>
    <cellStyle name="Separador de milhares 3 5 2 2 3" xfId="27999" xr:uid="{AB739898-7D3A-4761-804F-CCC30FC710B4}"/>
    <cellStyle name="Separador de milhares 3 5 2 3" xfId="764" xr:uid="{00000000-0005-0000-0000-0000E2530000}"/>
    <cellStyle name="Separador de milhares 3 5 2 3 2" xfId="28001" xr:uid="{5F2F834E-A57E-4FAC-BB29-420C125B61B3}"/>
    <cellStyle name="Separador de milhares 3 5 2 4" xfId="19059" xr:uid="{00000000-0005-0000-0000-0000E3530000}"/>
    <cellStyle name="Separador de milhares 3 5 2 5" xfId="27998" xr:uid="{930F58AE-6380-4D47-A360-4BCB1EE398FF}"/>
    <cellStyle name="Separador de milhares 3 5 3" xfId="765" xr:uid="{00000000-0005-0000-0000-0000E4530000}"/>
    <cellStyle name="Separador de milhares 3 5 3 2" xfId="766" xr:uid="{00000000-0005-0000-0000-0000E5530000}"/>
    <cellStyle name="Separador de milhares 3 5 3 2 2" xfId="28003" xr:uid="{46C55C7C-100C-418C-8240-31B2A6A9AD2A}"/>
    <cellStyle name="Separador de milhares 3 5 3 3" xfId="19060" xr:uid="{00000000-0005-0000-0000-0000E6530000}"/>
    <cellStyle name="Separador de milhares 3 5 3 4" xfId="28002" xr:uid="{7F7FD7F6-8B55-4DF6-9728-BFA8DF5C260D}"/>
    <cellStyle name="Separador de milhares 3 5 4" xfId="767" xr:uid="{00000000-0005-0000-0000-0000E7530000}"/>
    <cellStyle name="Separador de milhares 3 5 4 2" xfId="19061" xr:uid="{00000000-0005-0000-0000-0000E8530000}"/>
    <cellStyle name="Separador de milhares 3 5 4 3" xfId="28004" xr:uid="{85652732-88FC-4E89-BD20-6D61D8D08D18}"/>
    <cellStyle name="Separador de milhares 3 5 5" xfId="19058" xr:uid="{00000000-0005-0000-0000-0000E9530000}"/>
    <cellStyle name="Separador de milhares 3 5 5 2" xfId="28660" xr:uid="{92CE1941-A2AB-4110-B482-0EF59791B27F}"/>
    <cellStyle name="Separador de milhares 3 5 6" xfId="27997" xr:uid="{5438C676-5F04-4FBB-9269-ED3F8AF126A2}"/>
    <cellStyle name="Separador de milhares 3 6" xfId="768" xr:uid="{00000000-0005-0000-0000-0000EA530000}"/>
    <cellStyle name="Separador de milhares 3 6 2" xfId="19063" xr:uid="{00000000-0005-0000-0000-0000EB530000}"/>
    <cellStyle name="Separador de milhares 3 6 3" xfId="19064" xr:uid="{00000000-0005-0000-0000-0000EC530000}"/>
    <cellStyle name="Separador de milhares 3 6 4" xfId="19065" xr:uid="{00000000-0005-0000-0000-0000ED530000}"/>
    <cellStyle name="Separador de milhares 3 6 5" xfId="19062" xr:uid="{00000000-0005-0000-0000-0000EE530000}"/>
    <cellStyle name="Separador de milhares 3 6 5 2" xfId="28661" xr:uid="{74A0A9A7-D900-4F50-B77B-4120F1E77AED}"/>
    <cellStyle name="Separador de milhares 3 7" xfId="769" xr:uid="{00000000-0005-0000-0000-0000EF530000}"/>
    <cellStyle name="Separador de milhares 3 7 2" xfId="19067" xr:uid="{00000000-0005-0000-0000-0000F0530000}"/>
    <cellStyle name="Separador de milhares 3 7 3" xfId="19068" xr:uid="{00000000-0005-0000-0000-0000F1530000}"/>
    <cellStyle name="Separador de milhares 3 7 4" xfId="19069" xr:uid="{00000000-0005-0000-0000-0000F2530000}"/>
    <cellStyle name="Separador de milhares 3 7 5" xfId="19066" xr:uid="{00000000-0005-0000-0000-0000F3530000}"/>
    <cellStyle name="Separador de milhares 3 7 5 2" xfId="28662" xr:uid="{2FE81562-BBC1-4CA0-860F-CE8055CB3400}"/>
    <cellStyle name="Separador de milhares 3 7 6" xfId="28005" xr:uid="{14A215F0-9ADF-40D5-A1DA-480B3B996E89}"/>
    <cellStyle name="Separador de milhares 3 8" xfId="770" xr:uid="{00000000-0005-0000-0000-0000F4530000}"/>
    <cellStyle name="Separador de milhares 3 8 2" xfId="19071" xr:uid="{00000000-0005-0000-0000-0000F5530000}"/>
    <cellStyle name="Separador de milhares 3 8 3" xfId="19072" xr:uid="{00000000-0005-0000-0000-0000F6530000}"/>
    <cellStyle name="Separador de milhares 3 8 4" xfId="19073" xr:uid="{00000000-0005-0000-0000-0000F7530000}"/>
    <cellStyle name="Separador de milhares 3 8 5" xfId="19070" xr:uid="{00000000-0005-0000-0000-0000F8530000}"/>
    <cellStyle name="Separador de milhares 3 9" xfId="771" xr:uid="{00000000-0005-0000-0000-0000F9530000}"/>
    <cellStyle name="Separador de milhares 3 9 2" xfId="19075" xr:uid="{00000000-0005-0000-0000-0000FA530000}"/>
    <cellStyle name="Separador de milhares 3 9 3" xfId="19076" xr:uid="{00000000-0005-0000-0000-0000FB530000}"/>
    <cellStyle name="Separador de milhares 3 9 4" xfId="19077" xr:uid="{00000000-0005-0000-0000-0000FC530000}"/>
    <cellStyle name="Separador de milhares 3 9 5" xfId="19074" xr:uid="{00000000-0005-0000-0000-0000FD530000}"/>
    <cellStyle name="Separador de milhares 3 9 6" xfId="28006" xr:uid="{7CAD7FB2-1255-4BD6-9918-7750A08D5AA6}"/>
    <cellStyle name="Separador de milhares 3_Pasta1" xfId="19078" xr:uid="{00000000-0005-0000-0000-0000FE530000}"/>
    <cellStyle name="Separador de milhares 30" xfId="19079" xr:uid="{00000000-0005-0000-0000-0000FF530000}"/>
    <cellStyle name="Separador de milhares 30 2" xfId="19080" xr:uid="{00000000-0005-0000-0000-000000540000}"/>
    <cellStyle name="Separador de milhares 30 2 2" xfId="28664" xr:uid="{38A86A32-A1D5-4F48-8CB7-94A22B827384}"/>
    <cellStyle name="Separador de milhares 30 3" xfId="28663" xr:uid="{01DF42AA-63D0-4392-8F14-D9A5A864B1C3}"/>
    <cellStyle name="Separador de milhares 31" xfId="19081" xr:uid="{00000000-0005-0000-0000-000001540000}"/>
    <cellStyle name="Separador de milhares 31 2" xfId="28665" xr:uid="{9E65F5C2-7B2A-4CE9-9EE8-E19B549F6C88}"/>
    <cellStyle name="Separador de milhares 32" xfId="19082" xr:uid="{00000000-0005-0000-0000-000002540000}"/>
    <cellStyle name="Separador de milhares 32 2" xfId="28666" xr:uid="{2E26146C-69E4-4632-BAB0-A2E779F43745}"/>
    <cellStyle name="Separador de milhares 33" xfId="19083" xr:uid="{00000000-0005-0000-0000-000003540000}"/>
    <cellStyle name="Separador de milhares 33 2" xfId="19084" xr:uid="{00000000-0005-0000-0000-000004540000}"/>
    <cellStyle name="Separador de milhares 33 2 2" xfId="28668" xr:uid="{5230FCB2-4615-4010-8F1B-579016B4A14C}"/>
    <cellStyle name="Separador de milhares 33 3" xfId="28667" xr:uid="{396A7AB6-6E53-4179-B281-F546EF37851A}"/>
    <cellStyle name="Separador de milhares 34" xfId="19085" xr:uid="{00000000-0005-0000-0000-000005540000}"/>
    <cellStyle name="Separador de milhares 34 2" xfId="19086" xr:uid="{00000000-0005-0000-0000-000006540000}"/>
    <cellStyle name="Separador de milhares 34 2 2" xfId="28670" xr:uid="{BC8C1A91-B4F3-4036-A4A5-4C5043FFB511}"/>
    <cellStyle name="Separador de milhares 34 3" xfId="28669" xr:uid="{08CEB108-4AFD-482A-8D1E-413894BD25D3}"/>
    <cellStyle name="Separador de milhares 35" xfId="19087" xr:uid="{00000000-0005-0000-0000-000007540000}"/>
    <cellStyle name="Separador de milhares 35 2" xfId="19088" xr:uid="{00000000-0005-0000-0000-000008540000}"/>
    <cellStyle name="Separador de milhares 35 2 2" xfId="28672" xr:uid="{CAE0F966-5EF3-404D-B271-BD4A991B3644}"/>
    <cellStyle name="Separador de milhares 35 3" xfId="28671" xr:uid="{C30C3065-7D55-4748-B0A7-0EE8458DB1A0}"/>
    <cellStyle name="Separador de milhares 36" xfId="19089" xr:uid="{00000000-0005-0000-0000-000009540000}"/>
    <cellStyle name="Separador de milhares 36 2" xfId="19090" xr:uid="{00000000-0005-0000-0000-00000A540000}"/>
    <cellStyle name="Separador de milhares 36 2 2" xfId="28674" xr:uid="{28D30918-8357-466E-AA85-A4CAF0ADF79A}"/>
    <cellStyle name="Separador de milhares 36 3" xfId="28673" xr:uid="{2799CCCE-CD24-4FB2-888D-5E5919D6EAE0}"/>
    <cellStyle name="Separador de milhares 37" xfId="19091" xr:uid="{00000000-0005-0000-0000-00000B540000}"/>
    <cellStyle name="Separador de milhares 37 2" xfId="19092" xr:uid="{00000000-0005-0000-0000-00000C540000}"/>
    <cellStyle name="Separador de milhares 37 2 2" xfId="28676" xr:uid="{EEA873AE-2C4B-4B04-B3C8-22D02B812BB1}"/>
    <cellStyle name="Separador de milhares 37 3" xfId="28675" xr:uid="{50F74F9D-FC06-442D-833B-78A5AD5E8C50}"/>
    <cellStyle name="Separador de milhares 38" xfId="19093" xr:uid="{00000000-0005-0000-0000-00000D540000}"/>
    <cellStyle name="Separador de milhares 38 2" xfId="19094" xr:uid="{00000000-0005-0000-0000-00000E540000}"/>
    <cellStyle name="Separador de milhares 38 2 2" xfId="28678" xr:uid="{990C7C07-7013-4C86-A42D-58ECABD6EFDD}"/>
    <cellStyle name="Separador de milhares 38 3" xfId="28677" xr:uid="{5334FC7A-A8B4-4B0E-9883-EB8C5E15BDEF}"/>
    <cellStyle name="Separador de milhares 39" xfId="19095" xr:uid="{00000000-0005-0000-0000-00000F540000}"/>
    <cellStyle name="Separador de milhares 39 2" xfId="19096" xr:uid="{00000000-0005-0000-0000-000010540000}"/>
    <cellStyle name="Separador de milhares 39 2 2" xfId="28680" xr:uid="{0162AC47-E874-46C3-9AC7-81519704B4A3}"/>
    <cellStyle name="Separador de milhares 39 3" xfId="28679" xr:uid="{C919FD61-477B-4C73-83F6-FE1A30C20616}"/>
    <cellStyle name="Separador de milhares 4" xfId="772" xr:uid="{00000000-0005-0000-0000-000011540000}"/>
    <cellStyle name="Separador de milhares 4 10" xfId="19097" xr:uid="{00000000-0005-0000-0000-000012540000}"/>
    <cellStyle name="Separador de milhares 4 10 2" xfId="19098" xr:uid="{00000000-0005-0000-0000-000013540000}"/>
    <cellStyle name="Separador de milhares 4 10 3" xfId="19099" xr:uid="{00000000-0005-0000-0000-000014540000}"/>
    <cellStyle name="Separador de milhares 4 11" xfId="19100" xr:uid="{00000000-0005-0000-0000-000015540000}"/>
    <cellStyle name="Separador de milhares 4 11 2" xfId="19101" xr:uid="{00000000-0005-0000-0000-000016540000}"/>
    <cellStyle name="Separador de milhares 4 11 3" xfId="19102" xr:uid="{00000000-0005-0000-0000-000017540000}"/>
    <cellStyle name="Separador de milhares 4 12" xfId="19103" xr:uid="{00000000-0005-0000-0000-000018540000}"/>
    <cellStyle name="Separador de milhares 4 12 2" xfId="19104" xr:uid="{00000000-0005-0000-0000-000019540000}"/>
    <cellStyle name="Separador de milhares 4 12 3" xfId="19105" xr:uid="{00000000-0005-0000-0000-00001A540000}"/>
    <cellStyle name="Separador de milhares 4 13" xfId="19106" xr:uid="{00000000-0005-0000-0000-00001B540000}"/>
    <cellStyle name="Separador de milhares 4 13 2" xfId="19107" xr:uid="{00000000-0005-0000-0000-00001C540000}"/>
    <cellStyle name="Separador de milhares 4 13 3" xfId="19108" xr:uid="{00000000-0005-0000-0000-00001D540000}"/>
    <cellStyle name="Separador de milhares 4 14" xfId="19109" xr:uid="{00000000-0005-0000-0000-00001E540000}"/>
    <cellStyle name="Separador de milhares 4 15" xfId="19110" xr:uid="{00000000-0005-0000-0000-00001F540000}"/>
    <cellStyle name="Separador de milhares 4 16" xfId="19111" xr:uid="{00000000-0005-0000-0000-000020540000}"/>
    <cellStyle name="Separador de milhares 4 17" xfId="19112" xr:uid="{00000000-0005-0000-0000-000021540000}"/>
    <cellStyle name="Separador de milhares 4 18" xfId="19113" xr:uid="{00000000-0005-0000-0000-000022540000}"/>
    <cellStyle name="Separador de milhares 4 19" xfId="19114" xr:uid="{00000000-0005-0000-0000-000023540000}"/>
    <cellStyle name="Separador de milhares 4 2" xfId="773" xr:uid="{00000000-0005-0000-0000-000024540000}"/>
    <cellStyle name="Separador de milhares 4 2 10" xfId="27700" xr:uid="{00000000-0005-0000-0000-000025540000}"/>
    <cellStyle name="Separador de milhares 4 2 10 2" xfId="33511" xr:uid="{26784276-2149-4FAD-A15B-7AE3085DCA5F}"/>
    <cellStyle name="Separador de milhares 4 2 11" xfId="28008" xr:uid="{204FC878-D28F-4EA1-A44B-EE60E120CF41}"/>
    <cellStyle name="Separador de milhares 4 2 2" xfId="774" xr:uid="{00000000-0005-0000-0000-000026540000}"/>
    <cellStyle name="Separador de milhares 4 2 2 10" xfId="28009" xr:uid="{F43AF435-BCE6-4E55-AE98-4DC192ED5047}"/>
    <cellStyle name="Separador de milhares 4 2 2 2" xfId="775" xr:uid="{00000000-0005-0000-0000-000027540000}"/>
    <cellStyle name="Separador de milhares 4 2 2 2 2" xfId="776" xr:uid="{00000000-0005-0000-0000-000028540000}"/>
    <cellStyle name="Separador de milhares 4 2 2 2 2 2" xfId="28011" xr:uid="{375F1745-66BE-4856-A868-C851DD444850}"/>
    <cellStyle name="Separador de milhares 4 2 2 2 3" xfId="28010" xr:uid="{D21E4EEF-8239-445F-A8E1-C99899A7EE13}"/>
    <cellStyle name="Separador de milhares 4 2 2 3" xfId="777" xr:uid="{00000000-0005-0000-0000-000029540000}"/>
    <cellStyle name="Separador de milhares 4 2 2 3 2" xfId="28012" xr:uid="{8FF3A922-90A5-403F-AF86-F28DF03ACF5E}"/>
    <cellStyle name="Separador de milhares 4 2 2 4" xfId="19116" xr:uid="{00000000-0005-0000-0000-00002A540000}"/>
    <cellStyle name="Separador de milhares 4 2 2 4 2" xfId="28682" xr:uid="{77E4A61B-6C7A-44DD-A9E8-4AB08CF58047}"/>
    <cellStyle name="Separador de milhares 4 2 2 5" xfId="26001" xr:uid="{00000000-0005-0000-0000-00002B540000}"/>
    <cellStyle name="Separador de milhares 4 2 2 5 2" xfId="32926" xr:uid="{601E77C0-0449-4E56-B7C9-FEF5C0636972}"/>
    <cellStyle name="Separador de milhares 4 2 2 6" xfId="27192" xr:uid="{00000000-0005-0000-0000-00002C540000}"/>
    <cellStyle name="Separador de milhares 4 2 2 6 2" xfId="33034" xr:uid="{2CC2B73B-A539-42C0-8FC2-03127B87181B}"/>
    <cellStyle name="Separador de milhares 4 2 2 7" xfId="27372" xr:uid="{00000000-0005-0000-0000-00002D540000}"/>
    <cellStyle name="Separador de milhares 4 2 2 7 2" xfId="33209" xr:uid="{A8AD2CE4-F16B-4906-8F61-E876DA425E2B}"/>
    <cellStyle name="Separador de milhares 4 2 2 8" xfId="27550" xr:uid="{00000000-0005-0000-0000-00002E540000}"/>
    <cellStyle name="Separador de milhares 4 2 2 8 2" xfId="33362" xr:uid="{E5705040-60E9-41B1-AE65-06B2C5A6FC5E}"/>
    <cellStyle name="Separador de milhares 4 2 2 9" xfId="27701" xr:uid="{00000000-0005-0000-0000-00002F540000}"/>
    <cellStyle name="Separador de milhares 4 2 2 9 2" xfId="33512" xr:uid="{9406AAFF-3739-491F-BFFE-F21DE31296D6}"/>
    <cellStyle name="Separador de milhares 4 2 3" xfId="778" xr:uid="{00000000-0005-0000-0000-000030540000}"/>
    <cellStyle name="Separador de milhares 4 2 3 2" xfId="779" xr:uid="{00000000-0005-0000-0000-000031540000}"/>
    <cellStyle name="Separador de milhares 4 2 3 2 2" xfId="28014" xr:uid="{EC4CB406-5A35-4531-89FD-DC44CD23832A}"/>
    <cellStyle name="Separador de milhares 4 2 3 3" xfId="19117" xr:uid="{00000000-0005-0000-0000-000032540000}"/>
    <cellStyle name="Separador de milhares 4 2 3 4" xfId="28013" xr:uid="{00179CB5-1A60-4538-94D8-100A961A44DD}"/>
    <cellStyle name="Separador de milhares 4 2 4" xfId="780" xr:uid="{00000000-0005-0000-0000-000033540000}"/>
    <cellStyle name="Separador de milhares 4 2 4 2" xfId="19118" xr:uid="{00000000-0005-0000-0000-000034540000}"/>
    <cellStyle name="Separador de milhares 4 2 4 3" xfId="28015" xr:uid="{50CE1B36-8E62-4458-B91E-FC346C433B13}"/>
    <cellStyle name="Separador de milhares 4 2 5" xfId="19115" xr:uid="{00000000-0005-0000-0000-000035540000}"/>
    <cellStyle name="Separador de milhares 4 2 5 2" xfId="28681" xr:uid="{5750659C-EB83-4EF4-AF72-D0856D8FE10D}"/>
    <cellStyle name="Separador de milhares 4 2 6" xfId="26000" xr:uid="{00000000-0005-0000-0000-000036540000}"/>
    <cellStyle name="Separador de milhares 4 2 6 2" xfId="32925" xr:uid="{2AB180D3-7B6F-4057-9E0E-C995864D8872}"/>
    <cellStyle name="Separador de milhares 4 2 7" xfId="27191" xr:uid="{00000000-0005-0000-0000-000037540000}"/>
    <cellStyle name="Separador de milhares 4 2 7 2" xfId="33033" xr:uid="{E60952CE-0576-4B05-9F31-8D6AA8F9C38A}"/>
    <cellStyle name="Separador de milhares 4 2 8" xfId="27371" xr:uid="{00000000-0005-0000-0000-000038540000}"/>
    <cellStyle name="Separador de milhares 4 2 8 2" xfId="33208" xr:uid="{89CA1331-F256-4C38-A53A-B75809B315CF}"/>
    <cellStyle name="Separador de milhares 4 2 9" xfId="27549" xr:uid="{00000000-0005-0000-0000-000039540000}"/>
    <cellStyle name="Separador de milhares 4 2 9 2" xfId="33361" xr:uid="{0754A559-7922-4967-ACD3-537A0A504B43}"/>
    <cellStyle name="Separador de milhares 4 20" xfId="19119" xr:uid="{00000000-0005-0000-0000-00003A540000}"/>
    <cellStyle name="Separador de milhares 4 21" xfId="19120" xr:uid="{00000000-0005-0000-0000-00003B540000}"/>
    <cellStyle name="Separador de milhares 4 22" xfId="19121" xr:uid="{00000000-0005-0000-0000-00003C540000}"/>
    <cellStyle name="Separador de milhares 4 23" xfId="19122" xr:uid="{00000000-0005-0000-0000-00003D540000}"/>
    <cellStyle name="Separador de milhares 4 24" xfId="19123" xr:uid="{00000000-0005-0000-0000-00003E540000}"/>
    <cellStyle name="Separador de milhares 4 25" xfId="19124" xr:uid="{00000000-0005-0000-0000-00003F540000}"/>
    <cellStyle name="Separador de milhares 4 26" xfId="19125" xr:uid="{00000000-0005-0000-0000-000040540000}"/>
    <cellStyle name="Separador de milhares 4 27" xfId="19126" xr:uid="{00000000-0005-0000-0000-000041540000}"/>
    <cellStyle name="Separador de milhares 4 28" xfId="19127" xr:uid="{00000000-0005-0000-0000-000042540000}"/>
    <cellStyle name="Separador de milhares 4 29" xfId="19128" xr:uid="{00000000-0005-0000-0000-000043540000}"/>
    <cellStyle name="Separador de milhares 4 3" xfId="781" xr:uid="{00000000-0005-0000-0000-000044540000}"/>
    <cellStyle name="Separador de milhares 4 3 10" xfId="27702" xr:uid="{00000000-0005-0000-0000-000045540000}"/>
    <cellStyle name="Separador de milhares 4 3 10 2" xfId="33513" xr:uid="{C9BB6E95-1405-4908-9E57-D5E3032C6A93}"/>
    <cellStyle name="Separador de milhares 4 3 11" xfId="28016" xr:uid="{E019C38F-77DB-458A-A394-EC62BF129250}"/>
    <cellStyle name="Separador de milhares 4 3 2" xfId="782" xr:uid="{00000000-0005-0000-0000-000046540000}"/>
    <cellStyle name="Separador de milhares 4 3 2 2" xfId="783" xr:uid="{00000000-0005-0000-0000-000047540000}"/>
    <cellStyle name="Separador de milhares 4 3 2 2 2" xfId="784" xr:uid="{00000000-0005-0000-0000-000048540000}"/>
    <cellStyle name="Separador de milhares 4 3 2 2 2 2" xfId="28019" xr:uid="{4BC1F0E7-9A8F-4F32-AA09-DE80C74216C8}"/>
    <cellStyle name="Separador de milhares 4 3 2 2 3" xfId="28018" xr:uid="{20249500-AE79-4069-BAA2-964C7FE785F5}"/>
    <cellStyle name="Separador de milhares 4 3 2 3" xfId="785" xr:uid="{00000000-0005-0000-0000-000049540000}"/>
    <cellStyle name="Separador de milhares 4 3 2 3 2" xfId="28020" xr:uid="{54DDA534-52DB-4A87-8F82-D889F8795647}"/>
    <cellStyle name="Separador de milhares 4 3 2 4" xfId="19130" xr:uid="{00000000-0005-0000-0000-00004A540000}"/>
    <cellStyle name="Separador de milhares 4 3 2 5" xfId="28017" xr:uid="{7CB7573E-88A0-4A33-A580-E0E7957FB407}"/>
    <cellStyle name="Separador de milhares 4 3 3" xfId="786" xr:uid="{00000000-0005-0000-0000-00004B540000}"/>
    <cellStyle name="Separador de milhares 4 3 3 2" xfId="787" xr:uid="{00000000-0005-0000-0000-00004C540000}"/>
    <cellStyle name="Separador de milhares 4 3 3 2 2" xfId="28022" xr:uid="{999A7AA9-9A06-4C3F-88A4-146E8A0E6D31}"/>
    <cellStyle name="Separador de milhares 4 3 3 3" xfId="19131" xr:uid="{00000000-0005-0000-0000-00004D540000}"/>
    <cellStyle name="Separador de milhares 4 3 3 4" xfId="28021" xr:uid="{A555578A-964E-4F85-9FC3-B5035DB6BAE3}"/>
    <cellStyle name="Separador de milhares 4 3 4" xfId="788" xr:uid="{00000000-0005-0000-0000-00004E540000}"/>
    <cellStyle name="Separador de milhares 4 3 4 2" xfId="19132" xr:uid="{00000000-0005-0000-0000-00004F540000}"/>
    <cellStyle name="Separador de milhares 4 3 4 3" xfId="28023" xr:uid="{E2D3F63C-93B1-46A5-884C-249B76D46A59}"/>
    <cellStyle name="Separador de milhares 4 3 5" xfId="19129" xr:uid="{00000000-0005-0000-0000-000050540000}"/>
    <cellStyle name="Separador de milhares 4 3 5 2" xfId="28683" xr:uid="{6BE1957C-F8AD-44A8-A7EB-7FF8FD2AD3C6}"/>
    <cellStyle name="Separador de milhares 4 3 6" xfId="26002" xr:uid="{00000000-0005-0000-0000-000051540000}"/>
    <cellStyle name="Separador de milhares 4 3 6 2" xfId="32927" xr:uid="{D25147FE-0313-488C-AA87-DA4A2A1A335F}"/>
    <cellStyle name="Separador de milhares 4 3 7" xfId="27193" xr:uid="{00000000-0005-0000-0000-000052540000}"/>
    <cellStyle name="Separador de milhares 4 3 7 2" xfId="33035" xr:uid="{27439627-0A29-4555-958D-981D100F756C}"/>
    <cellStyle name="Separador de milhares 4 3 8" xfId="27373" xr:uid="{00000000-0005-0000-0000-000053540000}"/>
    <cellStyle name="Separador de milhares 4 3 8 2" xfId="33210" xr:uid="{2A8178DC-3BD1-466E-BEB8-6D802F3212B8}"/>
    <cellStyle name="Separador de milhares 4 3 9" xfId="27551" xr:uid="{00000000-0005-0000-0000-000054540000}"/>
    <cellStyle name="Separador de milhares 4 3 9 2" xfId="33363" xr:uid="{0D2D928E-ADAE-4D96-9E75-B9AA265FFB64}"/>
    <cellStyle name="Separador de milhares 4 30" xfId="19133" xr:uid="{00000000-0005-0000-0000-000055540000}"/>
    <cellStyle name="Separador de milhares 4 31" xfId="19134" xr:uid="{00000000-0005-0000-0000-000056540000}"/>
    <cellStyle name="Separador de milhares 4 32" xfId="19135" xr:uid="{00000000-0005-0000-0000-000057540000}"/>
    <cellStyle name="Separador de milhares 4 33" xfId="19136" xr:uid="{00000000-0005-0000-0000-000058540000}"/>
    <cellStyle name="Separador de milhares 4 34" xfId="19137" xr:uid="{00000000-0005-0000-0000-000059540000}"/>
    <cellStyle name="Separador de milhares 4 35" xfId="19138" xr:uid="{00000000-0005-0000-0000-00005A540000}"/>
    <cellStyle name="Separador de milhares 4 36" xfId="19139" xr:uid="{00000000-0005-0000-0000-00005B540000}"/>
    <cellStyle name="Separador de milhares 4 37" xfId="19140" xr:uid="{00000000-0005-0000-0000-00005C540000}"/>
    <cellStyle name="Separador de milhares 4 37 2" xfId="19141" xr:uid="{00000000-0005-0000-0000-00005D540000}"/>
    <cellStyle name="Separador de milhares 4 38" xfId="19142" xr:uid="{00000000-0005-0000-0000-00005E540000}"/>
    <cellStyle name="Separador de milhares 4 39" xfId="19143" xr:uid="{00000000-0005-0000-0000-00005F540000}"/>
    <cellStyle name="Separador de milhares 4 4" xfId="789" xr:uid="{00000000-0005-0000-0000-000060540000}"/>
    <cellStyle name="Separador de milhares 4 4 2" xfId="19145" xr:uid="{00000000-0005-0000-0000-000061540000}"/>
    <cellStyle name="Separador de milhares 4 4 3" xfId="19146" xr:uid="{00000000-0005-0000-0000-000062540000}"/>
    <cellStyle name="Separador de milhares 4 4 4" xfId="19144" xr:uid="{00000000-0005-0000-0000-000063540000}"/>
    <cellStyle name="Separador de milhares 4 4 4 2" xfId="28684" xr:uid="{4F3E69C3-9214-40FA-BD27-E82A339AD1FC}"/>
    <cellStyle name="Separador de milhares 4 4 5" xfId="26003" xr:uid="{00000000-0005-0000-0000-000064540000}"/>
    <cellStyle name="Separador de milhares 4 4 5 2" xfId="32928" xr:uid="{8E94A154-4E4B-4C3F-8F1D-F6D6902EFB39}"/>
    <cellStyle name="Separador de milhares 4 4 6" xfId="27194" xr:uid="{00000000-0005-0000-0000-000065540000}"/>
    <cellStyle name="Separador de milhares 4 4 6 2" xfId="33036" xr:uid="{BE20A5DA-5484-416D-8174-38FA984D65F7}"/>
    <cellStyle name="Separador de milhares 4 4 7" xfId="27374" xr:uid="{00000000-0005-0000-0000-000066540000}"/>
    <cellStyle name="Separador de milhares 4 4 7 2" xfId="33211" xr:uid="{0E9F05CE-C15F-4878-A787-C6841EDE6F20}"/>
    <cellStyle name="Separador de milhares 4 4 8" xfId="27552" xr:uid="{00000000-0005-0000-0000-000067540000}"/>
    <cellStyle name="Separador de milhares 4 4 8 2" xfId="33364" xr:uid="{A714FDCA-29E2-4D29-A000-0E5FCC118EA1}"/>
    <cellStyle name="Separador de milhares 4 4 9" xfId="27703" xr:uid="{00000000-0005-0000-0000-000068540000}"/>
    <cellStyle name="Separador de milhares 4 4 9 2" xfId="33514" xr:uid="{B358139C-7D9C-4BB6-A764-1A9D03A59381}"/>
    <cellStyle name="Separador de milhares 4 40" xfId="19147" xr:uid="{00000000-0005-0000-0000-000069540000}"/>
    <cellStyle name="Separador de milhares 4 41" xfId="19148" xr:uid="{00000000-0005-0000-0000-00006A540000}"/>
    <cellStyle name="Separador de milhares 4 42" xfId="19149" xr:uid="{00000000-0005-0000-0000-00006B540000}"/>
    <cellStyle name="Separador de milhares 4 42 2" xfId="28685" xr:uid="{1A8E9B1A-2602-430A-9DA4-C1E62B262AC0}"/>
    <cellStyle name="Separador de milhares 4 43" xfId="19150" xr:uid="{00000000-0005-0000-0000-00006C540000}"/>
    <cellStyle name="Separador de milhares 4 43 2" xfId="28686" xr:uid="{58750692-3A7E-4862-BAA7-BAAAA2F6982F}"/>
    <cellStyle name="Separador de milhares 4 44" xfId="19151" xr:uid="{00000000-0005-0000-0000-00006D540000}"/>
    <cellStyle name="Separador de milhares 4 44 2" xfId="28687" xr:uid="{8DD9B084-39DE-41AB-AF25-0C2470C62819}"/>
    <cellStyle name="Separador de milhares 4 45" xfId="19152" xr:uid="{00000000-0005-0000-0000-00006E540000}"/>
    <cellStyle name="Separador de milhares 4 45 2" xfId="28688" xr:uid="{204DB535-C0C5-463A-946C-23116488BE1E}"/>
    <cellStyle name="Separador de milhares 4 46" xfId="19153" xr:uid="{00000000-0005-0000-0000-00006F540000}"/>
    <cellStyle name="Separador de milhares 4 46 2" xfId="28689" xr:uid="{5CEAB445-FEA1-47B7-B307-B05BB4751BF1}"/>
    <cellStyle name="Separador de milhares 4 47" xfId="19154" xr:uid="{00000000-0005-0000-0000-000070540000}"/>
    <cellStyle name="Separador de milhares 4 47 2" xfId="28690" xr:uid="{2AC5D6E9-418F-4A89-A98A-5E2F59B8AE45}"/>
    <cellStyle name="Separador de milhares 4 48" xfId="19155" xr:uid="{00000000-0005-0000-0000-000071540000}"/>
    <cellStyle name="Separador de milhares 4 48 2" xfId="28691" xr:uid="{C9095D0A-8016-4FB9-B64B-9191B7830936}"/>
    <cellStyle name="Separador de milhares 4 49" xfId="19156" xr:uid="{00000000-0005-0000-0000-000072540000}"/>
    <cellStyle name="Separador de milhares 4 49 2" xfId="28692" xr:uid="{5C821A69-C2D5-40C1-A468-7E6DFD365095}"/>
    <cellStyle name="Separador de milhares 4 5" xfId="790" xr:uid="{00000000-0005-0000-0000-000073540000}"/>
    <cellStyle name="Separador de milhares 4 5 2" xfId="791" xr:uid="{00000000-0005-0000-0000-000074540000}"/>
    <cellStyle name="Separador de milhares 4 5 2 2" xfId="792" xr:uid="{00000000-0005-0000-0000-000075540000}"/>
    <cellStyle name="Separador de milhares 4 5 2 2 2" xfId="28026" xr:uid="{D9B48F0E-1A0E-4AFC-B1E3-03BAEA7D6994}"/>
    <cellStyle name="Separador de milhares 4 5 2 3" xfId="19158" xr:uid="{00000000-0005-0000-0000-000076540000}"/>
    <cellStyle name="Separador de milhares 4 5 2 4" xfId="28025" xr:uid="{9B421D7D-7320-4A89-BF25-E6202477455F}"/>
    <cellStyle name="Separador de milhares 4 5 3" xfId="793" xr:uid="{00000000-0005-0000-0000-000077540000}"/>
    <cellStyle name="Separador de milhares 4 5 3 2" xfId="19159" xr:uid="{00000000-0005-0000-0000-000078540000}"/>
    <cellStyle name="Separador de milhares 4 5 3 3" xfId="28027" xr:uid="{EB8FD8A3-3A01-4204-ADFF-8355DB6A54B1}"/>
    <cellStyle name="Separador de milhares 4 5 4" xfId="19157" xr:uid="{00000000-0005-0000-0000-000079540000}"/>
    <cellStyle name="Separador de milhares 4 5 4 2" xfId="28693" xr:uid="{B77DDEB6-897E-4983-854E-D036E7E1CE90}"/>
    <cellStyle name="Separador de milhares 4 5 5" xfId="28024" xr:uid="{4EABFF9E-A335-4A67-A6C9-9610FFA89498}"/>
    <cellStyle name="Separador de milhares 4 50" xfId="19160" xr:uid="{00000000-0005-0000-0000-00007A540000}"/>
    <cellStyle name="Separador de milhares 4 50 2" xfId="28694" xr:uid="{887A44DA-C0E8-410F-88AA-D8BB244D19E0}"/>
    <cellStyle name="Separador de milhares 4 51" xfId="19161" xr:uid="{00000000-0005-0000-0000-00007B540000}"/>
    <cellStyle name="Separador de milhares 4 51 2" xfId="28695" xr:uid="{2E3A95BE-C4AC-4A63-9AD9-61CFBA64F2E8}"/>
    <cellStyle name="Separador de milhares 4 52" xfId="19162" xr:uid="{00000000-0005-0000-0000-00007C540000}"/>
    <cellStyle name="Separador de milhares 4 52 2" xfId="28696" xr:uid="{93AB89D2-BF8C-4528-A90D-EC08E7CAAB4D}"/>
    <cellStyle name="Separador de milhares 4 53" xfId="19163" xr:uid="{00000000-0005-0000-0000-00007D540000}"/>
    <cellStyle name="Separador de milhares 4 53 2" xfId="28697" xr:uid="{0F8C218A-D040-4BBF-A119-EA8152C46D8A}"/>
    <cellStyle name="Separador de milhares 4 54" xfId="19164" xr:uid="{00000000-0005-0000-0000-00007E540000}"/>
    <cellStyle name="Separador de milhares 4 54 2" xfId="28698" xr:uid="{942BC3DB-55CC-49FF-8A39-D5D49E336B60}"/>
    <cellStyle name="Separador de milhares 4 55" xfId="27190" xr:uid="{00000000-0005-0000-0000-00007F540000}"/>
    <cellStyle name="Separador de milhares 4 55 2" xfId="33032" xr:uid="{1B9688F3-3DCA-4576-B279-258790296D53}"/>
    <cellStyle name="Separador de milhares 4 56" xfId="27370" xr:uid="{00000000-0005-0000-0000-000080540000}"/>
    <cellStyle name="Separador de milhares 4 56 2" xfId="33207" xr:uid="{D97E01CA-A787-4BD3-9328-9CB7A5F9CB3A}"/>
    <cellStyle name="Separador de milhares 4 57" xfId="27548" xr:uid="{00000000-0005-0000-0000-000081540000}"/>
    <cellStyle name="Separador de milhares 4 57 2" xfId="33360" xr:uid="{A8553A64-AE0C-4FA9-BFC6-02F9745F3C3B}"/>
    <cellStyle name="Separador de milhares 4 58" xfId="27699" xr:uid="{00000000-0005-0000-0000-000082540000}"/>
    <cellStyle name="Separador de milhares 4 58 2" xfId="33510" xr:uid="{695C373F-1234-49A6-A8BB-B860BB0F16EF}"/>
    <cellStyle name="Separador de milhares 4 59" xfId="28007" xr:uid="{0AFA42F3-BD98-4CBF-AE57-7E3B9AA060FD}"/>
    <cellStyle name="Separador de milhares 4 6" xfId="794" xr:uid="{00000000-0005-0000-0000-000083540000}"/>
    <cellStyle name="Separador de milhares 4 6 2" xfId="795" xr:uid="{00000000-0005-0000-0000-000084540000}"/>
    <cellStyle name="Separador de milhares 4 6 2 2" xfId="19166" xr:uid="{00000000-0005-0000-0000-000085540000}"/>
    <cellStyle name="Separador de milhares 4 6 2 3" xfId="28029" xr:uid="{41B257B8-4EA1-4394-B3F4-DB450CD864B4}"/>
    <cellStyle name="Separador de milhares 4 6 3" xfId="19167" xr:uid="{00000000-0005-0000-0000-000086540000}"/>
    <cellStyle name="Separador de milhares 4 6 4" xfId="19165" xr:uid="{00000000-0005-0000-0000-000087540000}"/>
    <cellStyle name="Separador de milhares 4 6 4 2" xfId="28699" xr:uid="{91C1CD58-885D-48DA-AC83-83C35DF2DD42}"/>
    <cellStyle name="Separador de milhares 4 6 5" xfId="28028" xr:uid="{EA5A9DCF-6C9E-41A1-997F-751C6F6D6213}"/>
    <cellStyle name="Separador de milhares 4 7" xfId="796" xr:uid="{00000000-0005-0000-0000-000088540000}"/>
    <cellStyle name="Separador de milhares 4 7 2" xfId="19169" xr:uid="{00000000-0005-0000-0000-000089540000}"/>
    <cellStyle name="Separador de milhares 4 7 3" xfId="19170" xr:uid="{00000000-0005-0000-0000-00008A540000}"/>
    <cellStyle name="Separador de milhares 4 7 4" xfId="19168" xr:uid="{00000000-0005-0000-0000-00008B540000}"/>
    <cellStyle name="Separador de milhares 4 7 4 2" xfId="28700" xr:uid="{D3F29729-417A-4D27-A776-8EE8DD327EFC}"/>
    <cellStyle name="Separador de milhares 4 7 5" xfId="28030" xr:uid="{3FE30E20-6D72-4863-9CC5-76A4394E8CA4}"/>
    <cellStyle name="Separador de milhares 4 8" xfId="797" xr:uid="{00000000-0005-0000-0000-00008C540000}"/>
    <cellStyle name="Separador de milhares 4 8 2" xfId="19172" xr:uid="{00000000-0005-0000-0000-00008D540000}"/>
    <cellStyle name="Separador de milhares 4 8 3" xfId="19173" xr:uid="{00000000-0005-0000-0000-00008E540000}"/>
    <cellStyle name="Separador de milhares 4 8 4" xfId="19171" xr:uid="{00000000-0005-0000-0000-00008F540000}"/>
    <cellStyle name="Separador de milhares 4 8 4 2" xfId="28701" xr:uid="{06861DCD-6A93-4D78-85A6-66604D353479}"/>
    <cellStyle name="Separador de milhares 4 8 5" xfId="28031" xr:uid="{97DFECB5-A440-4DA3-BCB6-0B441B23B690}"/>
    <cellStyle name="Separador de milhares 4 9" xfId="798" xr:uid="{00000000-0005-0000-0000-000090540000}"/>
    <cellStyle name="Separador de milhares 4 9 2" xfId="19175" xr:uid="{00000000-0005-0000-0000-000091540000}"/>
    <cellStyle name="Separador de milhares 4 9 3" xfId="19176" xr:uid="{00000000-0005-0000-0000-000092540000}"/>
    <cellStyle name="Separador de milhares 4 9 4" xfId="19174" xr:uid="{00000000-0005-0000-0000-000093540000}"/>
    <cellStyle name="Separador de milhares 4 9 5" xfId="28032" xr:uid="{8094FB21-C19F-4CD3-B231-CE39CE8489C2}"/>
    <cellStyle name="Separador de milhares 40" xfId="19177" xr:uid="{00000000-0005-0000-0000-000094540000}"/>
    <cellStyle name="Separador de milhares 40 2" xfId="19178" xr:uid="{00000000-0005-0000-0000-000095540000}"/>
    <cellStyle name="Separador de milhares 40 2 2" xfId="28703" xr:uid="{A8407347-2C5D-4EC4-B2EC-4CFE3D1D52E8}"/>
    <cellStyle name="Separador de milhares 40 3" xfId="28702" xr:uid="{A239750E-1A77-495C-8F57-86CCE0554E7A}"/>
    <cellStyle name="Separador de milhares 41" xfId="19179" xr:uid="{00000000-0005-0000-0000-000096540000}"/>
    <cellStyle name="Separador de milhares 41 2" xfId="19180" xr:uid="{00000000-0005-0000-0000-000097540000}"/>
    <cellStyle name="Separador de milhares 41 2 2" xfId="28705" xr:uid="{CADE08AE-E8A3-4418-B2DF-51169E9B173B}"/>
    <cellStyle name="Separador de milhares 41 3" xfId="28704" xr:uid="{1469721B-09EB-492F-9BB2-65C8A3C5EC82}"/>
    <cellStyle name="Separador de milhares 42" xfId="19181" xr:uid="{00000000-0005-0000-0000-000098540000}"/>
    <cellStyle name="Separador de milhares 42 2" xfId="19182" xr:uid="{00000000-0005-0000-0000-000099540000}"/>
    <cellStyle name="Separador de milhares 42 2 2" xfId="28707" xr:uid="{A785D7A9-94A5-4F5C-B223-7C74DC851754}"/>
    <cellStyle name="Separador de milhares 42 3" xfId="28706" xr:uid="{BE8C44EF-16CB-413D-85E6-3DEAEF61D3F5}"/>
    <cellStyle name="Separador de milhares 43" xfId="19183" xr:uid="{00000000-0005-0000-0000-00009A540000}"/>
    <cellStyle name="Separador de milhares 43 2" xfId="19184" xr:uid="{00000000-0005-0000-0000-00009B540000}"/>
    <cellStyle name="Separador de milhares 43 2 2" xfId="28709" xr:uid="{33F9B029-8171-4681-8EC9-BF363A382949}"/>
    <cellStyle name="Separador de milhares 43 3" xfId="28708" xr:uid="{82B37787-AC05-4B4D-ACD3-E658E2324C84}"/>
    <cellStyle name="Separador de milhares 44" xfId="19185" xr:uid="{00000000-0005-0000-0000-00009C540000}"/>
    <cellStyle name="Separador de milhares 44 2" xfId="19186" xr:uid="{00000000-0005-0000-0000-00009D540000}"/>
    <cellStyle name="Separador de milhares 44 2 2" xfId="28711" xr:uid="{1C71BA7C-78AD-490E-89A2-3B335A7DDB63}"/>
    <cellStyle name="Separador de milhares 44 3" xfId="28710" xr:uid="{4B4D91F0-E1DC-451F-AE33-F467EABEB18B}"/>
    <cellStyle name="Separador de milhares 45" xfId="19187" xr:uid="{00000000-0005-0000-0000-00009E540000}"/>
    <cellStyle name="Separador de milhares 45 2" xfId="19188" xr:uid="{00000000-0005-0000-0000-00009F540000}"/>
    <cellStyle name="Separador de milhares 45 2 2" xfId="28713" xr:uid="{688BD84B-C803-4ECB-BA7F-2E04570E3EFE}"/>
    <cellStyle name="Separador de milhares 45 3" xfId="28712" xr:uid="{6C494FBB-9FE2-45DD-8E0F-5A4C70D49A21}"/>
    <cellStyle name="Separador de milhares 46" xfId="19189" xr:uid="{00000000-0005-0000-0000-0000A0540000}"/>
    <cellStyle name="Separador de milhares 46 2" xfId="19190" xr:uid="{00000000-0005-0000-0000-0000A1540000}"/>
    <cellStyle name="Separador de milhares 46 2 2" xfId="28715" xr:uid="{4953AEBF-F6C0-4181-894A-974A84E9FB68}"/>
    <cellStyle name="Separador de milhares 46 3" xfId="28714" xr:uid="{66478EFE-8DBD-4AE3-B8D8-CA43E6ECB18D}"/>
    <cellStyle name="Separador de milhares 47" xfId="19191" xr:uid="{00000000-0005-0000-0000-0000A2540000}"/>
    <cellStyle name="Separador de milhares 47 2" xfId="19192" xr:uid="{00000000-0005-0000-0000-0000A3540000}"/>
    <cellStyle name="Separador de milhares 47 2 2" xfId="28717" xr:uid="{E59F16A6-FA36-4A71-866B-B3FB0F188B69}"/>
    <cellStyle name="Separador de milhares 47 3" xfId="28716" xr:uid="{BCE5B19C-CC8D-499D-BBBA-C47BD3797AD2}"/>
    <cellStyle name="Separador de milhares 48" xfId="19193" xr:uid="{00000000-0005-0000-0000-0000A4540000}"/>
    <cellStyle name="Separador de milhares 48 2" xfId="19194" xr:uid="{00000000-0005-0000-0000-0000A5540000}"/>
    <cellStyle name="Separador de milhares 48 2 2" xfId="28719" xr:uid="{DA1972B3-296F-44F0-AC0A-688BC612097B}"/>
    <cellStyle name="Separador de milhares 48 3" xfId="28718" xr:uid="{282E245A-0FFE-4A84-BEB2-B41D1198AFEB}"/>
    <cellStyle name="Separador de milhares 49" xfId="19195" xr:uid="{00000000-0005-0000-0000-0000A6540000}"/>
    <cellStyle name="Separador de milhares 49 2" xfId="19196" xr:uid="{00000000-0005-0000-0000-0000A7540000}"/>
    <cellStyle name="Separador de milhares 49 2 2" xfId="28721" xr:uid="{761E3865-F5D7-4221-8D8B-D56BAE8A34A7}"/>
    <cellStyle name="Separador de milhares 49 3" xfId="28720" xr:uid="{90B81DD5-3251-4D06-86C6-9CF6DB3B2990}"/>
    <cellStyle name="Separador de milhares 5" xfId="799" xr:uid="{00000000-0005-0000-0000-0000A8540000}"/>
    <cellStyle name="Separador de milhares 5 10" xfId="19197" xr:uid="{00000000-0005-0000-0000-0000A9540000}"/>
    <cellStyle name="Separador de milhares 5 11" xfId="19198" xr:uid="{00000000-0005-0000-0000-0000AA540000}"/>
    <cellStyle name="Separador de milhares 5 11 2" xfId="19199" xr:uid="{00000000-0005-0000-0000-0000AB540000}"/>
    <cellStyle name="Separador de milhares 5 11 3" xfId="19200" xr:uid="{00000000-0005-0000-0000-0000AC540000}"/>
    <cellStyle name="Separador de milhares 5 12" xfId="19201" xr:uid="{00000000-0005-0000-0000-0000AD540000}"/>
    <cellStyle name="Separador de milhares 5 12 2" xfId="19202" xr:uid="{00000000-0005-0000-0000-0000AE540000}"/>
    <cellStyle name="Separador de milhares 5 12 3" xfId="19203" xr:uid="{00000000-0005-0000-0000-0000AF540000}"/>
    <cellStyle name="Separador de milhares 5 13" xfId="19204" xr:uid="{00000000-0005-0000-0000-0000B0540000}"/>
    <cellStyle name="Separador de milhares 5 13 2" xfId="19205" xr:uid="{00000000-0005-0000-0000-0000B1540000}"/>
    <cellStyle name="Separador de milhares 5 13 3" xfId="19206" xr:uid="{00000000-0005-0000-0000-0000B2540000}"/>
    <cellStyle name="Separador de milhares 5 14" xfId="19207" xr:uid="{00000000-0005-0000-0000-0000B3540000}"/>
    <cellStyle name="Separador de milhares 5 14 2" xfId="19208" xr:uid="{00000000-0005-0000-0000-0000B4540000}"/>
    <cellStyle name="Separador de milhares 5 14 3" xfId="19209" xr:uid="{00000000-0005-0000-0000-0000B5540000}"/>
    <cellStyle name="Separador de milhares 5 14 4" xfId="19210" xr:uid="{00000000-0005-0000-0000-0000B6540000}"/>
    <cellStyle name="Separador de milhares 5 15" xfId="19211" xr:uid="{00000000-0005-0000-0000-0000B7540000}"/>
    <cellStyle name="Separador de milhares 5 15 10" xfId="19212" xr:uid="{00000000-0005-0000-0000-0000B8540000}"/>
    <cellStyle name="Separador de milhares 5 15 11" xfId="19213" xr:uid="{00000000-0005-0000-0000-0000B9540000}"/>
    <cellStyle name="Separador de milhares 5 15 12" xfId="19214" xr:uid="{00000000-0005-0000-0000-0000BA540000}"/>
    <cellStyle name="Separador de milhares 5 15 13" xfId="19215" xr:uid="{00000000-0005-0000-0000-0000BB540000}"/>
    <cellStyle name="Separador de milhares 5 15 14" xfId="19216" xr:uid="{00000000-0005-0000-0000-0000BC540000}"/>
    <cellStyle name="Separador de milhares 5 15 15" xfId="19217" xr:uid="{00000000-0005-0000-0000-0000BD540000}"/>
    <cellStyle name="Separador de milhares 5 15 16" xfId="19218" xr:uid="{00000000-0005-0000-0000-0000BE540000}"/>
    <cellStyle name="Separador de milhares 5 15 17" xfId="19219" xr:uid="{00000000-0005-0000-0000-0000BF540000}"/>
    <cellStyle name="Separador de milhares 5 15 18" xfId="19220" xr:uid="{00000000-0005-0000-0000-0000C0540000}"/>
    <cellStyle name="Separador de milhares 5 15 19" xfId="19221" xr:uid="{00000000-0005-0000-0000-0000C1540000}"/>
    <cellStyle name="Separador de milhares 5 15 2" xfId="19222" xr:uid="{00000000-0005-0000-0000-0000C2540000}"/>
    <cellStyle name="Separador de milhares 5 15 2 10" xfId="19223" xr:uid="{00000000-0005-0000-0000-0000C3540000}"/>
    <cellStyle name="Separador de milhares 5 15 2 11" xfId="19224" xr:uid="{00000000-0005-0000-0000-0000C4540000}"/>
    <cellStyle name="Separador de milhares 5 15 2 12" xfId="19225" xr:uid="{00000000-0005-0000-0000-0000C5540000}"/>
    <cellStyle name="Separador de milhares 5 15 2 13" xfId="19226" xr:uid="{00000000-0005-0000-0000-0000C6540000}"/>
    <cellStyle name="Separador de milhares 5 15 2 14" xfId="19227" xr:uid="{00000000-0005-0000-0000-0000C7540000}"/>
    <cellStyle name="Separador de milhares 5 15 2 15" xfId="19228" xr:uid="{00000000-0005-0000-0000-0000C8540000}"/>
    <cellStyle name="Separador de milhares 5 15 2 16" xfId="19229" xr:uid="{00000000-0005-0000-0000-0000C9540000}"/>
    <cellStyle name="Separador de milhares 5 15 2 17" xfId="19230" xr:uid="{00000000-0005-0000-0000-0000CA540000}"/>
    <cellStyle name="Separador de milhares 5 15 2 18" xfId="19231" xr:uid="{00000000-0005-0000-0000-0000CB540000}"/>
    <cellStyle name="Separador de milhares 5 15 2 19" xfId="19232" xr:uid="{00000000-0005-0000-0000-0000CC540000}"/>
    <cellStyle name="Separador de milhares 5 15 2 2" xfId="19233" xr:uid="{00000000-0005-0000-0000-0000CD540000}"/>
    <cellStyle name="Separador de milhares 5 15 2 2 10" xfId="19234" xr:uid="{00000000-0005-0000-0000-0000CE540000}"/>
    <cellStyle name="Separador de milhares 5 15 2 2 11" xfId="19235" xr:uid="{00000000-0005-0000-0000-0000CF540000}"/>
    <cellStyle name="Separador de milhares 5 15 2 2 12" xfId="19236" xr:uid="{00000000-0005-0000-0000-0000D0540000}"/>
    <cellStyle name="Separador de milhares 5 15 2 2 13" xfId="19237" xr:uid="{00000000-0005-0000-0000-0000D1540000}"/>
    <cellStyle name="Separador de milhares 5 15 2 2 14" xfId="19238" xr:uid="{00000000-0005-0000-0000-0000D2540000}"/>
    <cellStyle name="Separador de milhares 5 15 2 2 15" xfId="19239" xr:uid="{00000000-0005-0000-0000-0000D3540000}"/>
    <cellStyle name="Separador de milhares 5 15 2 2 16" xfId="19240" xr:uid="{00000000-0005-0000-0000-0000D4540000}"/>
    <cellStyle name="Separador de milhares 5 15 2 2 17" xfId="19241" xr:uid="{00000000-0005-0000-0000-0000D5540000}"/>
    <cellStyle name="Separador de milhares 5 15 2 2 18" xfId="19242" xr:uid="{00000000-0005-0000-0000-0000D6540000}"/>
    <cellStyle name="Separador de milhares 5 15 2 2 19" xfId="19243" xr:uid="{00000000-0005-0000-0000-0000D7540000}"/>
    <cellStyle name="Separador de milhares 5 15 2 2 2" xfId="19244" xr:uid="{00000000-0005-0000-0000-0000D8540000}"/>
    <cellStyle name="Separador de milhares 5 15 2 2 20" xfId="19245" xr:uid="{00000000-0005-0000-0000-0000D9540000}"/>
    <cellStyle name="Separador de milhares 5 15 2 2 21" xfId="19246" xr:uid="{00000000-0005-0000-0000-0000DA540000}"/>
    <cellStyle name="Separador de milhares 5 15 2 2 3" xfId="19247" xr:uid="{00000000-0005-0000-0000-0000DB540000}"/>
    <cellStyle name="Separador de milhares 5 15 2 2 4" xfId="19248" xr:uid="{00000000-0005-0000-0000-0000DC540000}"/>
    <cellStyle name="Separador de milhares 5 15 2 2 5" xfId="19249" xr:uid="{00000000-0005-0000-0000-0000DD540000}"/>
    <cellStyle name="Separador de milhares 5 15 2 2 6" xfId="19250" xr:uid="{00000000-0005-0000-0000-0000DE540000}"/>
    <cellStyle name="Separador de milhares 5 15 2 2 7" xfId="19251" xr:uid="{00000000-0005-0000-0000-0000DF540000}"/>
    <cellStyle name="Separador de milhares 5 15 2 2 8" xfId="19252" xr:uid="{00000000-0005-0000-0000-0000E0540000}"/>
    <cellStyle name="Separador de milhares 5 15 2 2 9" xfId="19253" xr:uid="{00000000-0005-0000-0000-0000E1540000}"/>
    <cellStyle name="Separador de milhares 5 15 2 20" xfId="19254" xr:uid="{00000000-0005-0000-0000-0000E2540000}"/>
    <cellStyle name="Separador de milhares 5 15 2 21" xfId="19255" xr:uid="{00000000-0005-0000-0000-0000E3540000}"/>
    <cellStyle name="Separador de milhares 5 15 2 22" xfId="19256" xr:uid="{00000000-0005-0000-0000-0000E4540000}"/>
    <cellStyle name="Separador de milhares 5 15 2 23" xfId="19257" xr:uid="{00000000-0005-0000-0000-0000E5540000}"/>
    <cellStyle name="Separador de milhares 5 15 2 24" xfId="19258" xr:uid="{00000000-0005-0000-0000-0000E6540000}"/>
    <cellStyle name="Separador de milhares 5 15 2 25" xfId="19259" xr:uid="{00000000-0005-0000-0000-0000E7540000}"/>
    <cellStyle name="Separador de milhares 5 15 2 26" xfId="19260" xr:uid="{00000000-0005-0000-0000-0000E8540000}"/>
    <cellStyle name="Separador de milhares 5 15 2 27" xfId="19261" xr:uid="{00000000-0005-0000-0000-0000E9540000}"/>
    <cellStyle name="Separador de milhares 5 15 2 28" xfId="19262" xr:uid="{00000000-0005-0000-0000-0000EA540000}"/>
    <cellStyle name="Separador de milhares 5 15 2 29" xfId="19263" xr:uid="{00000000-0005-0000-0000-0000EB540000}"/>
    <cellStyle name="Separador de milhares 5 15 2 3" xfId="19264" xr:uid="{00000000-0005-0000-0000-0000EC540000}"/>
    <cellStyle name="Separador de milhares 5 15 2 30" xfId="19265" xr:uid="{00000000-0005-0000-0000-0000ED540000}"/>
    <cellStyle name="Separador de milhares 5 15 2 31" xfId="19266" xr:uid="{00000000-0005-0000-0000-0000EE540000}"/>
    <cellStyle name="Separador de milhares 5 15 2 32" xfId="19267" xr:uid="{00000000-0005-0000-0000-0000EF540000}"/>
    <cellStyle name="Separador de milhares 5 15 2 4" xfId="19268" xr:uid="{00000000-0005-0000-0000-0000F0540000}"/>
    <cellStyle name="Separador de milhares 5 15 2 4 2" xfId="19269" xr:uid="{00000000-0005-0000-0000-0000F1540000}"/>
    <cellStyle name="Separador de milhares 5 15 2 4 3" xfId="19270" xr:uid="{00000000-0005-0000-0000-0000F2540000}"/>
    <cellStyle name="Separador de milhares 5 15 2 4 4" xfId="19271" xr:uid="{00000000-0005-0000-0000-0000F3540000}"/>
    <cellStyle name="Separador de milhares 5 15 2 5" xfId="19272" xr:uid="{00000000-0005-0000-0000-0000F4540000}"/>
    <cellStyle name="Separador de milhares 5 15 2 6" xfId="19273" xr:uid="{00000000-0005-0000-0000-0000F5540000}"/>
    <cellStyle name="Separador de milhares 5 15 2 7" xfId="19274" xr:uid="{00000000-0005-0000-0000-0000F6540000}"/>
    <cellStyle name="Separador de milhares 5 15 2 8" xfId="19275" xr:uid="{00000000-0005-0000-0000-0000F7540000}"/>
    <cellStyle name="Separador de milhares 5 15 2 9" xfId="19276" xr:uid="{00000000-0005-0000-0000-0000F8540000}"/>
    <cellStyle name="Separador de milhares 5 15 20" xfId="19277" xr:uid="{00000000-0005-0000-0000-0000F9540000}"/>
    <cellStyle name="Separador de milhares 5 15 21" xfId="19278" xr:uid="{00000000-0005-0000-0000-0000FA540000}"/>
    <cellStyle name="Separador de milhares 5 15 22" xfId="19279" xr:uid="{00000000-0005-0000-0000-0000FB540000}"/>
    <cellStyle name="Separador de milhares 5 15 23" xfId="19280" xr:uid="{00000000-0005-0000-0000-0000FC540000}"/>
    <cellStyle name="Separador de milhares 5 15 24" xfId="19281" xr:uid="{00000000-0005-0000-0000-0000FD540000}"/>
    <cellStyle name="Separador de milhares 5 15 25" xfId="19282" xr:uid="{00000000-0005-0000-0000-0000FE540000}"/>
    <cellStyle name="Separador de milhares 5 15 26" xfId="19283" xr:uid="{00000000-0005-0000-0000-0000FF540000}"/>
    <cellStyle name="Separador de milhares 5 15 27" xfId="19284" xr:uid="{00000000-0005-0000-0000-000000550000}"/>
    <cellStyle name="Separador de milhares 5 15 28" xfId="19285" xr:uid="{00000000-0005-0000-0000-000001550000}"/>
    <cellStyle name="Separador de milhares 5 15 29" xfId="19286" xr:uid="{00000000-0005-0000-0000-000002550000}"/>
    <cellStyle name="Separador de milhares 5 15 3" xfId="19287" xr:uid="{00000000-0005-0000-0000-000003550000}"/>
    <cellStyle name="Separador de milhares 5 15 3 10" xfId="19288" xr:uid="{00000000-0005-0000-0000-000004550000}"/>
    <cellStyle name="Separador de milhares 5 15 3 11" xfId="19289" xr:uid="{00000000-0005-0000-0000-000005550000}"/>
    <cellStyle name="Separador de milhares 5 15 3 12" xfId="19290" xr:uid="{00000000-0005-0000-0000-000006550000}"/>
    <cellStyle name="Separador de milhares 5 15 3 13" xfId="19291" xr:uid="{00000000-0005-0000-0000-000007550000}"/>
    <cellStyle name="Separador de milhares 5 15 3 14" xfId="19292" xr:uid="{00000000-0005-0000-0000-000008550000}"/>
    <cellStyle name="Separador de milhares 5 15 3 15" xfId="19293" xr:uid="{00000000-0005-0000-0000-000009550000}"/>
    <cellStyle name="Separador de milhares 5 15 3 16" xfId="19294" xr:uid="{00000000-0005-0000-0000-00000A550000}"/>
    <cellStyle name="Separador de milhares 5 15 3 17" xfId="19295" xr:uid="{00000000-0005-0000-0000-00000B550000}"/>
    <cellStyle name="Separador de milhares 5 15 3 18" xfId="19296" xr:uid="{00000000-0005-0000-0000-00000C550000}"/>
    <cellStyle name="Separador de milhares 5 15 3 19" xfId="19297" xr:uid="{00000000-0005-0000-0000-00000D550000}"/>
    <cellStyle name="Separador de milhares 5 15 3 2" xfId="19298" xr:uid="{00000000-0005-0000-0000-00000E550000}"/>
    <cellStyle name="Separador de milhares 5 15 3 20" xfId="19299" xr:uid="{00000000-0005-0000-0000-00000F550000}"/>
    <cellStyle name="Separador de milhares 5 15 3 21" xfId="19300" xr:uid="{00000000-0005-0000-0000-000010550000}"/>
    <cellStyle name="Separador de milhares 5 15 3 22" xfId="19301" xr:uid="{00000000-0005-0000-0000-000011550000}"/>
    <cellStyle name="Separador de milhares 5 15 3 23" xfId="19302" xr:uid="{00000000-0005-0000-0000-000012550000}"/>
    <cellStyle name="Separador de milhares 5 15 3 24" xfId="19303" xr:uid="{00000000-0005-0000-0000-000013550000}"/>
    <cellStyle name="Separador de milhares 5 15 3 25" xfId="19304" xr:uid="{00000000-0005-0000-0000-000014550000}"/>
    <cellStyle name="Separador de milhares 5 15 3 26" xfId="19305" xr:uid="{00000000-0005-0000-0000-000015550000}"/>
    <cellStyle name="Separador de milhares 5 15 3 27" xfId="19306" xr:uid="{00000000-0005-0000-0000-000016550000}"/>
    <cellStyle name="Separador de milhares 5 15 3 28" xfId="19307" xr:uid="{00000000-0005-0000-0000-000017550000}"/>
    <cellStyle name="Separador de milhares 5 15 3 29" xfId="19308" xr:uid="{00000000-0005-0000-0000-000018550000}"/>
    <cellStyle name="Separador de milhares 5 15 3 3" xfId="19309" xr:uid="{00000000-0005-0000-0000-000019550000}"/>
    <cellStyle name="Separador de milhares 5 15 3 30" xfId="19310" xr:uid="{00000000-0005-0000-0000-00001A550000}"/>
    <cellStyle name="Separador de milhares 5 15 3 31" xfId="19311" xr:uid="{00000000-0005-0000-0000-00001B550000}"/>
    <cellStyle name="Separador de milhares 5 15 3 4" xfId="19312" xr:uid="{00000000-0005-0000-0000-00001C550000}"/>
    <cellStyle name="Separador de milhares 5 15 3 5" xfId="19313" xr:uid="{00000000-0005-0000-0000-00001D550000}"/>
    <cellStyle name="Separador de milhares 5 15 3 6" xfId="19314" xr:uid="{00000000-0005-0000-0000-00001E550000}"/>
    <cellStyle name="Separador de milhares 5 15 3 7" xfId="19315" xr:uid="{00000000-0005-0000-0000-00001F550000}"/>
    <cellStyle name="Separador de milhares 5 15 3 8" xfId="19316" xr:uid="{00000000-0005-0000-0000-000020550000}"/>
    <cellStyle name="Separador de milhares 5 15 3 9" xfId="19317" xr:uid="{00000000-0005-0000-0000-000021550000}"/>
    <cellStyle name="Separador de milhares 5 15 30" xfId="19318" xr:uid="{00000000-0005-0000-0000-000022550000}"/>
    <cellStyle name="Separador de milhares 5 15 31" xfId="19319" xr:uid="{00000000-0005-0000-0000-000023550000}"/>
    <cellStyle name="Separador de milhares 5 15 32" xfId="19320" xr:uid="{00000000-0005-0000-0000-000024550000}"/>
    <cellStyle name="Separador de milhares 5 15 33" xfId="19321" xr:uid="{00000000-0005-0000-0000-000025550000}"/>
    <cellStyle name="Separador de milhares 5 15 34" xfId="19322" xr:uid="{00000000-0005-0000-0000-000026550000}"/>
    <cellStyle name="Separador de milhares 5 15 35" xfId="19323" xr:uid="{00000000-0005-0000-0000-000027550000}"/>
    <cellStyle name="Separador de milhares 5 15 36" xfId="19324" xr:uid="{00000000-0005-0000-0000-000028550000}"/>
    <cellStyle name="Separador de milhares 5 15 4" xfId="19325" xr:uid="{00000000-0005-0000-0000-000029550000}"/>
    <cellStyle name="Separador de milhares 5 15 5" xfId="19326" xr:uid="{00000000-0005-0000-0000-00002A550000}"/>
    <cellStyle name="Separador de milhares 5 15 6" xfId="19327" xr:uid="{00000000-0005-0000-0000-00002B550000}"/>
    <cellStyle name="Separador de milhares 5 15 6 2" xfId="19328" xr:uid="{00000000-0005-0000-0000-00002C550000}"/>
    <cellStyle name="Separador de milhares 5 15 6 3" xfId="19329" xr:uid="{00000000-0005-0000-0000-00002D550000}"/>
    <cellStyle name="Separador de milhares 5 15 6 4" xfId="19330" xr:uid="{00000000-0005-0000-0000-00002E550000}"/>
    <cellStyle name="Separador de milhares 5 15 7" xfId="19331" xr:uid="{00000000-0005-0000-0000-00002F550000}"/>
    <cellStyle name="Separador de milhares 5 15 8" xfId="19332" xr:uid="{00000000-0005-0000-0000-000030550000}"/>
    <cellStyle name="Separador de milhares 5 15 9" xfId="19333" xr:uid="{00000000-0005-0000-0000-000031550000}"/>
    <cellStyle name="Separador de milhares 5 16" xfId="19334" xr:uid="{00000000-0005-0000-0000-000032550000}"/>
    <cellStyle name="Separador de milhares 5 16 2" xfId="19335" xr:uid="{00000000-0005-0000-0000-000033550000}"/>
    <cellStyle name="Separador de milhares 5 16 3" xfId="19336" xr:uid="{00000000-0005-0000-0000-000034550000}"/>
    <cellStyle name="Separador de milhares 5 17" xfId="19337" xr:uid="{00000000-0005-0000-0000-000035550000}"/>
    <cellStyle name="Separador de milhares 5 17 2" xfId="19338" xr:uid="{00000000-0005-0000-0000-000036550000}"/>
    <cellStyle name="Separador de milhares 5 17 3" xfId="19339" xr:uid="{00000000-0005-0000-0000-000037550000}"/>
    <cellStyle name="Separador de milhares 5 18" xfId="19340" xr:uid="{00000000-0005-0000-0000-000038550000}"/>
    <cellStyle name="Separador de milhares 5 18 2" xfId="19341" xr:uid="{00000000-0005-0000-0000-000039550000}"/>
    <cellStyle name="Separador de milhares 5 18 3" xfId="19342" xr:uid="{00000000-0005-0000-0000-00003A550000}"/>
    <cellStyle name="Separador de milhares 5 19" xfId="19343" xr:uid="{00000000-0005-0000-0000-00003B550000}"/>
    <cellStyle name="Separador de milhares 5 2" xfId="800" xr:uid="{00000000-0005-0000-0000-00003C550000}"/>
    <cellStyle name="Separador de milhares 5 2 10" xfId="19345" xr:uid="{00000000-0005-0000-0000-00003D550000}"/>
    <cellStyle name="Separador de milhares 5 2 11" xfId="19346" xr:uid="{00000000-0005-0000-0000-00003E550000}"/>
    <cellStyle name="Separador de milhares 5 2 12" xfId="19347" xr:uid="{00000000-0005-0000-0000-00003F550000}"/>
    <cellStyle name="Separador de milhares 5 2 13" xfId="19348" xr:uid="{00000000-0005-0000-0000-000040550000}"/>
    <cellStyle name="Separador de milhares 5 2 14" xfId="19349" xr:uid="{00000000-0005-0000-0000-000041550000}"/>
    <cellStyle name="Separador de milhares 5 2 15" xfId="19344" xr:uid="{00000000-0005-0000-0000-000042550000}"/>
    <cellStyle name="Separador de milhares 5 2 15 2" xfId="28722" xr:uid="{59F6D547-15EB-4B4B-B06E-FED64666FC5F}"/>
    <cellStyle name="Separador de milhares 5 2 16" xfId="26004" xr:uid="{00000000-0005-0000-0000-000043550000}"/>
    <cellStyle name="Separador de milhares 5 2 16 2" xfId="32929" xr:uid="{41212DC8-CBE9-4A4B-801E-C1900CD30AF9}"/>
    <cellStyle name="Separador de milhares 5 2 17" xfId="27196" xr:uid="{00000000-0005-0000-0000-000044550000}"/>
    <cellStyle name="Separador de milhares 5 2 17 2" xfId="33038" xr:uid="{4757AFB2-E878-43C1-9D43-BA64879C693A}"/>
    <cellStyle name="Separador de milhares 5 2 18" xfId="27376" xr:uid="{00000000-0005-0000-0000-000045550000}"/>
    <cellStyle name="Separador de milhares 5 2 18 2" xfId="33213" xr:uid="{80FDA580-55C2-41C4-992C-872151CA8AF0}"/>
    <cellStyle name="Separador de milhares 5 2 19" xfId="27554" xr:uid="{00000000-0005-0000-0000-000046550000}"/>
    <cellStyle name="Separador de milhares 5 2 19 2" xfId="33366" xr:uid="{035DDD51-D38D-45A5-BC30-46686B3F61F9}"/>
    <cellStyle name="Separador de milhares 5 2 2" xfId="801" xr:uid="{00000000-0005-0000-0000-000047550000}"/>
    <cellStyle name="Separador de milhares 5 2 2 10" xfId="28035" xr:uid="{161CA678-B7DB-4528-A866-7127E46BE8B0}"/>
    <cellStyle name="Separador de milhares 5 2 2 2" xfId="19351" xr:uid="{00000000-0005-0000-0000-000048550000}"/>
    <cellStyle name="Separador de milhares 5 2 2 3" xfId="19352" xr:uid="{00000000-0005-0000-0000-000049550000}"/>
    <cellStyle name="Separador de milhares 5 2 2 4" xfId="19350" xr:uid="{00000000-0005-0000-0000-00004A550000}"/>
    <cellStyle name="Separador de milhares 5 2 2 4 2" xfId="28723" xr:uid="{908FA138-85F1-4846-96AF-DC6864BFF4E7}"/>
    <cellStyle name="Separador de milhares 5 2 2 5" xfId="27128" xr:uid="{00000000-0005-0000-0000-00004B550000}"/>
    <cellStyle name="Separador de milhares 5 2 2 5 2" xfId="32987" xr:uid="{2DFF4042-3E84-49FC-AC5D-5E6A58791AD1}"/>
    <cellStyle name="Separador de milhares 5 2 2 6" xfId="27316" xr:uid="{00000000-0005-0000-0000-00004C550000}"/>
    <cellStyle name="Separador de milhares 5 2 2 6 2" xfId="33153" xr:uid="{6BDBBFBC-93E7-41E5-A9A5-DACD74C15B28}"/>
    <cellStyle name="Separador de milhares 5 2 2 7" xfId="27487" xr:uid="{00000000-0005-0000-0000-00004D550000}"/>
    <cellStyle name="Separador de milhares 5 2 2 7 2" xfId="33324" xr:uid="{79A42AD3-7FC2-4997-BFD4-4D336811FAB7}"/>
    <cellStyle name="Separador de milhares 5 2 2 8" xfId="27656" xr:uid="{00000000-0005-0000-0000-00004E550000}"/>
    <cellStyle name="Separador de milhares 5 2 2 8 2" xfId="33467" xr:uid="{600551B8-B414-4FBF-9839-9EE97FBDC449}"/>
    <cellStyle name="Separador de milhares 5 2 2 9" xfId="27813" xr:uid="{00000000-0005-0000-0000-00004F550000}"/>
    <cellStyle name="Separador de milhares 5 2 2 9 2" xfId="33624" xr:uid="{49B2BE31-90B0-4CB0-9067-EEB88E62A963}"/>
    <cellStyle name="Separador de milhares 5 2 20" xfId="27705" xr:uid="{00000000-0005-0000-0000-000050550000}"/>
    <cellStyle name="Separador de milhares 5 2 20 2" xfId="33516" xr:uid="{91D56E8E-2494-43DE-94CD-DD29407776FD}"/>
    <cellStyle name="Separador de milhares 5 2 21" xfId="28034" xr:uid="{0F8C3482-2A31-492E-9A7E-675A5D50DF24}"/>
    <cellStyle name="Separador de milhares 5 2 3" xfId="19353" xr:uid="{00000000-0005-0000-0000-000051550000}"/>
    <cellStyle name="Separador de milhares 5 2 4" xfId="19354" xr:uid="{00000000-0005-0000-0000-000052550000}"/>
    <cellStyle name="Separador de milhares 5 2 5" xfId="19355" xr:uid="{00000000-0005-0000-0000-000053550000}"/>
    <cellStyle name="Separador de milhares 5 2 6" xfId="19356" xr:uid="{00000000-0005-0000-0000-000054550000}"/>
    <cellStyle name="Separador de milhares 5 2 7" xfId="19357" xr:uid="{00000000-0005-0000-0000-000055550000}"/>
    <cellStyle name="Separador de milhares 5 2 8" xfId="19358" xr:uid="{00000000-0005-0000-0000-000056550000}"/>
    <cellStyle name="Separador de milhares 5 2 9" xfId="19359" xr:uid="{00000000-0005-0000-0000-000057550000}"/>
    <cellStyle name="Separador de milhares 5 20" xfId="19360" xr:uid="{00000000-0005-0000-0000-000058550000}"/>
    <cellStyle name="Separador de milhares 5 21" xfId="19361" xr:uid="{00000000-0005-0000-0000-000059550000}"/>
    <cellStyle name="Separador de milhares 5 22" xfId="19362" xr:uid="{00000000-0005-0000-0000-00005A550000}"/>
    <cellStyle name="Separador de milhares 5 23" xfId="19363" xr:uid="{00000000-0005-0000-0000-00005B550000}"/>
    <cellStyle name="Separador de milhares 5 24" xfId="19364" xr:uid="{00000000-0005-0000-0000-00005C550000}"/>
    <cellStyle name="Separador de milhares 5 25" xfId="19365" xr:uid="{00000000-0005-0000-0000-00005D550000}"/>
    <cellStyle name="Separador de milhares 5 26" xfId="27195" xr:uid="{00000000-0005-0000-0000-00005E550000}"/>
    <cellStyle name="Separador de milhares 5 26 2" xfId="33037" xr:uid="{BADF7F4D-2A5B-43CE-9A94-42A17E97AECB}"/>
    <cellStyle name="Separador de milhares 5 27" xfId="27375" xr:uid="{00000000-0005-0000-0000-00005F550000}"/>
    <cellStyle name="Separador de milhares 5 27 2" xfId="33212" xr:uid="{AFE7FEEF-4E38-464B-B61A-7153142AF633}"/>
    <cellStyle name="Separador de milhares 5 28" xfId="27553" xr:uid="{00000000-0005-0000-0000-000060550000}"/>
    <cellStyle name="Separador de milhares 5 28 2" xfId="33365" xr:uid="{8CA425FB-A436-4E64-80C5-9BD916B3778D}"/>
    <cellStyle name="Separador de milhares 5 29" xfId="27704" xr:uid="{00000000-0005-0000-0000-000061550000}"/>
    <cellStyle name="Separador de milhares 5 29 2" xfId="33515" xr:uid="{58AEABD2-E66A-4246-ADFE-C58254D3F822}"/>
    <cellStyle name="Separador de milhares 5 3" xfId="802" xr:uid="{00000000-0005-0000-0000-000062550000}"/>
    <cellStyle name="Separador de milhares 5 3 10" xfId="19367" xr:uid="{00000000-0005-0000-0000-000063550000}"/>
    <cellStyle name="Separador de milhares 5 3 11" xfId="19368" xr:uid="{00000000-0005-0000-0000-000064550000}"/>
    <cellStyle name="Separador de milhares 5 3 12" xfId="19369" xr:uid="{00000000-0005-0000-0000-000065550000}"/>
    <cellStyle name="Separador de milhares 5 3 13" xfId="19370" xr:uid="{00000000-0005-0000-0000-000066550000}"/>
    <cellStyle name="Separador de milhares 5 3 14" xfId="19371" xr:uid="{00000000-0005-0000-0000-000067550000}"/>
    <cellStyle name="Separador de milhares 5 3 15" xfId="19372" xr:uid="{00000000-0005-0000-0000-000068550000}"/>
    <cellStyle name="Separador de milhares 5 3 16" xfId="19366" xr:uid="{00000000-0005-0000-0000-000069550000}"/>
    <cellStyle name="Separador de milhares 5 3 16 2" xfId="28724" xr:uid="{D2DF0576-931E-4534-9D1B-7330D7E4CB75}"/>
    <cellStyle name="Separador de milhares 5 3 17" xfId="26005" xr:uid="{00000000-0005-0000-0000-00006A550000}"/>
    <cellStyle name="Separador de milhares 5 3 17 2" xfId="32930" xr:uid="{5A77CEA5-1656-40F9-A247-BA3C0AC0039C}"/>
    <cellStyle name="Separador de milhares 5 3 18" xfId="27197" xr:uid="{00000000-0005-0000-0000-00006B550000}"/>
    <cellStyle name="Separador de milhares 5 3 18 2" xfId="33039" xr:uid="{0A2BA5FC-1BD2-4A34-9013-ECF2FFC61D47}"/>
    <cellStyle name="Separador de milhares 5 3 19" xfId="27377" xr:uid="{00000000-0005-0000-0000-00006C550000}"/>
    <cellStyle name="Separador de milhares 5 3 19 2" xfId="33214" xr:uid="{FAC5ADC1-4FAA-4446-8CF9-2519D9CF43D7}"/>
    <cellStyle name="Separador de milhares 5 3 2" xfId="19373" xr:uid="{00000000-0005-0000-0000-00006D550000}"/>
    <cellStyle name="Separador de milhares 5 3 2 10" xfId="19374" xr:uid="{00000000-0005-0000-0000-00006E550000}"/>
    <cellStyle name="Separador de milhares 5 3 2 11" xfId="19375" xr:uid="{00000000-0005-0000-0000-00006F550000}"/>
    <cellStyle name="Separador de milhares 5 3 2 12" xfId="19376" xr:uid="{00000000-0005-0000-0000-000070550000}"/>
    <cellStyle name="Separador de milhares 5 3 2 13" xfId="19377" xr:uid="{00000000-0005-0000-0000-000071550000}"/>
    <cellStyle name="Separador de milhares 5 3 2 14" xfId="19378" xr:uid="{00000000-0005-0000-0000-000072550000}"/>
    <cellStyle name="Separador de milhares 5 3 2 15" xfId="27129" xr:uid="{00000000-0005-0000-0000-000073550000}"/>
    <cellStyle name="Separador de milhares 5 3 2 15 2" xfId="32988" xr:uid="{4689B64C-519C-4A40-9D86-3DAC10AEC154}"/>
    <cellStyle name="Separador de milhares 5 3 2 16" xfId="27317" xr:uid="{00000000-0005-0000-0000-000074550000}"/>
    <cellStyle name="Separador de milhares 5 3 2 16 2" xfId="33154" xr:uid="{BB486F85-34FD-4AFB-8F2B-9356FC8A2E1F}"/>
    <cellStyle name="Separador de milhares 5 3 2 17" xfId="27488" xr:uid="{00000000-0005-0000-0000-000075550000}"/>
    <cellStyle name="Separador de milhares 5 3 2 17 2" xfId="33325" xr:uid="{2227B034-D8E3-4C79-A583-F580E550ECE5}"/>
    <cellStyle name="Separador de milhares 5 3 2 18" xfId="27657" xr:uid="{00000000-0005-0000-0000-000076550000}"/>
    <cellStyle name="Separador de milhares 5 3 2 18 2" xfId="33468" xr:uid="{69775688-D8AB-48D0-8501-32B9EB323E07}"/>
    <cellStyle name="Separador de milhares 5 3 2 19" xfId="27814" xr:uid="{00000000-0005-0000-0000-000077550000}"/>
    <cellStyle name="Separador de milhares 5 3 2 19 2" xfId="33625" xr:uid="{C4F4C41F-A769-4A03-B211-57D9A50D86E6}"/>
    <cellStyle name="Separador de milhares 5 3 2 2" xfId="19379" xr:uid="{00000000-0005-0000-0000-000078550000}"/>
    <cellStyle name="Separador de milhares 5 3 2 2 10" xfId="19380" xr:uid="{00000000-0005-0000-0000-000079550000}"/>
    <cellStyle name="Separador de milhares 5 3 2 2 2" xfId="19381" xr:uid="{00000000-0005-0000-0000-00007A550000}"/>
    <cellStyle name="Separador de milhares 5 3 2 2 3" xfId="19382" xr:uid="{00000000-0005-0000-0000-00007B550000}"/>
    <cellStyle name="Separador de milhares 5 3 2 2 4" xfId="19383" xr:uid="{00000000-0005-0000-0000-00007C550000}"/>
    <cellStyle name="Separador de milhares 5 3 2 2 5" xfId="19384" xr:uid="{00000000-0005-0000-0000-00007D550000}"/>
    <cellStyle name="Separador de milhares 5 3 2 2 6" xfId="19385" xr:uid="{00000000-0005-0000-0000-00007E550000}"/>
    <cellStyle name="Separador de milhares 5 3 2 2 7" xfId="19386" xr:uid="{00000000-0005-0000-0000-00007F550000}"/>
    <cellStyle name="Separador de milhares 5 3 2 2 8" xfId="19387" xr:uid="{00000000-0005-0000-0000-000080550000}"/>
    <cellStyle name="Separador de milhares 5 3 2 2 9" xfId="19388" xr:uid="{00000000-0005-0000-0000-000081550000}"/>
    <cellStyle name="Separador de milhares 5 3 2 3" xfId="19389" xr:uid="{00000000-0005-0000-0000-000082550000}"/>
    <cellStyle name="Separador de milhares 5 3 2 3 10" xfId="19390" xr:uid="{00000000-0005-0000-0000-000083550000}"/>
    <cellStyle name="Separador de milhares 5 3 2 3 2" xfId="19391" xr:uid="{00000000-0005-0000-0000-000084550000}"/>
    <cellStyle name="Separador de milhares 5 3 2 3 3" xfId="19392" xr:uid="{00000000-0005-0000-0000-000085550000}"/>
    <cellStyle name="Separador de milhares 5 3 2 3 4" xfId="19393" xr:uid="{00000000-0005-0000-0000-000086550000}"/>
    <cellStyle name="Separador de milhares 5 3 2 3 5" xfId="19394" xr:uid="{00000000-0005-0000-0000-000087550000}"/>
    <cellStyle name="Separador de milhares 5 3 2 3 6" xfId="19395" xr:uid="{00000000-0005-0000-0000-000088550000}"/>
    <cellStyle name="Separador de milhares 5 3 2 3 7" xfId="19396" xr:uid="{00000000-0005-0000-0000-000089550000}"/>
    <cellStyle name="Separador de milhares 5 3 2 3 8" xfId="19397" xr:uid="{00000000-0005-0000-0000-00008A550000}"/>
    <cellStyle name="Separador de milhares 5 3 2 3 9" xfId="19398" xr:uid="{00000000-0005-0000-0000-00008B550000}"/>
    <cellStyle name="Separador de milhares 5 3 2 4" xfId="19399" xr:uid="{00000000-0005-0000-0000-00008C550000}"/>
    <cellStyle name="Separador de milhares 5 3 2 5" xfId="19400" xr:uid="{00000000-0005-0000-0000-00008D550000}"/>
    <cellStyle name="Separador de milhares 5 3 2 6" xfId="19401" xr:uid="{00000000-0005-0000-0000-00008E550000}"/>
    <cellStyle name="Separador de milhares 5 3 2 7" xfId="19402" xr:uid="{00000000-0005-0000-0000-00008F550000}"/>
    <cellStyle name="Separador de milhares 5 3 2 8" xfId="19403" xr:uid="{00000000-0005-0000-0000-000090550000}"/>
    <cellStyle name="Separador de milhares 5 3 2 9" xfId="19404" xr:uid="{00000000-0005-0000-0000-000091550000}"/>
    <cellStyle name="Separador de milhares 5 3 20" xfId="27555" xr:uid="{00000000-0005-0000-0000-000092550000}"/>
    <cellStyle name="Separador de milhares 5 3 20 2" xfId="33367" xr:uid="{ED8680C3-B5BE-4D5B-944B-856DE5B10A8A}"/>
    <cellStyle name="Separador de milhares 5 3 21" xfId="27706" xr:uid="{00000000-0005-0000-0000-000093550000}"/>
    <cellStyle name="Separador de milhares 5 3 21 2" xfId="33517" xr:uid="{2CCCCC86-A358-4081-BA0B-338ADE0FA9BE}"/>
    <cellStyle name="Separador de milhares 5 3 22" xfId="28036" xr:uid="{5DC8CF6A-7DF3-4E75-9042-A484847015C8}"/>
    <cellStyle name="Separador de milhares 5 3 3" xfId="19405" xr:uid="{00000000-0005-0000-0000-000094550000}"/>
    <cellStyle name="Separador de milhares 5 3 3 10" xfId="19406" xr:uid="{00000000-0005-0000-0000-000095550000}"/>
    <cellStyle name="Separador de milhares 5 3 3 2" xfId="19407" xr:uid="{00000000-0005-0000-0000-000096550000}"/>
    <cellStyle name="Separador de milhares 5 3 3 3" xfId="19408" xr:uid="{00000000-0005-0000-0000-000097550000}"/>
    <cellStyle name="Separador de milhares 5 3 3 4" xfId="19409" xr:uid="{00000000-0005-0000-0000-000098550000}"/>
    <cellStyle name="Separador de milhares 5 3 3 5" xfId="19410" xr:uid="{00000000-0005-0000-0000-000099550000}"/>
    <cellStyle name="Separador de milhares 5 3 3 6" xfId="19411" xr:uid="{00000000-0005-0000-0000-00009A550000}"/>
    <cellStyle name="Separador de milhares 5 3 3 7" xfId="19412" xr:uid="{00000000-0005-0000-0000-00009B550000}"/>
    <cellStyle name="Separador de milhares 5 3 3 8" xfId="19413" xr:uid="{00000000-0005-0000-0000-00009C550000}"/>
    <cellStyle name="Separador de milhares 5 3 3 9" xfId="19414" xr:uid="{00000000-0005-0000-0000-00009D550000}"/>
    <cellStyle name="Separador de milhares 5 3 4" xfId="19415" xr:uid="{00000000-0005-0000-0000-00009E550000}"/>
    <cellStyle name="Separador de milhares 5 3 4 10" xfId="19416" xr:uid="{00000000-0005-0000-0000-00009F550000}"/>
    <cellStyle name="Separador de milhares 5 3 4 2" xfId="19417" xr:uid="{00000000-0005-0000-0000-0000A0550000}"/>
    <cellStyle name="Separador de milhares 5 3 4 3" xfId="19418" xr:uid="{00000000-0005-0000-0000-0000A1550000}"/>
    <cellStyle name="Separador de milhares 5 3 4 4" xfId="19419" xr:uid="{00000000-0005-0000-0000-0000A2550000}"/>
    <cellStyle name="Separador de milhares 5 3 4 5" xfId="19420" xr:uid="{00000000-0005-0000-0000-0000A3550000}"/>
    <cellStyle name="Separador de milhares 5 3 4 6" xfId="19421" xr:uid="{00000000-0005-0000-0000-0000A4550000}"/>
    <cellStyle name="Separador de milhares 5 3 4 7" xfId="19422" xr:uid="{00000000-0005-0000-0000-0000A5550000}"/>
    <cellStyle name="Separador de milhares 5 3 4 8" xfId="19423" xr:uid="{00000000-0005-0000-0000-0000A6550000}"/>
    <cellStyle name="Separador de milhares 5 3 4 9" xfId="19424" xr:uid="{00000000-0005-0000-0000-0000A7550000}"/>
    <cellStyle name="Separador de milhares 5 3 5" xfId="19425" xr:uid="{00000000-0005-0000-0000-0000A8550000}"/>
    <cellStyle name="Separador de milhares 5 3 6" xfId="19426" xr:uid="{00000000-0005-0000-0000-0000A9550000}"/>
    <cellStyle name="Separador de milhares 5 3 7" xfId="19427" xr:uid="{00000000-0005-0000-0000-0000AA550000}"/>
    <cellStyle name="Separador de milhares 5 3 8" xfId="19428" xr:uid="{00000000-0005-0000-0000-0000AB550000}"/>
    <cellStyle name="Separador de milhares 5 3 9" xfId="19429" xr:uid="{00000000-0005-0000-0000-0000AC550000}"/>
    <cellStyle name="Separador de milhares 5 30" xfId="28033" xr:uid="{526F3F6D-41B1-4F09-8F73-5C6A3CAAC96D}"/>
    <cellStyle name="Separador de milhares 5 4" xfId="803" xr:uid="{00000000-0005-0000-0000-0000AD550000}"/>
    <cellStyle name="Separador de milhares 5 4 10" xfId="19431" xr:uid="{00000000-0005-0000-0000-0000AE550000}"/>
    <cellStyle name="Separador de milhares 5 4 11" xfId="19432" xr:uid="{00000000-0005-0000-0000-0000AF550000}"/>
    <cellStyle name="Separador de milhares 5 4 12" xfId="19433" xr:uid="{00000000-0005-0000-0000-0000B0550000}"/>
    <cellStyle name="Separador de milhares 5 4 13" xfId="19434" xr:uid="{00000000-0005-0000-0000-0000B1550000}"/>
    <cellStyle name="Separador de milhares 5 4 14" xfId="19435" xr:uid="{00000000-0005-0000-0000-0000B2550000}"/>
    <cellStyle name="Separador de milhares 5 4 15" xfId="19436" xr:uid="{00000000-0005-0000-0000-0000B3550000}"/>
    <cellStyle name="Separador de milhares 5 4 16" xfId="19430" xr:uid="{00000000-0005-0000-0000-0000B4550000}"/>
    <cellStyle name="Separador de milhares 5 4 16 2" xfId="28725" xr:uid="{4704B599-FABD-4BE0-9377-C42952BCE7DB}"/>
    <cellStyle name="Separador de milhares 5 4 17" xfId="26006" xr:uid="{00000000-0005-0000-0000-0000B5550000}"/>
    <cellStyle name="Separador de milhares 5 4 17 2" xfId="32931" xr:uid="{5DC5228E-9BF2-4678-9F8C-5BD53842BCED}"/>
    <cellStyle name="Separador de milhares 5 4 18" xfId="27198" xr:uid="{00000000-0005-0000-0000-0000B6550000}"/>
    <cellStyle name="Separador de milhares 5 4 18 2" xfId="33040" xr:uid="{80F7405D-DE80-49BB-BE5E-B1CEC69D306D}"/>
    <cellStyle name="Separador de milhares 5 4 19" xfId="27378" xr:uid="{00000000-0005-0000-0000-0000B7550000}"/>
    <cellStyle name="Separador de milhares 5 4 19 2" xfId="33215" xr:uid="{8BE43938-A742-4D8E-8123-D058D59085F0}"/>
    <cellStyle name="Separador de milhares 5 4 2" xfId="19437" xr:uid="{00000000-0005-0000-0000-0000B8550000}"/>
    <cellStyle name="Separador de milhares 5 4 2 10" xfId="19438" xr:uid="{00000000-0005-0000-0000-0000B9550000}"/>
    <cellStyle name="Separador de milhares 5 4 2 11" xfId="19439" xr:uid="{00000000-0005-0000-0000-0000BA550000}"/>
    <cellStyle name="Separador de milhares 5 4 2 12" xfId="19440" xr:uid="{00000000-0005-0000-0000-0000BB550000}"/>
    <cellStyle name="Separador de milhares 5 4 2 13" xfId="19441" xr:uid="{00000000-0005-0000-0000-0000BC550000}"/>
    <cellStyle name="Separador de milhares 5 4 2 14" xfId="19442" xr:uid="{00000000-0005-0000-0000-0000BD550000}"/>
    <cellStyle name="Separador de milhares 5 4 2 15" xfId="27130" xr:uid="{00000000-0005-0000-0000-0000BE550000}"/>
    <cellStyle name="Separador de milhares 5 4 2 15 2" xfId="32989" xr:uid="{133B80BF-2339-4F52-99B2-54CA139A912A}"/>
    <cellStyle name="Separador de milhares 5 4 2 16" xfId="27318" xr:uid="{00000000-0005-0000-0000-0000BF550000}"/>
    <cellStyle name="Separador de milhares 5 4 2 16 2" xfId="33155" xr:uid="{BEB9B116-11EA-4E5D-84E2-9ADA540039D9}"/>
    <cellStyle name="Separador de milhares 5 4 2 17" xfId="27489" xr:uid="{00000000-0005-0000-0000-0000C0550000}"/>
    <cellStyle name="Separador de milhares 5 4 2 17 2" xfId="33326" xr:uid="{54A9AC0B-DBCB-4FF4-B29A-D79E1FA5CE45}"/>
    <cellStyle name="Separador de milhares 5 4 2 18" xfId="27658" xr:uid="{00000000-0005-0000-0000-0000C1550000}"/>
    <cellStyle name="Separador de milhares 5 4 2 18 2" xfId="33469" xr:uid="{14F40218-EB44-46A6-A315-F5B312FD7B2D}"/>
    <cellStyle name="Separador de milhares 5 4 2 19" xfId="27815" xr:uid="{00000000-0005-0000-0000-0000C2550000}"/>
    <cellStyle name="Separador de milhares 5 4 2 19 2" xfId="33626" xr:uid="{49E49D7E-BD82-4FD1-AECC-940D1567E9B7}"/>
    <cellStyle name="Separador de milhares 5 4 2 2" xfId="19443" xr:uid="{00000000-0005-0000-0000-0000C3550000}"/>
    <cellStyle name="Separador de milhares 5 4 2 2 10" xfId="19444" xr:uid="{00000000-0005-0000-0000-0000C4550000}"/>
    <cellStyle name="Separador de milhares 5 4 2 2 11" xfId="19445" xr:uid="{00000000-0005-0000-0000-0000C5550000}"/>
    <cellStyle name="Separador de milhares 5 4 2 2 12" xfId="19446" xr:uid="{00000000-0005-0000-0000-0000C6550000}"/>
    <cellStyle name="Separador de milhares 5 4 2 2 2" xfId="19447" xr:uid="{00000000-0005-0000-0000-0000C7550000}"/>
    <cellStyle name="Separador de milhares 5 4 2 2 3" xfId="19448" xr:uid="{00000000-0005-0000-0000-0000C8550000}"/>
    <cellStyle name="Separador de milhares 5 4 2 2 4" xfId="19449" xr:uid="{00000000-0005-0000-0000-0000C9550000}"/>
    <cellStyle name="Separador de milhares 5 4 2 2 5" xfId="19450" xr:uid="{00000000-0005-0000-0000-0000CA550000}"/>
    <cellStyle name="Separador de milhares 5 4 2 2 6" xfId="19451" xr:uid="{00000000-0005-0000-0000-0000CB550000}"/>
    <cellStyle name="Separador de milhares 5 4 2 2 7" xfId="19452" xr:uid="{00000000-0005-0000-0000-0000CC550000}"/>
    <cellStyle name="Separador de milhares 5 4 2 2 8" xfId="19453" xr:uid="{00000000-0005-0000-0000-0000CD550000}"/>
    <cellStyle name="Separador de milhares 5 4 2 2 9" xfId="19454" xr:uid="{00000000-0005-0000-0000-0000CE550000}"/>
    <cellStyle name="Separador de milhares 5 4 2 3" xfId="19455" xr:uid="{00000000-0005-0000-0000-0000CF550000}"/>
    <cellStyle name="Separador de milhares 5 4 2 3 10" xfId="19456" xr:uid="{00000000-0005-0000-0000-0000D0550000}"/>
    <cellStyle name="Separador de milhares 5 4 2 3 2" xfId="19457" xr:uid="{00000000-0005-0000-0000-0000D1550000}"/>
    <cellStyle name="Separador de milhares 5 4 2 3 3" xfId="19458" xr:uid="{00000000-0005-0000-0000-0000D2550000}"/>
    <cellStyle name="Separador de milhares 5 4 2 3 4" xfId="19459" xr:uid="{00000000-0005-0000-0000-0000D3550000}"/>
    <cellStyle name="Separador de milhares 5 4 2 3 5" xfId="19460" xr:uid="{00000000-0005-0000-0000-0000D4550000}"/>
    <cellStyle name="Separador de milhares 5 4 2 3 6" xfId="19461" xr:uid="{00000000-0005-0000-0000-0000D5550000}"/>
    <cellStyle name="Separador de milhares 5 4 2 3 7" xfId="19462" xr:uid="{00000000-0005-0000-0000-0000D6550000}"/>
    <cellStyle name="Separador de milhares 5 4 2 3 8" xfId="19463" xr:uid="{00000000-0005-0000-0000-0000D7550000}"/>
    <cellStyle name="Separador de milhares 5 4 2 3 9" xfId="19464" xr:uid="{00000000-0005-0000-0000-0000D8550000}"/>
    <cellStyle name="Separador de milhares 5 4 2 4" xfId="19465" xr:uid="{00000000-0005-0000-0000-0000D9550000}"/>
    <cellStyle name="Separador de milhares 5 4 2 5" xfId="19466" xr:uid="{00000000-0005-0000-0000-0000DA550000}"/>
    <cellStyle name="Separador de milhares 5 4 2 6" xfId="19467" xr:uid="{00000000-0005-0000-0000-0000DB550000}"/>
    <cellStyle name="Separador de milhares 5 4 2 7" xfId="19468" xr:uid="{00000000-0005-0000-0000-0000DC550000}"/>
    <cellStyle name="Separador de milhares 5 4 2 8" xfId="19469" xr:uid="{00000000-0005-0000-0000-0000DD550000}"/>
    <cellStyle name="Separador de milhares 5 4 2 9" xfId="19470" xr:uid="{00000000-0005-0000-0000-0000DE550000}"/>
    <cellStyle name="Separador de milhares 5 4 20" xfId="27556" xr:uid="{00000000-0005-0000-0000-0000DF550000}"/>
    <cellStyle name="Separador de milhares 5 4 20 2" xfId="33368" xr:uid="{9FAB3E06-6C1A-44AF-9D86-22E44DC5CCA6}"/>
    <cellStyle name="Separador de milhares 5 4 21" xfId="27707" xr:uid="{00000000-0005-0000-0000-0000E0550000}"/>
    <cellStyle name="Separador de milhares 5 4 21 2" xfId="33518" xr:uid="{A8AAD3EA-2B18-460B-9ECD-876B3A5E8D69}"/>
    <cellStyle name="Separador de milhares 5 4 22" xfId="28037" xr:uid="{4DC6F6D9-0866-4B19-84BA-5652A309BA68}"/>
    <cellStyle name="Separador de milhares 5 4 3" xfId="19471" xr:uid="{00000000-0005-0000-0000-0000E1550000}"/>
    <cellStyle name="Separador de milhares 5 4 3 10" xfId="19472" xr:uid="{00000000-0005-0000-0000-0000E2550000}"/>
    <cellStyle name="Separador de milhares 5 4 3 2" xfId="19473" xr:uid="{00000000-0005-0000-0000-0000E3550000}"/>
    <cellStyle name="Separador de milhares 5 4 3 3" xfId="19474" xr:uid="{00000000-0005-0000-0000-0000E4550000}"/>
    <cellStyle name="Separador de milhares 5 4 3 4" xfId="19475" xr:uid="{00000000-0005-0000-0000-0000E5550000}"/>
    <cellStyle name="Separador de milhares 5 4 3 5" xfId="19476" xr:uid="{00000000-0005-0000-0000-0000E6550000}"/>
    <cellStyle name="Separador de milhares 5 4 3 6" xfId="19477" xr:uid="{00000000-0005-0000-0000-0000E7550000}"/>
    <cellStyle name="Separador de milhares 5 4 3 7" xfId="19478" xr:uid="{00000000-0005-0000-0000-0000E8550000}"/>
    <cellStyle name="Separador de milhares 5 4 3 8" xfId="19479" xr:uid="{00000000-0005-0000-0000-0000E9550000}"/>
    <cellStyle name="Separador de milhares 5 4 3 9" xfId="19480" xr:uid="{00000000-0005-0000-0000-0000EA550000}"/>
    <cellStyle name="Separador de milhares 5 4 4" xfId="19481" xr:uid="{00000000-0005-0000-0000-0000EB550000}"/>
    <cellStyle name="Separador de milhares 5 4 4 10" xfId="19482" xr:uid="{00000000-0005-0000-0000-0000EC550000}"/>
    <cellStyle name="Separador de milhares 5 4 4 2" xfId="19483" xr:uid="{00000000-0005-0000-0000-0000ED550000}"/>
    <cellStyle name="Separador de milhares 5 4 4 3" xfId="19484" xr:uid="{00000000-0005-0000-0000-0000EE550000}"/>
    <cellStyle name="Separador de milhares 5 4 4 4" xfId="19485" xr:uid="{00000000-0005-0000-0000-0000EF550000}"/>
    <cellStyle name="Separador de milhares 5 4 4 5" xfId="19486" xr:uid="{00000000-0005-0000-0000-0000F0550000}"/>
    <cellStyle name="Separador de milhares 5 4 4 6" xfId="19487" xr:uid="{00000000-0005-0000-0000-0000F1550000}"/>
    <cellStyle name="Separador de milhares 5 4 4 7" xfId="19488" xr:uid="{00000000-0005-0000-0000-0000F2550000}"/>
    <cellStyle name="Separador de milhares 5 4 4 8" xfId="19489" xr:uid="{00000000-0005-0000-0000-0000F3550000}"/>
    <cellStyle name="Separador de milhares 5 4 4 9" xfId="19490" xr:uid="{00000000-0005-0000-0000-0000F4550000}"/>
    <cellStyle name="Separador de milhares 5 4 5" xfId="19491" xr:uid="{00000000-0005-0000-0000-0000F5550000}"/>
    <cellStyle name="Separador de milhares 5 4 6" xfId="19492" xr:uid="{00000000-0005-0000-0000-0000F6550000}"/>
    <cellStyle name="Separador de milhares 5 4 7" xfId="19493" xr:uid="{00000000-0005-0000-0000-0000F7550000}"/>
    <cellStyle name="Separador de milhares 5 4 8" xfId="19494" xr:uid="{00000000-0005-0000-0000-0000F8550000}"/>
    <cellStyle name="Separador de milhares 5 4 9" xfId="19495" xr:uid="{00000000-0005-0000-0000-0000F9550000}"/>
    <cellStyle name="Separador de milhares 5 5" xfId="804" xr:uid="{00000000-0005-0000-0000-0000FA550000}"/>
    <cellStyle name="Separador de milhares 5 5 10" xfId="19497" xr:uid="{00000000-0005-0000-0000-0000FB550000}"/>
    <cellStyle name="Separador de milhares 5 5 11" xfId="19498" xr:uid="{00000000-0005-0000-0000-0000FC550000}"/>
    <cellStyle name="Separador de milhares 5 5 12" xfId="19499" xr:uid="{00000000-0005-0000-0000-0000FD550000}"/>
    <cellStyle name="Separador de milhares 5 5 13" xfId="19500" xr:uid="{00000000-0005-0000-0000-0000FE550000}"/>
    <cellStyle name="Separador de milhares 5 5 14" xfId="19501" xr:uid="{00000000-0005-0000-0000-0000FF550000}"/>
    <cellStyle name="Separador de milhares 5 5 15" xfId="19502" xr:uid="{00000000-0005-0000-0000-000000560000}"/>
    <cellStyle name="Separador de milhares 5 5 16" xfId="19496" xr:uid="{00000000-0005-0000-0000-000001560000}"/>
    <cellStyle name="Separador de milhares 5 5 16 2" xfId="28726" xr:uid="{8E87AB67-DBDB-4F48-A121-051A0F55488C}"/>
    <cellStyle name="Separador de milhares 5 5 17" xfId="27127" xr:uid="{00000000-0005-0000-0000-000002560000}"/>
    <cellStyle name="Separador de milhares 5 5 17 2" xfId="32986" xr:uid="{2185B461-CE79-4BC3-9701-241F0BCA1018}"/>
    <cellStyle name="Separador de milhares 5 5 18" xfId="27315" xr:uid="{00000000-0005-0000-0000-000003560000}"/>
    <cellStyle name="Separador de milhares 5 5 18 2" xfId="33152" xr:uid="{1893FE9B-D087-4D42-83FA-B9D299D944E3}"/>
    <cellStyle name="Separador de milhares 5 5 19" xfId="27486" xr:uid="{00000000-0005-0000-0000-000004560000}"/>
    <cellStyle name="Separador de milhares 5 5 19 2" xfId="33323" xr:uid="{2CDEAE08-1588-4875-8D60-2B6F90734044}"/>
    <cellStyle name="Separador de milhares 5 5 2" xfId="19503" xr:uid="{00000000-0005-0000-0000-000005560000}"/>
    <cellStyle name="Separador de milhares 5 5 2 10" xfId="19504" xr:uid="{00000000-0005-0000-0000-000006560000}"/>
    <cellStyle name="Separador de milhares 5 5 2 11" xfId="19505" xr:uid="{00000000-0005-0000-0000-000007560000}"/>
    <cellStyle name="Separador de milhares 5 5 2 12" xfId="19506" xr:uid="{00000000-0005-0000-0000-000008560000}"/>
    <cellStyle name="Separador de milhares 5 5 2 13" xfId="19507" xr:uid="{00000000-0005-0000-0000-000009560000}"/>
    <cellStyle name="Separador de milhares 5 5 2 14" xfId="19508" xr:uid="{00000000-0005-0000-0000-00000A560000}"/>
    <cellStyle name="Separador de milhares 5 5 2 2" xfId="19509" xr:uid="{00000000-0005-0000-0000-00000B560000}"/>
    <cellStyle name="Separador de milhares 5 5 2 2 10" xfId="19510" xr:uid="{00000000-0005-0000-0000-00000C560000}"/>
    <cellStyle name="Separador de milhares 5 5 2 2 2" xfId="19511" xr:uid="{00000000-0005-0000-0000-00000D560000}"/>
    <cellStyle name="Separador de milhares 5 5 2 2 3" xfId="19512" xr:uid="{00000000-0005-0000-0000-00000E560000}"/>
    <cellStyle name="Separador de milhares 5 5 2 2 4" xfId="19513" xr:uid="{00000000-0005-0000-0000-00000F560000}"/>
    <cellStyle name="Separador de milhares 5 5 2 2 5" xfId="19514" xr:uid="{00000000-0005-0000-0000-000010560000}"/>
    <cellStyle name="Separador de milhares 5 5 2 2 6" xfId="19515" xr:uid="{00000000-0005-0000-0000-000011560000}"/>
    <cellStyle name="Separador de milhares 5 5 2 2 7" xfId="19516" xr:uid="{00000000-0005-0000-0000-000012560000}"/>
    <cellStyle name="Separador de milhares 5 5 2 2 8" xfId="19517" xr:uid="{00000000-0005-0000-0000-000013560000}"/>
    <cellStyle name="Separador de milhares 5 5 2 2 9" xfId="19518" xr:uid="{00000000-0005-0000-0000-000014560000}"/>
    <cellStyle name="Separador de milhares 5 5 2 3" xfId="19519" xr:uid="{00000000-0005-0000-0000-000015560000}"/>
    <cellStyle name="Separador de milhares 5 5 2 3 10" xfId="19520" xr:uid="{00000000-0005-0000-0000-000016560000}"/>
    <cellStyle name="Separador de milhares 5 5 2 3 2" xfId="19521" xr:uid="{00000000-0005-0000-0000-000017560000}"/>
    <cellStyle name="Separador de milhares 5 5 2 3 3" xfId="19522" xr:uid="{00000000-0005-0000-0000-000018560000}"/>
    <cellStyle name="Separador de milhares 5 5 2 3 4" xfId="19523" xr:uid="{00000000-0005-0000-0000-000019560000}"/>
    <cellStyle name="Separador de milhares 5 5 2 3 5" xfId="19524" xr:uid="{00000000-0005-0000-0000-00001A560000}"/>
    <cellStyle name="Separador de milhares 5 5 2 3 6" xfId="19525" xr:uid="{00000000-0005-0000-0000-00001B560000}"/>
    <cellStyle name="Separador de milhares 5 5 2 3 7" xfId="19526" xr:uid="{00000000-0005-0000-0000-00001C560000}"/>
    <cellStyle name="Separador de milhares 5 5 2 3 8" xfId="19527" xr:uid="{00000000-0005-0000-0000-00001D560000}"/>
    <cellStyle name="Separador de milhares 5 5 2 3 9" xfId="19528" xr:uid="{00000000-0005-0000-0000-00001E560000}"/>
    <cellStyle name="Separador de milhares 5 5 2 4" xfId="19529" xr:uid="{00000000-0005-0000-0000-00001F560000}"/>
    <cellStyle name="Separador de milhares 5 5 2 5" xfId="19530" xr:uid="{00000000-0005-0000-0000-000020560000}"/>
    <cellStyle name="Separador de milhares 5 5 2 6" xfId="19531" xr:uid="{00000000-0005-0000-0000-000021560000}"/>
    <cellStyle name="Separador de milhares 5 5 2 7" xfId="19532" xr:uid="{00000000-0005-0000-0000-000022560000}"/>
    <cellStyle name="Separador de milhares 5 5 2 8" xfId="19533" xr:uid="{00000000-0005-0000-0000-000023560000}"/>
    <cellStyle name="Separador de milhares 5 5 2 9" xfId="19534" xr:uid="{00000000-0005-0000-0000-000024560000}"/>
    <cellStyle name="Separador de milhares 5 5 20" xfId="27655" xr:uid="{00000000-0005-0000-0000-000025560000}"/>
    <cellStyle name="Separador de milhares 5 5 20 2" xfId="33466" xr:uid="{A3A093A5-E263-4CA3-A24A-CF0DA6644CA7}"/>
    <cellStyle name="Separador de milhares 5 5 21" xfId="27812" xr:uid="{00000000-0005-0000-0000-000026560000}"/>
    <cellStyle name="Separador de milhares 5 5 21 2" xfId="33623" xr:uid="{AF8BF15B-8793-46AD-BF2E-84039C54936D}"/>
    <cellStyle name="Separador de milhares 5 5 3" xfId="19535" xr:uid="{00000000-0005-0000-0000-000027560000}"/>
    <cellStyle name="Separador de milhares 5 5 3 10" xfId="19536" xr:uid="{00000000-0005-0000-0000-000028560000}"/>
    <cellStyle name="Separador de milhares 5 5 3 11" xfId="19537" xr:uid="{00000000-0005-0000-0000-000029560000}"/>
    <cellStyle name="Separador de milhares 5 5 3 2" xfId="19538" xr:uid="{00000000-0005-0000-0000-00002A560000}"/>
    <cellStyle name="Separador de milhares 5 5 3 3" xfId="19539" xr:uid="{00000000-0005-0000-0000-00002B560000}"/>
    <cellStyle name="Separador de milhares 5 5 3 4" xfId="19540" xr:uid="{00000000-0005-0000-0000-00002C560000}"/>
    <cellStyle name="Separador de milhares 5 5 3 5" xfId="19541" xr:uid="{00000000-0005-0000-0000-00002D560000}"/>
    <cellStyle name="Separador de milhares 5 5 3 6" xfId="19542" xr:uid="{00000000-0005-0000-0000-00002E560000}"/>
    <cellStyle name="Separador de milhares 5 5 3 7" xfId="19543" xr:uid="{00000000-0005-0000-0000-00002F560000}"/>
    <cellStyle name="Separador de milhares 5 5 3 8" xfId="19544" xr:uid="{00000000-0005-0000-0000-000030560000}"/>
    <cellStyle name="Separador de milhares 5 5 3 9" xfId="19545" xr:uid="{00000000-0005-0000-0000-000031560000}"/>
    <cellStyle name="Separador de milhares 5 5 4" xfId="19546" xr:uid="{00000000-0005-0000-0000-000032560000}"/>
    <cellStyle name="Separador de milhares 5 5 4 10" xfId="19547" xr:uid="{00000000-0005-0000-0000-000033560000}"/>
    <cellStyle name="Separador de milhares 5 5 4 2" xfId="19548" xr:uid="{00000000-0005-0000-0000-000034560000}"/>
    <cellStyle name="Separador de milhares 5 5 4 3" xfId="19549" xr:uid="{00000000-0005-0000-0000-000035560000}"/>
    <cellStyle name="Separador de milhares 5 5 4 4" xfId="19550" xr:uid="{00000000-0005-0000-0000-000036560000}"/>
    <cellStyle name="Separador de milhares 5 5 4 5" xfId="19551" xr:uid="{00000000-0005-0000-0000-000037560000}"/>
    <cellStyle name="Separador de milhares 5 5 4 6" xfId="19552" xr:uid="{00000000-0005-0000-0000-000038560000}"/>
    <cellStyle name="Separador de milhares 5 5 4 7" xfId="19553" xr:uid="{00000000-0005-0000-0000-000039560000}"/>
    <cellStyle name="Separador de milhares 5 5 4 8" xfId="19554" xr:uid="{00000000-0005-0000-0000-00003A560000}"/>
    <cellStyle name="Separador de milhares 5 5 4 9" xfId="19555" xr:uid="{00000000-0005-0000-0000-00003B560000}"/>
    <cellStyle name="Separador de milhares 5 5 5" xfId="19556" xr:uid="{00000000-0005-0000-0000-00003C560000}"/>
    <cellStyle name="Separador de milhares 5 5 6" xfId="19557" xr:uid="{00000000-0005-0000-0000-00003D560000}"/>
    <cellStyle name="Separador de milhares 5 5 7" xfId="19558" xr:uid="{00000000-0005-0000-0000-00003E560000}"/>
    <cellStyle name="Separador de milhares 5 5 8" xfId="19559" xr:uid="{00000000-0005-0000-0000-00003F560000}"/>
    <cellStyle name="Separador de milhares 5 5 9" xfId="19560" xr:uid="{00000000-0005-0000-0000-000040560000}"/>
    <cellStyle name="Separador de milhares 5 6" xfId="805" xr:uid="{00000000-0005-0000-0000-000041560000}"/>
    <cellStyle name="Separador de milhares 5 6 10" xfId="19562" xr:uid="{00000000-0005-0000-0000-000042560000}"/>
    <cellStyle name="Separador de milhares 5 6 11" xfId="19563" xr:uid="{00000000-0005-0000-0000-000043560000}"/>
    <cellStyle name="Separador de milhares 5 6 12" xfId="19564" xr:uid="{00000000-0005-0000-0000-000044560000}"/>
    <cellStyle name="Separador de milhares 5 6 13" xfId="19565" xr:uid="{00000000-0005-0000-0000-000045560000}"/>
    <cellStyle name="Separador de milhares 5 6 14" xfId="19566" xr:uid="{00000000-0005-0000-0000-000046560000}"/>
    <cellStyle name="Separador de milhares 5 6 15" xfId="19561" xr:uid="{00000000-0005-0000-0000-000047560000}"/>
    <cellStyle name="Separador de milhares 5 6 15 2" xfId="28727" xr:uid="{0663D2A3-2C7E-4E0C-BF8D-50ECDD3923F3}"/>
    <cellStyle name="Separador de milhares 5 6 16" xfId="28038" xr:uid="{29312CA6-A3D3-4698-856C-2EEB41D1EF8D}"/>
    <cellStyle name="Separador de milhares 5 6 2" xfId="19567" xr:uid="{00000000-0005-0000-0000-000048560000}"/>
    <cellStyle name="Separador de milhares 5 6 2 10" xfId="19568" xr:uid="{00000000-0005-0000-0000-000049560000}"/>
    <cellStyle name="Separador de milhares 5 6 2 2" xfId="19569" xr:uid="{00000000-0005-0000-0000-00004A560000}"/>
    <cellStyle name="Separador de milhares 5 6 2 3" xfId="19570" xr:uid="{00000000-0005-0000-0000-00004B560000}"/>
    <cellStyle name="Separador de milhares 5 6 2 4" xfId="19571" xr:uid="{00000000-0005-0000-0000-00004C560000}"/>
    <cellStyle name="Separador de milhares 5 6 2 5" xfId="19572" xr:uid="{00000000-0005-0000-0000-00004D560000}"/>
    <cellStyle name="Separador de milhares 5 6 2 6" xfId="19573" xr:uid="{00000000-0005-0000-0000-00004E560000}"/>
    <cellStyle name="Separador de milhares 5 6 2 7" xfId="19574" xr:uid="{00000000-0005-0000-0000-00004F560000}"/>
    <cellStyle name="Separador de milhares 5 6 2 8" xfId="19575" xr:uid="{00000000-0005-0000-0000-000050560000}"/>
    <cellStyle name="Separador de milhares 5 6 2 9" xfId="19576" xr:uid="{00000000-0005-0000-0000-000051560000}"/>
    <cellStyle name="Separador de milhares 5 6 3" xfId="19577" xr:uid="{00000000-0005-0000-0000-000052560000}"/>
    <cellStyle name="Separador de milhares 5 6 3 10" xfId="19578" xr:uid="{00000000-0005-0000-0000-000053560000}"/>
    <cellStyle name="Separador de milhares 5 6 3 2" xfId="19579" xr:uid="{00000000-0005-0000-0000-000054560000}"/>
    <cellStyle name="Separador de milhares 5 6 3 3" xfId="19580" xr:uid="{00000000-0005-0000-0000-000055560000}"/>
    <cellStyle name="Separador de milhares 5 6 3 4" xfId="19581" xr:uid="{00000000-0005-0000-0000-000056560000}"/>
    <cellStyle name="Separador de milhares 5 6 3 5" xfId="19582" xr:uid="{00000000-0005-0000-0000-000057560000}"/>
    <cellStyle name="Separador de milhares 5 6 3 6" xfId="19583" xr:uid="{00000000-0005-0000-0000-000058560000}"/>
    <cellStyle name="Separador de milhares 5 6 3 7" xfId="19584" xr:uid="{00000000-0005-0000-0000-000059560000}"/>
    <cellStyle name="Separador de milhares 5 6 3 8" xfId="19585" xr:uid="{00000000-0005-0000-0000-00005A560000}"/>
    <cellStyle name="Separador de milhares 5 6 3 9" xfId="19586" xr:uid="{00000000-0005-0000-0000-00005B560000}"/>
    <cellStyle name="Separador de milhares 5 6 4" xfId="19587" xr:uid="{00000000-0005-0000-0000-00005C560000}"/>
    <cellStyle name="Separador de milhares 5 6 5" xfId="19588" xr:uid="{00000000-0005-0000-0000-00005D560000}"/>
    <cellStyle name="Separador de milhares 5 6 6" xfId="19589" xr:uid="{00000000-0005-0000-0000-00005E560000}"/>
    <cellStyle name="Separador de milhares 5 6 7" xfId="19590" xr:uid="{00000000-0005-0000-0000-00005F560000}"/>
    <cellStyle name="Separador de milhares 5 6 8" xfId="19591" xr:uid="{00000000-0005-0000-0000-000060560000}"/>
    <cellStyle name="Separador de milhares 5 6 9" xfId="19592" xr:uid="{00000000-0005-0000-0000-000061560000}"/>
    <cellStyle name="Separador de milhares 5 7" xfId="19593" xr:uid="{00000000-0005-0000-0000-000062560000}"/>
    <cellStyle name="Separador de milhares 5 7 10" xfId="19594" xr:uid="{00000000-0005-0000-0000-000063560000}"/>
    <cellStyle name="Separador de milhares 5 7 11" xfId="19595" xr:uid="{00000000-0005-0000-0000-000064560000}"/>
    <cellStyle name="Separador de milhares 5 7 2" xfId="19596" xr:uid="{00000000-0005-0000-0000-000065560000}"/>
    <cellStyle name="Separador de milhares 5 7 3" xfId="19597" xr:uid="{00000000-0005-0000-0000-000066560000}"/>
    <cellStyle name="Separador de milhares 5 7 4" xfId="19598" xr:uid="{00000000-0005-0000-0000-000067560000}"/>
    <cellStyle name="Separador de milhares 5 7 5" xfId="19599" xr:uid="{00000000-0005-0000-0000-000068560000}"/>
    <cellStyle name="Separador de milhares 5 7 6" xfId="19600" xr:uid="{00000000-0005-0000-0000-000069560000}"/>
    <cellStyle name="Separador de milhares 5 7 7" xfId="19601" xr:uid="{00000000-0005-0000-0000-00006A560000}"/>
    <cellStyle name="Separador de milhares 5 7 8" xfId="19602" xr:uid="{00000000-0005-0000-0000-00006B560000}"/>
    <cellStyle name="Separador de milhares 5 7 9" xfId="19603" xr:uid="{00000000-0005-0000-0000-00006C560000}"/>
    <cellStyle name="Separador de milhares 5 8" xfId="19604" xr:uid="{00000000-0005-0000-0000-00006D560000}"/>
    <cellStyle name="Separador de milhares 5 8 10" xfId="19605" xr:uid="{00000000-0005-0000-0000-00006E560000}"/>
    <cellStyle name="Separador de milhares 5 8 2" xfId="19606" xr:uid="{00000000-0005-0000-0000-00006F560000}"/>
    <cellStyle name="Separador de milhares 5 8 3" xfId="19607" xr:uid="{00000000-0005-0000-0000-000070560000}"/>
    <cellStyle name="Separador de milhares 5 8 4" xfId="19608" xr:uid="{00000000-0005-0000-0000-000071560000}"/>
    <cellStyle name="Separador de milhares 5 8 5" xfId="19609" xr:uid="{00000000-0005-0000-0000-000072560000}"/>
    <cellStyle name="Separador de milhares 5 8 6" xfId="19610" xr:uid="{00000000-0005-0000-0000-000073560000}"/>
    <cellStyle name="Separador de milhares 5 8 7" xfId="19611" xr:uid="{00000000-0005-0000-0000-000074560000}"/>
    <cellStyle name="Separador de milhares 5 8 8" xfId="19612" xr:uid="{00000000-0005-0000-0000-000075560000}"/>
    <cellStyle name="Separador de milhares 5 8 9" xfId="19613" xr:uid="{00000000-0005-0000-0000-000076560000}"/>
    <cellStyle name="Separador de milhares 5 9" xfId="19614" xr:uid="{00000000-0005-0000-0000-000077560000}"/>
    <cellStyle name="Separador de milhares 50" xfId="19615" xr:uid="{00000000-0005-0000-0000-000078560000}"/>
    <cellStyle name="Separador de milhares 50 2" xfId="19616" xr:uid="{00000000-0005-0000-0000-000079560000}"/>
    <cellStyle name="Separador de milhares 50 2 2" xfId="28729" xr:uid="{86D87152-68C4-465E-B9AE-71BE7CDC8FAA}"/>
    <cellStyle name="Separador de milhares 50 3" xfId="28728" xr:uid="{D9CC3858-F909-416C-A868-8EBF6F223B5C}"/>
    <cellStyle name="Separador de milhares 51" xfId="19617" xr:uid="{00000000-0005-0000-0000-00007A560000}"/>
    <cellStyle name="Separador de milhares 51 2" xfId="19618" xr:uid="{00000000-0005-0000-0000-00007B560000}"/>
    <cellStyle name="Separador de milhares 51 2 2" xfId="28731" xr:uid="{4EF2109B-1EC9-4741-AB53-6434FC16188E}"/>
    <cellStyle name="Separador de milhares 51 3" xfId="28730" xr:uid="{1B0E24DD-8FD7-4674-8F6B-D3B0A5A36C4F}"/>
    <cellStyle name="Separador de milhares 52" xfId="19619" xr:uid="{00000000-0005-0000-0000-00007C560000}"/>
    <cellStyle name="Separador de milhares 52 2" xfId="19620" xr:uid="{00000000-0005-0000-0000-00007D560000}"/>
    <cellStyle name="Separador de milhares 52 2 2" xfId="28733" xr:uid="{04B2FA47-55A7-4E09-8403-6F5CA2DAF99C}"/>
    <cellStyle name="Separador de milhares 52 3" xfId="28732" xr:uid="{A7B35737-8EDC-491A-8A93-0B7277142EB8}"/>
    <cellStyle name="Separador de milhares 53" xfId="19621" xr:uid="{00000000-0005-0000-0000-00007E560000}"/>
    <cellStyle name="Separador de milhares 53 2" xfId="19622" xr:uid="{00000000-0005-0000-0000-00007F560000}"/>
    <cellStyle name="Separador de milhares 53 2 2" xfId="28735" xr:uid="{B0BE4F83-D4E4-49E3-9A8E-C0E642ECDCAE}"/>
    <cellStyle name="Separador de milhares 53 3" xfId="28734" xr:uid="{BF314036-655B-4F78-922E-CE2184660BE0}"/>
    <cellStyle name="Separador de milhares 54" xfId="19623" xr:uid="{00000000-0005-0000-0000-000080560000}"/>
    <cellStyle name="Separador de milhares 54 2" xfId="19624" xr:uid="{00000000-0005-0000-0000-000081560000}"/>
    <cellStyle name="Separador de milhares 54 2 2" xfId="28737" xr:uid="{549A958F-5EEC-45DE-9CC3-257135A2704F}"/>
    <cellStyle name="Separador de milhares 54 3" xfId="28736" xr:uid="{A336E683-6BEB-4D56-992A-833A1676C587}"/>
    <cellStyle name="Separador de milhares 55" xfId="19625" xr:uid="{00000000-0005-0000-0000-000082560000}"/>
    <cellStyle name="Separador de milhares 55 2" xfId="19626" xr:uid="{00000000-0005-0000-0000-000083560000}"/>
    <cellStyle name="Separador de milhares 55 2 2" xfId="28739" xr:uid="{AFE6318A-984A-4C2D-B42C-F8DE9F4F4D85}"/>
    <cellStyle name="Separador de milhares 55 3" xfId="28738" xr:uid="{67C94401-8EB1-4B29-977A-84854B7511D1}"/>
    <cellStyle name="Separador de milhares 56" xfId="19627" xr:uid="{00000000-0005-0000-0000-000084560000}"/>
    <cellStyle name="Separador de milhares 56 2" xfId="19628" xr:uid="{00000000-0005-0000-0000-000085560000}"/>
    <cellStyle name="Separador de milhares 56 2 2" xfId="28741" xr:uid="{2404B7BA-A645-4BE7-926F-CA16EF63EC0F}"/>
    <cellStyle name="Separador de milhares 56 3" xfId="28740" xr:uid="{8C92ED68-66C9-452B-AD89-B285026F54E5}"/>
    <cellStyle name="Separador de milhares 57" xfId="19629" xr:uid="{00000000-0005-0000-0000-000086560000}"/>
    <cellStyle name="Separador de milhares 57 2" xfId="19630" xr:uid="{00000000-0005-0000-0000-000087560000}"/>
    <cellStyle name="Separador de milhares 57 2 2" xfId="28743" xr:uid="{0F8CD20B-E4A0-4E53-BCC2-F06B225DCD5C}"/>
    <cellStyle name="Separador de milhares 57 3" xfId="28742" xr:uid="{CC49B1D5-4A92-47E7-B248-F0C85C62D6D6}"/>
    <cellStyle name="Separador de milhares 58" xfId="19631" xr:uid="{00000000-0005-0000-0000-000088560000}"/>
    <cellStyle name="Separador de milhares 58 2" xfId="19632" xr:uid="{00000000-0005-0000-0000-000089560000}"/>
    <cellStyle name="Separador de milhares 58 2 2" xfId="28745" xr:uid="{119FAE24-8282-4D4A-858B-F420A6D9A97B}"/>
    <cellStyle name="Separador de milhares 58 3" xfId="28744" xr:uid="{3740A042-A0C1-4669-91C2-F0565D18ED68}"/>
    <cellStyle name="Separador de milhares 59" xfId="19633" xr:uid="{00000000-0005-0000-0000-00008A560000}"/>
    <cellStyle name="Separador de milhares 59 2" xfId="19634" xr:uid="{00000000-0005-0000-0000-00008B560000}"/>
    <cellStyle name="Separador de milhares 59 2 2" xfId="28747" xr:uid="{3E3ED41C-C2F9-41F0-BB30-1BDD109C4955}"/>
    <cellStyle name="Separador de milhares 59 3" xfId="28746" xr:uid="{5B041204-368E-4807-B077-5FFE944FD1A5}"/>
    <cellStyle name="Separador de milhares 6" xfId="806" xr:uid="{00000000-0005-0000-0000-00008C560000}"/>
    <cellStyle name="Separador de milhares 6 10" xfId="19635" xr:uid="{00000000-0005-0000-0000-00008D560000}"/>
    <cellStyle name="Separador de milhares 6 10 10" xfId="19636" xr:uid="{00000000-0005-0000-0000-00008E560000}"/>
    <cellStyle name="Separador de milhares 6 10 11" xfId="19637" xr:uid="{00000000-0005-0000-0000-00008F560000}"/>
    <cellStyle name="Separador de milhares 6 10 12" xfId="19638" xr:uid="{00000000-0005-0000-0000-000090560000}"/>
    <cellStyle name="Separador de milhares 6 10 13" xfId="19639" xr:uid="{00000000-0005-0000-0000-000091560000}"/>
    <cellStyle name="Separador de milhares 6 10 14" xfId="19640" xr:uid="{00000000-0005-0000-0000-000092560000}"/>
    <cellStyle name="Separador de milhares 6 10 15" xfId="19641" xr:uid="{00000000-0005-0000-0000-000093560000}"/>
    <cellStyle name="Separador de milhares 6 10 16" xfId="19642" xr:uid="{00000000-0005-0000-0000-000094560000}"/>
    <cellStyle name="Separador de milhares 6 10 17" xfId="19643" xr:uid="{00000000-0005-0000-0000-000095560000}"/>
    <cellStyle name="Separador de milhares 6 10 18" xfId="19644" xr:uid="{00000000-0005-0000-0000-000096560000}"/>
    <cellStyle name="Separador de milhares 6 10 19" xfId="19645" xr:uid="{00000000-0005-0000-0000-000097560000}"/>
    <cellStyle name="Separador de milhares 6 10 2" xfId="19646" xr:uid="{00000000-0005-0000-0000-000098560000}"/>
    <cellStyle name="Separador de milhares 6 10 2 10" xfId="19647" xr:uid="{00000000-0005-0000-0000-000099560000}"/>
    <cellStyle name="Separador de milhares 6 10 2 11" xfId="19648" xr:uid="{00000000-0005-0000-0000-00009A560000}"/>
    <cellStyle name="Separador de milhares 6 10 2 12" xfId="19649" xr:uid="{00000000-0005-0000-0000-00009B560000}"/>
    <cellStyle name="Separador de milhares 6 10 2 13" xfId="19650" xr:uid="{00000000-0005-0000-0000-00009C560000}"/>
    <cellStyle name="Separador de milhares 6 10 2 14" xfId="19651" xr:uid="{00000000-0005-0000-0000-00009D560000}"/>
    <cellStyle name="Separador de milhares 6 10 2 15" xfId="19652" xr:uid="{00000000-0005-0000-0000-00009E560000}"/>
    <cellStyle name="Separador de milhares 6 10 2 16" xfId="19653" xr:uid="{00000000-0005-0000-0000-00009F560000}"/>
    <cellStyle name="Separador de milhares 6 10 2 17" xfId="19654" xr:uid="{00000000-0005-0000-0000-0000A0560000}"/>
    <cellStyle name="Separador de milhares 6 10 2 18" xfId="19655" xr:uid="{00000000-0005-0000-0000-0000A1560000}"/>
    <cellStyle name="Separador de milhares 6 10 2 19" xfId="19656" xr:uid="{00000000-0005-0000-0000-0000A2560000}"/>
    <cellStyle name="Separador de milhares 6 10 2 2" xfId="19657" xr:uid="{00000000-0005-0000-0000-0000A3560000}"/>
    <cellStyle name="Separador de milhares 6 10 2 20" xfId="19658" xr:uid="{00000000-0005-0000-0000-0000A4560000}"/>
    <cellStyle name="Separador de milhares 6 10 2 21" xfId="19659" xr:uid="{00000000-0005-0000-0000-0000A5560000}"/>
    <cellStyle name="Separador de milhares 6 10 2 3" xfId="19660" xr:uid="{00000000-0005-0000-0000-0000A6560000}"/>
    <cellStyle name="Separador de milhares 6 10 2 4" xfId="19661" xr:uid="{00000000-0005-0000-0000-0000A7560000}"/>
    <cellStyle name="Separador de milhares 6 10 2 5" xfId="19662" xr:uid="{00000000-0005-0000-0000-0000A8560000}"/>
    <cellStyle name="Separador de milhares 6 10 2 6" xfId="19663" xr:uid="{00000000-0005-0000-0000-0000A9560000}"/>
    <cellStyle name="Separador de milhares 6 10 2 7" xfId="19664" xr:uid="{00000000-0005-0000-0000-0000AA560000}"/>
    <cellStyle name="Separador de milhares 6 10 2 8" xfId="19665" xr:uid="{00000000-0005-0000-0000-0000AB560000}"/>
    <cellStyle name="Separador de milhares 6 10 2 9" xfId="19666" xr:uid="{00000000-0005-0000-0000-0000AC560000}"/>
    <cellStyle name="Separador de milhares 6 10 20" xfId="19667" xr:uid="{00000000-0005-0000-0000-0000AD560000}"/>
    <cellStyle name="Separador de milhares 6 10 21" xfId="19668" xr:uid="{00000000-0005-0000-0000-0000AE560000}"/>
    <cellStyle name="Separador de milhares 6 10 22" xfId="19669" xr:uid="{00000000-0005-0000-0000-0000AF560000}"/>
    <cellStyle name="Separador de milhares 6 10 23" xfId="19670" xr:uid="{00000000-0005-0000-0000-0000B0560000}"/>
    <cellStyle name="Separador de milhares 6 10 24" xfId="19671" xr:uid="{00000000-0005-0000-0000-0000B1560000}"/>
    <cellStyle name="Separador de milhares 6 10 25" xfId="19672" xr:uid="{00000000-0005-0000-0000-0000B2560000}"/>
    <cellStyle name="Separador de milhares 6 10 26" xfId="19673" xr:uid="{00000000-0005-0000-0000-0000B3560000}"/>
    <cellStyle name="Separador de milhares 6 10 27" xfId="19674" xr:uid="{00000000-0005-0000-0000-0000B4560000}"/>
    <cellStyle name="Separador de milhares 6 10 28" xfId="19675" xr:uid="{00000000-0005-0000-0000-0000B5560000}"/>
    <cellStyle name="Separador de milhares 6 10 29" xfId="19676" xr:uid="{00000000-0005-0000-0000-0000B6560000}"/>
    <cellStyle name="Separador de milhares 6 10 3" xfId="19677" xr:uid="{00000000-0005-0000-0000-0000B7560000}"/>
    <cellStyle name="Separador de milhares 6 10 30" xfId="19678" xr:uid="{00000000-0005-0000-0000-0000B8560000}"/>
    <cellStyle name="Separador de milhares 6 10 31" xfId="19679" xr:uid="{00000000-0005-0000-0000-0000B9560000}"/>
    <cellStyle name="Separador de milhares 6 10 32" xfId="19680" xr:uid="{00000000-0005-0000-0000-0000BA560000}"/>
    <cellStyle name="Separador de milhares 6 10 33" xfId="19681" xr:uid="{00000000-0005-0000-0000-0000BB560000}"/>
    <cellStyle name="Separador de milhares 6 10 34" xfId="19682" xr:uid="{00000000-0005-0000-0000-0000BC560000}"/>
    <cellStyle name="Separador de milhares 6 10 4" xfId="19683" xr:uid="{00000000-0005-0000-0000-0000BD560000}"/>
    <cellStyle name="Separador de milhares 6 10 4 2" xfId="19684" xr:uid="{00000000-0005-0000-0000-0000BE560000}"/>
    <cellStyle name="Separador de milhares 6 10 4 3" xfId="19685" xr:uid="{00000000-0005-0000-0000-0000BF560000}"/>
    <cellStyle name="Separador de milhares 6 10 4 4" xfId="19686" xr:uid="{00000000-0005-0000-0000-0000C0560000}"/>
    <cellStyle name="Separador de milhares 6 10 5" xfId="19687" xr:uid="{00000000-0005-0000-0000-0000C1560000}"/>
    <cellStyle name="Separador de milhares 6 10 6" xfId="19688" xr:uid="{00000000-0005-0000-0000-0000C2560000}"/>
    <cellStyle name="Separador de milhares 6 10 7" xfId="19689" xr:uid="{00000000-0005-0000-0000-0000C3560000}"/>
    <cellStyle name="Separador de milhares 6 10 8" xfId="19690" xr:uid="{00000000-0005-0000-0000-0000C4560000}"/>
    <cellStyle name="Separador de milhares 6 10 9" xfId="19691" xr:uid="{00000000-0005-0000-0000-0000C5560000}"/>
    <cellStyle name="Separador de milhares 6 11" xfId="19692" xr:uid="{00000000-0005-0000-0000-0000C6560000}"/>
    <cellStyle name="Separador de milhares 6 11 2" xfId="19693" xr:uid="{00000000-0005-0000-0000-0000C7560000}"/>
    <cellStyle name="Separador de milhares 6 11 2 2" xfId="28748" xr:uid="{A4EF0097-3DC9-4639-84DE-F7D9EC69E8BD}"/>
    <cellStyle name="Separador de milhares 6 12" xfId="19694" xr:uid="{00000000-0005-0000-0000-0000C8560000}"/>
    <cellStyle name="Separador de milhares 6 12 2" xfId="19695" xr:uid="{00000000-0005-0000-0000-0000C9560000}"/>
    <cellStyle name="Separador de milhares 6 12 2 2" xfId="28749" xr:uid="{795CC327-3A98-4C03-B71E-49F3E64FCFC5}"/>
    <cellStyle name="Separador de milhares 6 13" xfId="19696" xr:uid="{00000000-0005-0000-0000-0000CA560000}"/>
    <cellStyle name="Separador de milhares 6 13 2" xfId="19697" xr:uid="{00000000-0005-0000-0000-0000CB560000}"/>
    <cellStyle name="Separador de milhares 6 13 2 2" xfId="28750" xr:uid="{9917A818-04A6-4DEF-B598-8517C5F230F0}"/>
    <cellStyle name="Separador de milhares 6 14" xfId="19698" xr:uid="{00000000-0005-0000-0000-0000CC560000}"/>
    <cellStyle name="Separador de milhares 6 14 2" xfId="19699" xr:uid="{00000000-0005-0000-0000-0000CD560000}"/>
    <cellStyle name="Separador de milhares 6 14 2 2" xfId="28751" xr:uid="{C4D4F897-4E4F-40EF-BFF1-CC68DF8F0B5E}"/>
    <cellStyle name="Separador de milhares 6 15" xfId="19700" xr:uid="{00000000-0005-0000-0000-0000CE560000}"/>
    <cellStyle name="Separador de milhares 6 15 2" xfId="19701" xr:uid="{00000000-0005-0000-0000-0000CF560000}"/>
    <cellStyle name="Separador de milhares 6 15 2 2" xfId="28752" xr:uid="{BD3C8E1B-EA73-44A3-9BD2-873A47EDF3F0}"/>
    <cellStyle name="Separador de milhares 6 16" xfId="19702" xr:uid="{00000000-0005-0000-0000-0000D0560000}"/>
    <cellStyle name="Separador de milhares 6 16 2" xfId="19703" xr:uid="{00000000-0005-0000-0000-0000D1560000}"/>
    <cellStyle name="Separador de milhares 6 16 2 2" xfId="28753" xr:uid="{A5FC8F85-182D-45CC-9DBA-2595AB4685E2}"/>
    <cellStyle name="Separador de milhares 6 17" xfId="19704" xr:uid="{00000000-0005-0000-0000-0000D2560000}"/>
    <cellStyle name="Separador de milhares 6 17 2" xfId="19705" xr:uid="{00000000-0005-0000-0000-0000D3560000}"/>
    <cellStyle name="Separador de milhares 6 17 2 2" xfId="28754" xr:uid="{79D5F3E5-5454-498F-9B33-9A13E62FEB50}"/>
    <cellStyle name="Separador de milhares 6 18" xfId="19706" xr:uid="{00000000-0005-0000-0000-0000D4560000}"/>
    <cellStyle name="Separador de milhares 6 18 2" xfId="19707" xr:uid="{00000000-0005-0000-0000-0000D5560000}"/>
    <cellStyle name="Separador de milhares 6 18 2 2" xfId="28755" xr:uid="{3DEDE66E-71E5-44CC-9427-ACB51464E212}"/>
    <cellStyle name="Separador de milhares 6 19" xfId="19708" xr:uid="{00000000-0005-0000-0000-0000D6560000}"/>
    <cellStyle name="Separador de milhares 6 19 2" xfId="19709" xr:uid="{00000000-0005-0000-0000-0000D7560000}"/>
    <cellStyle name="Separador de milhares 6 19 2 2" xfId="28756" xr:uid="{CB0D94DA-6D45-485B-9E13-6784B7D47B46}"/>
    <cellStyle name="Separador de milhares 6 2" xfId="807" xr:uid="{00000000-0005-0000-0000-0000D8560000}"/>
    <cellStyle name="Separador de milhares 6 2 10" xfId="19711" xr:uid="{00000000-0005-0000-0000-0000D9560000}"/>
    <cellStyle name="Separador de milhares 6 2 10 2" xfId="19712" xr:uid="{00000000-0005-0000-0000-0000DA560000}"/>
    <cellStyle name="Separador de milhares 6 2 10 2 2" xfId="28758" xr:uid="{E582EF87-BA4D-4785-9D32-86245D885EFF}"/>
    <cellStyle name="Separador de milhares 6 2 11" xfId="19713" xr:uid="{00000000-0005-0000-0000-0000DB560000}"/>
    <cellStyle name="Separador de milhares 6 2 11 2" xfId="19714" xr:uid="{00000000-0005-0000-0000-0000DC560000}"/>
    <cellStyle name="Separador de milhares 6 2 11 2 2" xfId="28759" xr:uid="{543E7F49-45E7-42F0-A5B6-8AD144E09E70}"/>
    <cellStyle name="Separador de milhares 6 2 12" xfId="19715" xr:uid="{00000000-0005-0000-0000-0000DD560000}"/>
    <cellStyle name="Separador de milhares 6 2 12 2" xfId="19716" xr:uid="{00000000-0005-0000-0000-0000DE560000}"/>
    <cellStyle name="Separador de milhares 6 2 12 2 2" xfId="28760" xr:uid="{EEE38C7B-8B56-4DF8-9EDA-12022F6421FE}"/>
    <cellStyle name="Separador de milhares 6 2 13" xfId="19717" xr:uid="{00000000-0005-0000-0000-0000DF560000}"/>
    <cellStyle name="Separador de milhares 6 2 13 2" xfId="19718" xr:uid="{00000000-0005-0000-0000-0000E0560000}"/>
    <cellStyle name="Separador de milhares 6 2 13 2 2" xfId="28761" xr:uid="{001AD7CC-EBE3-43E9-8A69-559F2FAC185A}"/>
    <cellStyle name="Separador de milhares 6 2 14" xfId="19719" xr:uid="{00000000-0005-0000-0000-0000E1560000}"/>
    <cellStyle name="Separador de milhares 6 2 14 2" xfId="19720" xr:uid="{00000000-0005-0000-0000-0000E2560000}"/>
    <cellStyle name="Separador de milhares 6 2 14 2 2" xfId="28762" xr:uid="{8C848781-5E51-467B-85D5-9299BEAEA869}"/>
    <cellStyle name="Separador de milhares 6 2 15" xfId="19721" xr:uid="{00000000-0005-0000-0000-0000E3560000}"/>
    <cellStyle name="Separador de milhares 6 2 15 2" xfId="19722" xr:uid="{00000000-0005-0000-0000-0000E4560000}"/>
    <cellStyle name="Separador de milhares 6 2 15 2 2" xfId="28763" xr:uid="{AB508A22-23A4-464A-9D40-EA168000F571}"/>
    <cellStyle name="Separador de milhares 6 2 16" xfId="19723" xr:uid="{00000000-0005-0000-0000-0000E5560000}"/>
    <cellStyle name="Separador de milhares 6 2 16 2" xfId="19724" xr:uid="{00000000-0005-0000-0000-0000E6560000}"/>
    <cellStyle name="Separador de milhares 6 2 16 2 2" xfId="28764" xr:uid="{6B4B558E-71C2-4F91-9EBD-CF9D0D2CDDA3}"/>
    <cellStyle name="Separador de milhares 6 2 17" xfId="19725" xr:uid="{00000000-0005-0000-0000-0000E7560000}"/>
    <cellStyle name="Separador de milhares 6 2 17 2" xfId="19726" xr:uid="{00000000-0005-0000-0000-0000E8560000}"/>
    <cellStyle name="Separador de milhares 6 2 17 2 2" xfId="28766" xr:uid="{74F96CF5-2A6F-4B8F-B950-8F459783E550}"/>
    <cellStyle name="Separador de milhares 6 2 17 3" xfId="28765" xr:uid="{2D3E8269-5629-4285-9FC3-7A02BE57BCF6}"/>
    <cellStyle name="Separador de milhares 6 2 18" xfId="19727" xr:uid="{00000000-0005-0000-0000-0000E9560000}"/>
    <cellStyle name="Separador de milhares 6 2 18 2" xfId="19728" xr:uid="{00000000-0005-0000-0000-0000EA560000}"/>
    <cellStyle name="Separador de milhares 6 2 18 2 2" xfId="28768" xr:uid="{8BD030E8-F7A7-4CDB-95F5-313C973E5C8B}"/>
    <cellStyle name="Separador de milhares 6 2 18 3" xfId="28767" xr:uid="{186E8C96-5A6C-418D-B706-470B0E63796B}"/>
    <cellStyle name="Separador de milhares 6 2 19" xfId="19729" xr:uid="{00000000-0005-0000-0000-0000EB560000}"/>
    <cellStyle name="Separador de milhares 6 2 19 2" xfId="19730" xr:uid="{00000000-0005-0000-0000-0000EC560000}"/>
    <cellStyle name="Separador de milhares 6 2 19 2 2" xfId="28770" xr:uid="{0CE272F9-A492-4ACD-847A-29C098D15E8F}"/>
    <cellStyle name="Separador de milhares 6 2 19 3" xfId="28769" xr:uid="{236B2CC7-12FE-4D39-8592-3DDC7134A95F}"/>
    <cellStyle name="Separador de milhares 6 2 2" xfId="808" xr:uid="{00000000-0005-0000-0000-0000ED560000}"/>
    <cellStyle name="Separador de milhares 6 2 2 10" xfId="19732" xr:uid="{00000000-0005-0000-0000-0000EE560000}"/>
    <cellStyle name="Separador de milhares 6 2 2 10 2" xfId="19733" xr:uid="{00000000-0005-0000-0000-0000EF560000}"/>
    <cellStyle name="Separador de milhares 6 2 2 10 2 2" xfId="28771" xr:uid="{68A0DA90-C7B3-46A6-8DE1-3E631DFBE82A}"/>
    <cellStyle name="Separador de milhares 6 2 2 11" xfId="19734" xr:uid="{00000000-0005-0000-0000-0000F0560000}"/>
    <cellStyle name="Separador de milhares 6 2 2 11 2" xfId="19735" xr:uid="{00000000-0005-0000-0000-0000F1560000}"/>
    <cellStyle name="Separador de milhares 6 2 2 11 2 2" xfId="28773" xr:uid="{3469D7FB-8828-4483-9CC2-AB76BD8573F1}"/>
    <cellStyle name="Separador de milhares 6 2 2 11 3" xfId="28772" xr:uid="{9F17B065-A32D-462D-BE67-5BF1C13CCD24}"/>
    <cellStyle name="Separador de milhares 6 2 2 12" xfId="19736" xr:uid="{00000000-0005-0000-0000-0000F2560000}"/>
    <cellStyle name="Separador de milhares 6 2 2 12 2" xfId="19737" xr:uid="{00000000-0005-0000-0000-0000F3560000}"/>
    <cellStyle name="Separador de milhares 6 2 2 12 2 2" xfId="28775" xr:uid="{FF71FEC5-9666-4F5C-98F5-84FA8F93BEE5}"/>
    <cellStyle name="Separador de milhares 6 2 2 12 3" xfId="28774" xr:uid="{32ACF943-0E66-4379-83B3-78AC10FA0CE4}"/>
    <cellStyle name="Separador de milhares 6 2 2 13" xfId="19738" xr:uid="{00000000-0005-0000-0000-0000F4560000}"/>
    <cellStyle name="Separador de milhares 6 2 2 13 2" xfId="19739" xr:uid="{00000000-0005-0000-0000-0000F5560000}"/>
    <cellStyle name="Separador de milhares 6 2 2 13 2 2" xfId="28777" xr:uid="{B7523D7D-F29C-41CA-BA0E-5FAEF1A057BF}"/>
    <cellStyle name="Separador de milhares 6 2 2 13 3" xfId="28776" xr:uid="{907C1FE9-25B0-450A-83E7-3D46DE2E3592}"/>
    <cellStyle name="Separador de milhares 6 2 2 14" xfId="19740" xr:uid="{00000000-0005-0000-0000-0000F6560000}"/>
    <cellStyle name="Separador de milhares 6 2 2 14 2" xfId="19741" xr:uid="{00000000-0005-0000-0000-0000F7560000}"/>
    <cellStyle name="Separador de milhares 6 2 2 14 2 2" xfId="28779" xr:uid="{A49F95B8-B8FA-4778-9309-C3C607C7D7F9}"/>
    <cellStyle name="Separador de milhares 6 2 2 14 3" xfId="28778" xr:uid="{A2259D11-A467-4134-AA9D-6DD7B03829CB}"/>
    <cellStyle name="Separador de milhares 6 2 2 15" xfId="19742" xr:uid="{00000000-0005-0000-0000-0000F8560000}"/>
    <cellStyle name="Separador de milhares 6 2 2 15 2" xfId="19743" xr:uid="{00000000-0005-0000-0000-0000F9560000}"/>
    <cellStyle name="Separador de milhares 6 2 2 15 2 2" xfId="28781" xr:uid="{1BCC8D02-F8BA-4E7F-89F8-DC5EA1343167}"/>
    <cellStyle name="Separador de milhares 6 2 2 15 3" xfId="28780" xr:uid="{61D70E60-9A5D-4868-8E60-592BBB2EBD0D}"/>
    <cellStyle name="Separador de milhares 6 2 2 16" xfId="19744" xr:uid="{00000000-0005-0000-0000-0000FA560000}"/>
    <cellStyle name="Separador de milhares 6 2 2 16 2" xfId="19745" xr:uid="{00000000-0005-0000-0000-0000FB560000}"/>
    <cellStyle name="Separador de milhares 6 2 2 16 2 2" xfId="28783" xr:uid="{21215CAC-6BB8-45E8-94DE-80DC2E626FB5}"/>
    <cellStyle name="Separador de milhares 6 2 2 16 3" xfId="28782" xr:uid="{3FD2E304-081E-4B82-9731-2423466C08E1}"/>
    <cellStyle name="Separador de milhares 6 2 2 17" xfId="19746" xr:uid="{00000000-0005-0000-0000-0000FC560000}"/>
    <cellStyle name="Separador de milhares 6 2 2 17 2" xfId="19747" xr:uid="{00000000-0005-0000-0000-0000FD560000}"/>
    <cellStyle name="Separador de milhares 6 2 2 17 2 2" xfId="28785" xr:uid="{1CB355B2-74FC-460C-96EA-A6821284CC1F}"/>
    <cellStyle name="Separador de milhares 6 2 2 17 3" xfId="28784" xr:uid="{327BF919-4C99-4721-89D9-DE2BD54A855F}"/>
    <cellStyle name="Separador de milhares 6 2 2 18" xfId="19748" xr:uid="{00000000-0005-0000-0000-0000FE560000}"/>
    <cellStyle name="Separador de milhares 6 2 2 18 2" xfId="19749" xr:uid="{00000000-0005-0000-0000-0000FF560000}"/>
    <cellStyle name="Separador de milhares 6 2 2 18 2 2" xfId="28787" xr:uid="{B9B86BC8-24A0-401C-A990-A195D9EF8B12}"/>
    <cellStyle name="Separador de milhares 6 2 2 18 3" xfId="28786" xr:uid="{17DD5577-3C96-461C-8339-FAB4901C05A7}"/>
    <cellStyle name="Separador de milhares 6 2 2 19" xfId="19750" xr:uid="{00000000-0005-0000-0000-000000570000}"/>
    <cellStyle name="Separador de milhares 6 2 2 19 2" xfId="19751" xr:uid="{00000000-0005-0000-0000-000001570000}"/>
    <cellStyle name="Separador de milhares 6 2 2 19 2 2" xfId="28789" xr:uid="{257BA255-5BC8-481B-9758-D11B4DAFE65F}"/>
    <cellStyle name="Separador de milhares 6 2 2 19 3" xfId="28788" xr:uid="{80E28A02-F549-42A0-A8CD-ED9752FD9350}"/>
    <cellStyle name="Separador de milhares 6 2 2 2" xfId="809" xr:uid="{00000000-0005-0000-0000-000002570000}"/>
    <cellStyle name="Separador de milhares 6 2 2 2 2" xfId="810" xr:uid="{00000000-0005-0000-0000-000003570000}"/>
    <cellStyle name="Separador de milhares 6 2 2 2 2 2" xfId="19753" xr:uid="{00000000-0005-0000-0000-000004570000}"/>
    <cellStyle name="Separador de milhares 6 2 2 2 2 2 2" xfId="28790" xr:uid="{A9746CBE-AA18-46CE-B0F7-24A54D856C6C}"/>
    <cellStyle name="Separador de milhares 6 2 2 2 2 3" xfId="27203" xr:uid="{00000000-0005-0000-0000-000005570000}"/>
    <cellStyle name="Separador de milhares 6 2 2 2 2 3 2" xfId="33045" xr:uid="{6B2D6DCD-AB4E-4508-A3D0-642D182F2E4D}"/>
    <cellStyle name="Separador de milhares 6 2 2 2 2 4" xfId="27383" xr:uid="{00000000-0005-0000-0000-000006570000}"/>
    <cellStyle name="Separador de milhares 6 2 2 2 2 4 2" xfId="33220" xr:uid="{E4E90087-470C-4ABC-A872-B11717503514}"/>
    <cellStyle name="Separador de milhares 6 2 2 2 2 5" xfId="27561" xr:uid="{00000000-0005-0000-0000-000007570000}"/>
    <cellStyle name="Separador de milhares 6 2 2 2 2 5 2" xfId="33373" xr:uid="{721E85C4-0C0A-4316-85ED-DD3F35495755}"/>
    <cellStyle name="Separador de milhares 6 2 2 2 2 6" xfId="27712" xr:uid="{00000000-0005-0000-0000-000008570000}"/>
    <cellStyle name="Separador de milhares 6 2 2 2 2 6 2" xfId="33523" xr:uid="{35AFD166-4143-453B-B491-BF1CAEF5B14A}"/>
    <cellStyle name="Separador de milhares 6 2 2 2 2 7" xfId="28043" xr:uid="{F81A66F1-0B27-455F-9EC4-C2BB25FE3E44}"/>
    <cellStyle name="Separador de milhares 6 2 2 2 3" xfId="19752" xr:uid="{00000000-0005-0000-0000-000009570000}"/>
    <cellStyle name="Separador de milhares 6 2 2 2 4" xfId="27202" xr:uid="{00000000-0005-0000-0000-00000A570000}"/>
    <cellStyle name="Separador de milhares 6 2 2 2 4 2" xfId="33044" xr:uid="{274455BD-068D-4C0F-A940-AA8F9E8BB89C}"/>
    <cellStyle name="Separador de milhares 6 2 2 2 5" xfId="27382" xr:uid="{00000000-0005-0000-0000-00000B570000}"/>
    <cellStyle name="Separador de milhares 6 2 2 2 5 2" xfId="33219" xr:uid="{691E6F2C-6245-408F-ACC1-0AE0A0A2323E}"/>
    <cellStyle name="Separador de milhares 6 2 2 2 6" xfId="27560" xr:uid="{00000000-0005-0000-0000-00000C570000}"/>
    <cellStyle name="Separador de milhares 6 2 2 2 6 2" xfId="33372" xr:uid="{D3A6988A-83E5-47B1-A9FC-6B611EF1D5B3}"/>
    <cellStyle name="Separador de milhares 6 2 2 2 7" xfId="27711" xr:uid="{00000000-0005-0000-0000-00000D570000}"/>
    <cellStyle name="Separador de milhares 6 2 2 2 7 2" xfId="33522" xr:uid="{17A99D9B-9880-4088-93F9-6E0D2FFF19F7}"/>
    <cellStyle name="Separador de milhares 6 2 2 2 8" xfId="28042" xr:uid="{DB6C6599-7E9C-40C2-84AF-FEA602909259}"/>
    <cellStyle name="Separador de milhares 6 2 2 20" xfId="19754" xr:uid="{00000000-0005-0000-0000-00000E570000}"/>
    <cellStyle name="Separador de milhares 6 2 2 20 2" xfId="19755" xr:uid="{00000000-0005-0000-0000-00000F570000}"/>
    <cellStyle name="Separador de milhares 6 2 2 20 2 2" xfId="28792" xr:uid="{A9D9CE82-9A6A-4D8E-9D15-FC3FABCBD7AD}"/>
    <cellStyle name="Separador de milhares 6 2 2 20 3" xfId="28791" xr:uid="{C6666459-4512-4BA6-A4E7-75C93909FDC5}"/>
    <cellStyle name="Separador de milhares 6 2 2 21" xfId="19756" xr:uid="{00000000-0005-0000-0000-000010570000}"/>
    <cellStyle name="Separador de milhares 6 2 2 21 2" xfId="19757" xr:uid="{00000000-0005-0000-0000-000011570000}"/>
    <cellStyle name="Separador de milhares 6 2 2 21 2 2" xfId="28794" xr:uid="{804724D3-DCF1-46AC-9AE6-FDDA7BA9FF5B}"/>
    <cellStyle name="Separador de milhares 6 2 2 21 3" xfId="28793" xr:uid="{A749221D-4A22-4567-8396-9914D1F547AD}"/>
    <cellStyle name="Separador de milhares 6 2 2 22" xfId="19758" xr:uid="{00000000-0005-0000-0000-000012570000}"/>
    <cellStyle name="Separador de milhares 6 2 2 22 2" xfId="19759" xr:uid="{00000000-0005-0000-0000-000013570000}"/>
    <cellStyle name="Separador de milhares 6 2 2 22 2 2" xfId="28796" xr:uid="{C8938251-2DCC-4796-8B10-348DC3ED0AD0}"/>
    <cellStyle name="Separador de milhares 6 2 2 22 3" xfId="28795" xr:uid="{3F5A9777-AB0F-4A68-AE21-A2BABB3EEB16}"/>
    <cellStyle name="Separador de milhares 6 2 2 23" xfId="19760" xr:uid="{00000000-0005-0000-0000-000014570000}"/>
    <cellStyle name="Separador de milhares 6 2 2 23 2" xfId="19761" xr:uid="{00000000-0005-0000-0000-000015570000}"/>
    <cellStyle name="Separador de milhares 6 2 2 23 2 2" xfId="28798" xr:uid="{B1801ED6-4B64-40B6-A4E3-F6FD773D348F}"/>
    <cellStyle name="Separador de milhares 6 2 2 23 3" xfId="28797" xr:uid="{E8A6D387-A614-44F5-9B75-F8283C8A235E}"/>
    <cellStyle name="Separador de milhares 6 2 2 24" xfId="19762" xr:uid="{00000000-0005-0000-0000-000016570000}"/>
    <cellStyle name="Separador de milhares 6 2 2 24 2" xfId="19763" xr:uid="{00000000-0005-0000-0000-000017570000}"/>
    <cellStyle name="Separador de milhares 6 2 2 24 2 2" xfId="28800" xr:uid="{759C8F38-891B-4907-BED5-2D0B48289505}"/>
    <cellStyle name="Separador de milhares 6 2 2 24 3" xfId="28799" xr:uid="{801D2CE3-2155-4FF0-A330-E0914F30EF9D}"/>
    <cellStyle name="Separador de milhares 6 2 2 25" xfId="19764" xr:uid="{00000000-0005-0000-0000-000018570000}"/>
    <cellStyle name="Separador de milhares 6 2 2 25 2" xfId="19765" xr:uid="{00000000-0005-0000-0000-000019570000}"/>
    <cellStyle name="Separador de milhares 6 2 2 25 2 2" xfId="28802" xr:uid="{CFEB86E3-2BB5-4E4D-8551-49026469E66B}"/>
    <cellStyle name="Separador de milhares 6 2 2 25 3" xfId="28801" xr:uid="{382E33DF-0D8C-4609-A8B2-3EB6ECEA6991}"/>
    <cellStyle name="Separador de milhares 6 2 2 26" xfId="19766" xr:uid="{00000000-0005-0000-0000-00001A570000}"/>
    <cellStyle name="Separador de milhares 6 2 2 26 2" xfId="19767" xr:uid="{00000000-0005-0000-0000-00001B570000}"/>
    <cellStyle name="Separador de milhares 6 2 2 26 2 2" xfId="28804" xr:uid="{409FD9D9-61D1-4D43-81BC-3171B2923C4C}"/>
    <cellStyle name="Separador de milhares 6 2 2 26 3" xfId="28803" xr:uid="{2760A2DB-4294-44A2-901E-F78A8E9C6812}"/>
    <cellStyle name="Separador de milhares 6 2 2 27" xfId="19768" xr:uid="{00000000-0005-0000-0000-00001C570000}"/>
    <cellStyle name="Separador de milhares 6 2 2 27 2" xfId="19769" xr:uid="{00000000-0005-0000-0000-00001D570000}"/>
    <cellStyle name="Separador de milhares 6 2 2 27 2 2" xfId="28806" xr:uid="{D903511E-1C79-4D7E-8475-F7485EEC48AD}"/>
    <cellStyle name="Separador de milhares 6 2 2 27 3" xfId="28805" xr:uid="{6D84B48F-9134-43DB-9C15-85BA79C501B1}"/>
    <cellStyle name="Separador de milhares 6 2 2 28" xfId="19770" xr:uid="{00000000-0005-0000-0000-00001E570000}"/>
    <cellStyle name="Separador de milhares 6 2 2 28 2" xfId="19771" xr:uid="{00000000-0005-0000-0000-00001F570000}"/>
    <cellStyle name="Separador de milhares 6 2 2 28 2 2" xfId="28808" xr:uid="{AD76DC4B-775D-4F1F-AC20-E62040A7B6E5}"/>
    <cellStyle name="Separador de milhares 6 2 2 28 3" xfId="28807" xr:uid="{55C50BD5-0EC9-4C6E-BBE5-AFB4835379BD}"/>
    <cellStyle name="Separador de milhares 6 2 2 29" xfId="19772" xr:uid="{00000000-0005-0000-0000-000020570000}"/>
    <cellStyle name="Separador de milhares 6 2 2 29 2" xfId="19773" xr:uid="{00000000-0005-0000-0000-000021570000}"/>
    <cellStyle name="Separador de milhares 6 2 2 29 2 2" xfId="28810" xr:uid="{575DCBD0-277A-4A41-9C21-53920F3C0CE0}"/>
    <cellStyle name="Separador de milhares 6 2 2 29 3" xfId="28809" xr:uid="{69E838CC-D2EB-492A-9AB8-7DEFF1E40777}"/>
    <cellStyle name="Separador de milhares 6 2 2 3" xfId="811" xr:uid="{00000000-0005-0000-0000-000022570000}"/>
    <cellStyle name="Separador de milhares 6 2 2 3 2" xfId="19775" xr:uid="{00000000-0005-0000-0000-000023570000}"/>
    <cellStyle name="Separador de milhares 6 2 2 3 2 2" xfId="28811" xr:uid="{928A2078-67A9-4386-B99C-0FF27C9A68CF}"/>
    <cellStyle name="Separador de milhares 6 2 2 3 3" xfId="19774" xr:uid="{00000000-0005-0000-0000-000024570000}"/>
    <cellStyle name="Separador de milhares 6 2 2 3 4" xfId="27204" xr:uid="{00000000-0005-0000-0000-000025570000}"/>
    <cellStyle name="Separador de milhares 6 2 2 3 4 2" xfId="33046" xr:uid="{D17DADE0-6CEB-45F1-B7A4-70B40D7A5A8D}"/>
    <cellStyle name="Separador de milhares 6 2 2 3 5" xfId="27384" xr:uid="{00000000-0005-0000-0000-000026570000}"/>
    <cellStyle name="Separador de milhares 6 2 2 3 5 2" xfId="33221" xr:uid="{8B0748BB-1BEB-49A1-B3F3-62C0FF5A481F}"/>
    <cellStyle name="Separador de milhares 6 2 2 3 6" xfId="27562" xr:uid="{00000000-0005-0000-0000-000027570000}"/>
    <cellStyle name="Separador de milhares 6 2 2 3 6 2" xfId="33374" xr:uid="{8BC11025-9DB1-492C-89F4-3402E32930A0}"/>
    <cellStyle name="Separador de milhares 6 2 2 3 7" xfId="27713" xr:uid="{00000000-0005-0000-0000-000028570000}"/>
    <cellStyle name="Separador de milhares 6 2 2 3 7 2" xfId="33524" xr:uid="{F1BEF463-612B-4188-A62B-69D8CEB9E2E0}"/>
    <cellStyle name="Separador de milhares 6 2 2 3 8" xfId="28044" xr:uid="{900D8664-1236-4567-82AD-274499F1B33E}"/>
    <cellStyle name="Separador de milhares 6 2 2 30" xfId="19776" xr:uid="{00000000-0005-0000-0000-000029570000}"/>
    <cellStyle name="Separador de milhares 6 2 2 30 2" xfId="19777" xr:uid="{00000000-0005-0000-0000-00002A570000}"/>
    <cellStyle name="Separador de milhares 6 2 2 30 2 2" xfId="28813" xr:uid="{F7FEBAE1-330C-41F7-BF20-6F1D73FEFB97}"/>
    <cellStyle name="Separador de milhares 6 2 2 30 3" xfId="28812" xr:uid="{CABE1907-B1EF-4D2D-B2BC-083F8FF54A12}"/>
    <cellStyle name="Separador de milhares 6 2 2 31" xfId="19778" xr:uid="{00000000-0005-0000-0000-00002B570000}"/>
    <cellStyle name="Separador de milhares 6 2 2 31 2" xfId="19779" xr:uid="{00000000-0005-0000-0000-00002C570000}"/>
    <cellStyle name="Separador de milhares 6 2 2 31 2 2" xfId="28815" xr:uid="{2C2ADA88-7BC7-4045-B1D9-93D944D14592}"/>
    <cellStyle name="Separador de milhares 6 2 2 31 3" xfId="28814" xr:uid="{715A06DE-A8DD-4127-A18E-FE90F60A4CD0}"/>
    <cellStyle name="Separador de milhares 6 2 2 32" xfId="19780" xr:uid="{00000000-0005-0000-0000-00002D570000}"/>
    <cellStyle name="Separador de milhares 6 2 2 32 2" xfId="19781" xr:uid="{00000000-0005-0000-0000-00002E570000}"/>
    <cellStyle name="Separador de milhares 6 2 2 32 2 2" xfId="28817" xr:uid="{FFBD8188-E111-4DBC-BD3A-5E67AB755521}"/>
    <cellStyle name="Separador de milhares 6 2 2 32 3" xfId="28816" xr:uid="{58DAEDEE-11B0-4737-904B-D2EC8276DEF4}"/>
    <cellStyle name="Separador de milhares 6 2 2 33" xfId="19782" xr:uid="{00000000-0005-0000-0000-00002F570000}"/>
    <cellStyle name="Separador de milhares 6 2 2 33 2" xfId="19783" xr:uid="{00000000-0005-0000-0000-000030570000}"/>
    <cellStyle name="Separador de milhares 6 2 2 33 2 2" xfId="28819" xr:uid="{467CE4C0-7196-4E7B-888D-3BB219DC8564}"/>
    <cellStyle name="Separador de milhares 6 2 2 33 3" xfId="28818" xr:uid="{FE083422-A798-467A-B1E6-F289DCB011F8}"/>
    <cellStyle name="Separador de milhares 6 2 2 34" xfId="19784" xr:uid="{00000000-0005-0000-0000-000031570000}"/>
    <cellStyle name="Separador de milhares 6 2 2 34 2" xfId="19785" xr:uid="{00000000-0005-0000-0000-000032570000}"/>
    <cellStyle name="Separador de milhares 6 2 2 34 2 2" xfId="28821" xr:uid="{247A507D-6443-46B1-8068-5A297FEF489C}"/>
    <cellStyle name="Separador de milhares 6 2 2 34 3" xfId="28820" xr:uid="{1CF56549-C7C0-44F1-ABAE-68AF8B00C8E5}"/>
    <cellStyle name="Separador de milhares 6 2 2 35" xfId="19786" xr:uid="{00000000-0005-0000-0000-000033570000}"/>
    <cellStyle name="Separador de milhares 6 2 2 35 2" xfId="28822" xr:uid="{10F6B406-2445-4985-9E89-DEF78840450A}"/>
    <cellStyle name="Separador de milhares 6 2 2 36" xfId="19731" xr:uid="{00000000-0005-0000-0000-000034570000}"/>
    <cellStyle name="Separador de milhares 6 2 2 37" xfId="27201" xr:uid="{00000000-0005-0000-0000-000035570000}"/>
    <cellStyle name="Separador de milhares 6 2 2 37 2" xfId="33043" xr:uid="{4196CC0D-8F72-4A3C-83A9-87A99D10AC72}"/>
    <cellStyle name="Separador de milhares 6 2 2 38" xfId="27381" xr:uid="{00000000-0005-0000-0000-000036570000}"/>
    <cellStyle name="Separador de milhares 6 2 2 38 2" xfId="33218" xr:uid="{D076DFC5-9611-40A0-9B0F-B10E8ABD0D66}"/>
    <cellStyle name="Separador de milhares 6 2 2 39" xfId="27559" xr:uid="{00000000-0005-0000-0000-000037570000}"/>
    <cellStyle name="Separador de milhares 6 2 2 39 2" xfId="33371" xr:uid="{BF73E2B1-6AB2-4FFB-ABD1-37789140682E}"/>
    <cellStyle name="Separador de milhares 6 2 2 4" xfId="19787" xr:uid="{00000000-0005-0000-0000-000038570000}"/>
    <cellStyle name="Separador de milhares 6 2 2 4 2" xfId="19788" xr:uid="{00000000-0005-0000-0000-000039570000}"/>
    <cellStyle name="Separador de milhares 6 2 2 4 2 2" xfId="28823" xr:uid="{385D9D6C-DCE5-4847-9D68-68BB2CCBF671}"/>
    <cellStyle name="Separador de milhares 6 2 2 40" xfId="27710" xr:uid="{00000000-0005-0000-0000-00003A570000}"/>
    <cellStyle name="Separador de milhares 6 2 2 40 2" xfId="33521" xr:uid="{DB3BC7E1-2634-4B6D-8AAD-172C6DDD2DB1}"/>
    <cellStyle name="Separador de milhares 6 2 2 41" xfId="28041" xr:uid="{1ACC14F6-AABE-4F6F-A957-8984C234DA20}"/>
    <cellStyle name="Separador de milhares 6 2 2 5" xfId="19789" xr:uid="{00000000-0005-0000-0000-00003B570000}"/>
    <cellStyle name="Separador de milhares 6 2 2 5 2" xfId="19790" xr:uid="{00000000-0005-0000-0000-00003C570000}"/>
    <cellStyle name="Separador de milhares 6 2 2 5 2 2" xfId="28824" xr:uid="{FDFD2D09-528F-4FBB-861C-AF721E97EB32}"/>
    <cellStyle name="Separador de milhares 6 2 2 6" xfId="19791" xr:uid="{00000000-0005-0000-0000-00003D570000}"/>
    <cellStyle name="Separador de milhares 6 2 2 6 2" xfId="19792" xr:uid="{00000000-0005-0000-0000-00003E570000}"/>
    <cellStyle name="Separador de milhares 6 2 2 6 2 2" xfId="28825" xr:uid="{1413C425-2018-45AE-BA4D-45E3248CF33E}"/>
    <cellStyle name="Separador de milhares 6 2 2 7" xfId="19793" xr:uid="{00000000-0005-0000-0000-00003F570000}"/>
    <cellStyle name="Separador de milhares 6 2 2 7 2" xfId="19794" xr:uid="{00000000-0005-0000-0000-000040570000}"/>
    <cellStyle name="Separador de milhares 6 2 2 7 2 2" xfId="28826" xr:uid="{7A230632-6906-4E14-9FD1-71A3593428BB}"/>
    <cellStyle name="Separador de milhares 6 2 2 8" xfId="19795" xr:uid="{00000000-0005-0000-0000-000041570000}"/>
    <cellStyle name="Separador de milhares 6 2 2 8 2" xfId="19796" xr:uid="{00000000-0005-0000-0000-000042570000}"/>
    <cellStyle name="Separador de milhares 6 2 2 8 2 2" xfId="28827" xr:uid="{E4758F1E-88F0-4C83-BA34-9FD3514A7FCD}"/>
    <cellStyle name="Separador de milhares 6 2 2 9" xfId="19797" xr:uid="{00000000-0005-0000-0000-000043570000}"/>
    <cellStyle name="Separador de milhares 6 2 2 9 2" xfId="19798" xr:uid="{00000000-0005-0000-0000-000044570000}"/>
    <cellStyle name="Separador de milhares 6 2 2 9 2 2" xfId="28828" xr:uid="{8D8934D5-527C-4A61-89F7-1923E28272E7}"/>
    <cellStyle name="Separador de milhares 6 2 20" xfId="19799" xr:uid="{00000000-0005-0000-0000-000045570000}"/>
    <cellStyle name="Separador de milhares 6 2 20 2" xfId="19800" xr:uid="{00000000-0005-0000-0000-000046570000}"/>
    <cellStyle name="Separador de milhares 6 2 20 2 2" xfId="28830" xr:uid="{AD9DE39D-F197-4DEF-ACC9-85B46859B838}"/>
    <cellStyle name="Separador de milhares 6 2 20 3" xfId="28829" xr:uid="{52E429FD-C4D5-491B-81A8-626F5E8AA530}"/>
    <cellStyle name="Separador de milhares 6 2 21" xfId="19801" xr:uid="{00000000-0005-0000-0000-000047570000}"/>
    <cellStyle name="Separador de milhares 6 2 21 2" xfId="19802" xr:uid="{00000000-0005-0000-0000-000048570000}"/>
    <cellStyle name="Separador de milhares 6 2 21 2 2" xfId="28832" xr:uid="{8384845C-6EC1-4BE0-AA8C-D3488B131B64}"/>
    <cellStyle name="Separador de milhares 6 2 21 3" xfId="28831" xr:uid="{BAFEA23C-D1BF-4192-BC5E-B8BD54D0BECD}"/>
    <cellStyle name="Separador de milhares 6 2 22" xfId="19803" xr:uid="{00000000-0005-0000-0000-000049570000}"/>
    <cellStyle name="Separador de milhares 6 2 22 2" xfId="19804" xr:uid="{00000000-0005-0000-0000-00004A570000}"/>
    <cellStyle name="Separador de milhares 6 2 22 2 2" xfId="28834" xr:uid="{34C29D66-08F3-4B72-BE61-7090B941E833}"/>
    <cellStyle name="Separador de milhares 6 2 22 3" xfId="28833" xr:uid="{08D07491-05F5-452B-A392-8D264151F469}"/>
    <cellStyle name="Separador de milhares 6 2 23" xfId="19805" xr:uid="{00000000-0005-0000-0000-00004B570000}"/>
    <cellStyle name="Separador de milhares 6 2 23 2" xfId="19806" xr:uid="{00000000-0005-0000-0000-00004C570000}"/>
    <cellStyle name="Separador de milhares 6 2 23 2 2" xfId="28836" xr:uid="{0567E4AA-9788-412B-8F90-1F3952948810}"/>
    <cellStyle name="Separador de milhares 6 2 23 3" xfId="28835" xr:uid="{9A9D70C5-2859-4BFD-B2DB-BD4144935A70}"/>
    <cellStyle name="Separador de milhares 6 2 24" xfId="19807" xr:uid="{00000000-0005-0000-0000-00004D570000}"/>
    <cellStyle name="Separador de milhares 6 2 24 2" xfId="19808" xr:uid="{00000000-0005-0000-0000-00004E570000}"/>
    <cellStyle name="Separador de milhares 6 2 24 2 2" xfId="28838" xr:uid="{5E18CD45-BF18-4645-9B4E-AA244C09BD75}"/>
    <cellStyle name="Separador de milhares 6 2 24 3" xfId="28837" xr:uid="{3C9D6CF9-8EFD-404D-B63B-60DACE28B52E}"/>
    <cellStyle name="Separador de milhares 6 2 25" xfId="19809" xr:uid="{00000000-0005-0000-0000-00004F570000}"/>
    <cellStyle name="Separador de milhares 6 2 25 2" xfId="19810" xr:uid="{00000000-0005-0000-0000-000050570000}"/>
    <cellStyle name="Separador de milhares 6 2 25 2 2" xfId="28840" xr:uid="{4ADE0381-A61D-4449-9CF7-2F6943848E9A}"/>
    <cellStyle name="Separador de milhares 6 2 25 3" xfId="28839" xr:uid="{C76FAB4E-2E57-4F68-91AE-E4E3923C00C3}"/>
    <cellStyle name="Separador de milhares 6 2 26" xfId="19811" xr:uid="{00000000-0005-0000-0000-000051570000}"/>
    <cellStyle name="Separador de milhares 6 2 26 2" xfId="19812" xr:uid="{00000000-0005-0000-0000-000052570000}"/>
    <cellStyle name="Separador de milhares 6 2 26 2 2" xfId="28842" xr:uid="{15AC92A9-1BF9-40C5-AE91-D3432472A6EA}"/>
    <cellStyle name="Separador de milhares 6 2 26 3" xfId="28841" xr:uid="{B7F679DF-EDDF-4C6C-9700-87317FE197DD}"/>
    <cellStyle name="Separador de milhares 6 2 27" xfId="19813" xr:uid="{00000000-0005-0000-0000-000053570000}"/>
    <cellStyle name="Separador de milhares 6 2 27 2" xfId="19814" xr:uid="{00000000-0005-0000-0000-000054570000}"/>
    <cellStyle name="Separador de milhares 6 2 27 2 2" xfId="28844" xr:uid="{B7CF7B39-9681-4290-8A3B-BBE7ACD45D15}"/>
    <cellStyle name="Separador de milhares 6 2 27 3" xfId="28843" xr:uid="{6FA3BAEF-8442-4823-995A-BEB07E63B334}"/>
    <cellStyle name="Separador de milhares 6 2 28" xfId="19815" xr:uid="{00000000-0005-0000-0000-000055570000}"/>
    <cellStyle name="Separador de milhares 6 2 28 2" xfId="19816" xr:uid="{00000000-0005-0000-0000-000056570000}"/>
    <cellStyle name="Separador de milhares 6 2 28 2 2" xfId="28846" xr:uid="{8FA4926D-5E60-4D00-A6CC-57D5AE7C99A8}"/>
    <cellStyle name="Separador de milhares 6 2 28 3" xfId="28845" xr:uid="{8887A73C-C616-4BFC-AB62-BA7186D8F535}"/>
    <cellStyle name="Separador de milhares 6 2 29" xfId="19817" xr:uid="{00000000-0005-0000-0000-000057570000}"/>
    <cellStyle name="Separador de milhares 6 2 29 2" xfId="19818" xr:uid="{00000000-0005-0000-0000-000058570000}"/>
    <cellStyle name="Separador de milhares 6 2 29 2 2" xfId="28848" xr:uid="{BD12FC86-8EA6-444D-9C38-D4747E173FDD}"/>
    <cellStyle name="Separador de milhares 6 2 29 3" xfId="28847" xr:uid="{953176E3-F693-48CA-A376-770E8AD33965}"/>
    <cellStyle name="Separador de milhares 6 2 3" xfId="812" xr:uid="{00000000-0005-0000-0000-000059570000}"/>
    <cellStyle name="Separador de milhares 6 2 3 10" xfId="19820" xr:uid="{00000000-0005-0000-0000-00005A570000}"/>
    <cellStyle name="Separador de milhares 6 2 3 10 2" xfId="19821" xr:uid="{00000000-0005-0000-0000-00005B570000}"/>
    <cellStyle name="Separador de milhares 6 2 3 10 2 2" xfId="28849" xr:uid="{CC659D73-97A0-4994-9231-2E123158FF4F}"/>
    <cellStyle name="Separador de milhares 6 2 3 11" xfId="19822" xr:uid="{00000000-0005-0000-0000-00005C570000}"/>
    <cellStyle name="Separador de milhares 6 2 3 11 2" xfId="19823" xr:uid="{00000000-0005-0000-0000-00005D570000}"/>
    <cellStyle name="Separador de milhares 6 2 3 11 2 2" xfId="28851" xr:uid="{F4B4C586-56CF-4F65-BAAC-1EF5511376C6}"/>
    <cellStyle name="Separador de milhares 6 2 3 11 3" xfId="28850" xr:uid="{FDB08581-85C1-41FF-9EAF-F6CB4E6C8659}"/>
    <cellStyle name="Separador de milhares 6 2 3 12" xfId="19824" xr:uid="{00000000-0005-0000-0000-00005E570000}"/>
    <cellStyle name="Separador de milhares 6 2 3 12 2" xfId="19825" xr:uid="{00000000-0005-0000-0000-00005F570000}"/>
    <cellStyle name="Separador de milhares 6 2 3 12 2 2" xfId="28853" xr:uid="{CCE6E316-8D01-441E-A96A-2D23C4E0210E}"/>
    <cellStyle name="Separador de milhares 6 2 3 12 3" xfId="28852" xr:uid="{8AD7B9A9-1888-46B6-8855-9FBFBEDBEF63}"/>
    <cellStyle name="Separador de milhares 6 2 3 13" xfId="19826" xr:uid="{00000000-0005-0000-0000-000060570000}"/>
    <cellStyle name="Separador de milhares 6 2 3 13 2" xfId="19827" xr:uid="{00000000-0005-0000-0000-000061570000}"/>
    <cellStyle name="Separador de milhares 6 2 3 13 2 2" xfId="28855" xr:uid="{D2EE3A80-A58F-4F2C-88CA-0E60C6E14E18}"/>
    <cellStyle name="Separador de milhares 6 2 3 13 3" xfId="28854" xr:uid="{2AE339C9-8591-4F2A-84BA-6FF059651AE9}"/>
    <cellStyle name="Separador de milhares 6 2 3 14" xfId="19828" xr:uid="{00000000-0005-0000-0000-000062570000}"/>
    <cellStyle name="Separador de milhares 6 2 3 14 2" xfId="19829" xr:uid="{00000000-0005-0000-0000-000063570000}"/>
    <cellStyle name="Separador de milhares 6 2 3 14 2 2" xfId="28857" xr:uid="{C6172662-24FD-44E4-979B-F6793176652E}"/>
    <cellStyle name="Separador de milhares 6 2 3 14 3" xfId="28856" xr:uid="{41792107-7673-40BF-9E7A-9F60F602433C}"/>
    <cellStyle name="Separador de milhares 6 2 3 15" xfId="19830" xr:uid="{00000000-0005-0000-0000-000064570000}"/>
    <cellStyle name="Separador de milhares 6 2 3 15 2" xfId="19831" xr:uid="{00000000-0005-0000-0000-000065570000}"/>
    <cellStyle name="Separador de milhares 6 2 3 15 2 2" xfId="28859" xr:uid="{746723EB-F163-48B7-B58D-99CF657D20BB}"/>
    <cellStyle name="Separador de milhares 6 2 3 15 3" xfId="28858" xr:uid="{C131B027-FEB1-4180-9628-E94A0AEED2E2}"/>
    <cellStyle name="Separador de milhares 6 2 3 16" xfId="19832" xr:uid="{00000000-0005-0000-0000-000066570000}"/>
    <cellStyle name="Separador de milhares 6 2 3 16 2" xfId="19833" xr:uid="{00000000-0005-0000-0000-000067570000}"/>
    <cellStyle name="Separador de milhares 6 2 3 16 2 2" xfId="28861" xr:uid="{DDE903B5-80AF-47A1-8443-A84A7D71F8CA}"/>
    <cellStyle name="Separador de milhares 6 2 3 16 3" xfId="28860" xr:uid="{CD175444-E9BE-42A6-990D-B90CDA0EC3A2}"/>
    <cellStyle name="Separador de milhares 6 2 3 17" xfId="19834" xr:uid="{00000000-0005-0000-0000-000068570000}"/>
    <cellStyle name="Separador de milhares 6 2 3 17 2" xfId="19835" xr:uid="{00000000-0005-0000-0000-000069570000}"/>
    <cellStyle name="Separador de milhares 6 2 3 17 2 2" xfId="28863" xr:uid="{FF204172-8257-48A0-817B-6FAEACF0B426}"/>
    <cellStyle name="Separador de milhares 6 2 3 17 3" xfId="28862" xr:uid="{BF157806-392D-4B9A-B7D3-23A07D515739}"/>
    <cellStyle name="Separador de milhares 6 2 3 18" xfId="19836" xr:uid="{00000000-0005-0000-0000-00006A570000}"/>
    <cellStyle name="Separador de milhares 6 2 3 18 2" xfId="19837" xr:uid="{00000000-0005-0000-0000-00006B570000}"/>
    <cellStyle name="Separador de milhares 6 2 3 18 2 2" xfId="28865" xr:uid="{6E3D7D6C-D149-4747-88AF-1CA79BDDE3AA}"/>
    <cellStyle name="Separador de milhares 6 2 3 18 3" xfId="28864" xr:uid="{66B83C35-4053-43E5-BD11-85D6959FC5AA}"/>
    <cellStyle name="Separador de milhares 6 2 3 19" xfId="19838" xr:uid="{00000000-0005-0000-0000-00006C570000}"/>
    <cellStyle name="Separador de milhares 6 2 3 19 2" xfId="19839" xr:uid="{00000000-0005-0000-0000-00006D570000}"/>
    <cellStyle name="Separador de milhares 6 2 3 19 2 2" xfId="28867" xr:uid="{0C9B6562-B4EA-4003-8206-087F132E0FEB}"/>
    <cellStyle name="Separador de milhares 6 2 3 19 3" xfId="28866" xr:uid="{DECA42C0-9EDF-4187-9D3D-569FD58BA671}"/>
    <cellStyle name="Separador de milhares 6 2 3 2" xfId="813" xr:uid="{00000000-0005-0000-0000-00006E570000}"/>
    <cellStyle name="Separador de milhares 6 2 3 2 2" xfId="19841" xr:uid="{00000000-0005-0000-0000-00006F570000}"/>
    <cellStyle name="Separador de milhares 6 2 3 2 2 2" xfId="28868" xr:uid="{BF2C5449-FB94-4366-90E7-476E9FBF3310}"/>
    <cellStyle name="Separador de milhares 6 2 3 2 3" xfId="19840" xr:uid="{00000000-0005-0000-0000-000070570000}"/>
    <cellStyle name="Separador de milhares 6 2 3 2 4" xfId="27206" xr:uid="{00000000-0005-0000-0000-000071570000}"/>
    <cellStyle name="Separador de milhares 6 2 3 2 4 2" xfId="33048" xr:uid="{BF55CFE6-671C-4F4C-B6E3-378771E2BA5E}"/>
    <cellStyle name="Separador de milhares 6 2 3 2 5" xfId="27386" xr:uid="{00000000-0005-0000-0000-000072570000}"/>
    <cellStyle name="Separador de milhares 6 2 3 2 5 2" xfId="33223" xr:uid="{8C1E74A5-FD5F-4B43-B668-FD72DF0807AF}"/>
    <cellStyle name="Separador de milhares 6 2 3 2 6" xfId="27564" xr:uid="{00000000-0005-0000-0000-000073570000}"/>
    <cellStyle name="Separador de milhares 6 2 3 2 6 2" xfId="33376" xr:uid="{4F169DEA-C9F5-46B8-9150-71B7B778F54E}"/>
    <cellStyle name="Separador de milhares 6 2 3 2 7" xfId="27715" xr:uid="{00000000-0005-0000-0000-000074570000}"/>
    <cellStyle name="Separador de milhares 6 2 3 2 7 2" xfId="33526" xr:uid="{541B21AE-6F25-4063-954A-66E10B19DE1D}"/>
    <cellStyle name="Separador de milhares 6 2 3 2 8" xfId="28046" xr:uid="{1F639C0C-C0BD-4467-B604-C74D81BFCFE1}"/>
    <cellStyle name="Separador de milhares 6 2 3 20" xfId="19842" xr:uid="{00000000-0005-0000-0000-000075570000}"/>
    <cellStyle name="Separador de milhares 6 2 3 20 2" xfId="19843" xr:uid="{00000000-0005-0000-0000-000076570000}"/>
    <cellStyle name="Separador de milhares 6 2 3 20 2 2" xfId="28870" xr:uid="{37BB9AC5-CAB2-4A22-8FBC-40537900AC39}"/>
    <cellStyle name="Separador de milhares 6 2 3 20 3" xfId="28869" xr:uid="{35114D72-924D-4AFB-93B5-2EA29A56A490}"/>
    <cellStyle name="Separador de milhares 6 2 3 21" xfId="19844" xr:uid="{00000000-0005-0000-0000-000077570000}"/>
    <cellStyle name="Separador de milhares 6 2 3 21 2" xfId="19845" xr:uid="{00000000-0005-0000-0000-000078570000}"/>
    <cellStyle name="Separador de milhares 6 2 3 21 2 2" xfId="28872" xr:uid="{DE5DA1AE-1E64-4EF4-AB6B-A873B11787AC}"/>
    <cellStyle name="Separador de milhares 6 2 3 21 3" xfId="28871" xr:uid="{7E7B52A9-F0B3-42A9-809D-F77B08ACBC07}"/>
    <cellStyle name="Separador de milhares 6 2 3 22" xfId="19846" xr:uid="{00000000-0005-0000-0000-000079570000}"/>
    <cellStyle name="Separador de milhares 6 2 3 22 2" xfId="19847" xr:uid="{00000000-0005-0000-0000-00007A570000}"/>
    <cellStyle name="Separador de milhares 6 2 3 22 2 2" xfId="28874" xr:uid="{E187D88D-97A4-4BDF-985B-0B68A35F2131}"/>
    <cellStyle name="Separador de milhares 6 2 3 22 3" xfId="28873" xr:uid="{A31B2717-92AA-4F42-81AE-9E105EF38CAF}"/>
    <cellStyle name="Separador de milhares 6 2 3 23" xfId="19848" xr:uid="{00000000-0005-0000-0000-00007B570000}"/>
    <cellStyle name="Separador de milhares 6 2 3 23 2" xfId="19849" xr:uid="{00000000-0005-0000-0000-00007C570000}"/>
    <cellStyle name="Separador de milhares 6 2 3 23 2 2" xfId="28876" xr:uid="{1D967A73-9B9A-4AEB-B724-0725F301495E}"/>
    <cellStyle name="Separador de milhares 6 2 3 23 3" xfId="28875" xr:uid="{EA9D8DE8-D251-4220-953E-6783C081C98E}"/>
    <cellStyle name="Separador de milhares 6 2 3 24" xfId="19850" xr:uid="{00000000-0005-0000-0000-00007D570000}"/>
    <cellStyle name="Separador de milhares 6 2 3 24 2" xfId="19851" xr:uid="{00000000-0005-0000-0000-00007E570000}"/>
    <cellStyle name="Separador de milhares 6 2 3 24 2 2" xfId="28878" xr:uid="{7C558816-580C-4F79-A596-63147619FF92}"/>
    <cellStyle name="Separador de milhares 6 2 3 24 3" xfId="28877" xr:uid="{EC35536A-42EB-44F0-8D85-7BD0B6900852}"/>
    <cellStyle name="Separador de milhares 6 2 3 25" xfId="19852" xr:uid="{00000000-0005-0000-0000-00007F570000}"/>
    <cellStyle name="Separador de milhares 6 2 3 25 2" xfId="19853" xr:uid="{00000000-0005-0000-0000-000080570000}"/>
    <cellStyle name="Separador de milhares 6 2 3 25 2 2" xfId="28880" xr:uid="{D166A24C-4774-4D5F-941A-2BD1C0EE444C}"/>
    <cellStyle name="Separador de milhares 6 2 3 25 3" xfId="28879" xr:uid="{053E4C80-907A-42DA-B978-04ADAA1C6A62}"/>
    <cellStyle name="Separador de milhares 6 2 3 26" xfId="19854" xr:uid="{00000000-0005-0000-0000-000081570000}"/>
    <cellStyle name="Separador de milhares 6 2 3 26 2" xfId="19855" xr:uid="{00000000-0005-0000-0000-000082570000}"/>
    <cellStyle name="Separador de milhares 6 2 3 26 2 2" xfId="28882" xr:uid="{37790CA8-E119-4B12-A6F0-1EF00EB8B718}"/>
    <cellStyle name="Separador de milhares 6 2 3 26 3" xfId="28881" xr:uid="{3CFF90EF-7B1C-427B-8083-385DCF733408}"/>
    <cellStyle name="Separador de milhares 6 2 3 27" xfId="19856" xr:uid="{00000000-0005-0000-0000-000083570000}"/>
    <cellStyle name="Separador de milhares 6 2 3 27 2" xfId="19857" xr:uid="{00000000-0005-0000-0000-000084570000}"/>
    <cellStyle name="Separador de milhares 6 2 3 27 2 2" xfId="28884" xr:uid="{8DFC58B4-C443-4F34-9E90-57168FE09E66}"/>
    <cellStyle name="Separador de milhares 6 2 3 27 3" xfId="28883" xr:uid="{FEEA9450-C8ED-4096-A22A-68EFE38B4C8F}"/>
    <cellStyle name="Separador de milhares 6 2 3 28" xfId="19858" xr:uid="{00000000-0005-0000-0000-000085570000}"/>
    <cellStyle name="Separador de milhares 6 2 3 28 2" xfId="19859" xr:uid="{00000000-0005-0000-0000-000086570000}"/>
    <cellStyle name="Separador de milhares 6 2 3 28 2 2" xfId="28886" xr:uid="{73C40D5E-51F4-440D-A5DC-D02071F93B0D}"/>
    <cellStyle name="Separador de milhares 6 2 3 28 3" xfId="28885" xr:uid="{100EF1D3-A480-4659-8B87-BAED0D01E757}"/>
    <cellStyle name="Separador de milhares 6 2 3 29" xfId="19860" xr:uid="{00000000-0005-0000-0000-000087570000}"/>
    <cellStyle name="Separador de milhares 6 2 3 29 2" xfId="19861" xr:uid="{00000000-0005-0000-0000-000088570000}"/>
    <cellStyle name="Separador de milhares 6 2 3 29 2 2" xfId="28888" xr:uid="{432012A9-9E8E-48A4-A78B-72B57E49FDC0}"/>
    <cellStyle name="Separador de milhares 6 2 3 29 3" xfId="28887" xr:uid="{F9D21ED4-8D3F-45A1-BF62-E15CA5453110}"/>
    <cellStyle name="Separador de milhares 6 2 3 3" xfId="19862" xr:uid="{00000000-0005-0000-0000-000089570000}"/>
    <cellStyle name="Separador de milhares 6 2 3 3 2" xfId="19863" xr:uid="{00000000-0005-0000-0000-00008A570000}"/>
    <cellStyle name="Separador de milhares 6 2 3 3 2 2" xfId="28889" xr:uid="{B20707F5-ABE4-4CB6-80A2-F0B429EE9A70}"/>
    <cellStyle name="Separador de milhares 6 2 3 30" xfId="19864" xr:uid="{00000000-0005-0000-0000-00008B570000}"/>
    <cellStyle name="Separador de milhares 6 2 3 30 2" xfId="19865" xr:uid="{00000000-0005-0000-0000-00008C570000}"/>
    <cellStyle name="Separador de milhares 6 2 3 30 2 2" xfId="28891" xr:uid="{F7624354-7C24-4F63-8189-18A6BB62F252}"/>
    <cellStyle name="Separador de milhares 6 2 3 30 3" xfId="28890" xr:uid="{0FA80EDE-B4BB-4224-89B9-D1C1C1A9A73F}"/>
    <cellStyle name="Separador de milhares 6 2 3 31" xfId="19866" xr:uid="{00000000-0005-0000-0000-00008D570000}"/>
    <cellStyle name="Separador de milhares 6 2 3 31 2" xfId="19867" xr:uid="{00000000-0005-0000-0000-00008E570000}"/>
    <cellStyle name="Separador de milhares 6 2 3 31 2 2" xfId="28893" xr:uid="{6EEBE6BC-E0AE-4F43-AC0C-18BB8621A54D}"/>
    <cellStyle name="Separador de milhares 6 2 3 31 3" xfId="28892" xr:uid="{A1430924-2A51-41BC-B698-1F5F27F6DF22}"/>
    <cellStyle name="Separador de milhares 6 2 3 32" xfId="19868" xr:uid="{00000000-0005-0000-0000-00008F570000}"/>
    <cellStyle name="Separador de milhares 6 2 3 32 2" xfId="19869" xr:uid="{00000000-0005-0000-0000-000090570000}"/>
    <cellStyle name="Separador de milhares 6 2 3 32 2 2" xfId="28895" xr:uid="{66D819C7-B9D8-4DBB-B7C7-6A154D64EC26}"/>
    <cellStyle name="Separador de milhares 6 2 3 32 3" xfId="28894" xr:uid="{866D8B61-6A29-44D7-834E-49A56AACEF53}"/>
    <cellStyle name="Separador de milhares 6 2 3 33" xfId="19870" xr:uid="{00000000-0005-0000-0000-000091570000}"/>
    <cellStyle name="Separador de milhares 6 2 3 33 2" xfId="19871" xr:uid="{00000000-0005-0000-0000-000092570000}"/>
    <cellStyle name="Separador de milhares 6 2 3 33 2 2" xfId="28897" xr:uid="{6BE5AC99-769C-4D2C-95BB-2FC9AE66FE2D}"/>
    <cellStyle name="Separador de milhares 6 2 3 33 3" xfId="28896" xr:uid="{35695493-CC85-4AE4-9BC7-1512519FFC29}"/>
    <cellStyle name="Separador de milhares 6 2 3 34" xfId="19872" xr:uid="{00000000-0005-0000-0000-000093570000}"/>
    <cellStyle name="Separador de milhares 6 2 3 34 2" xfId="19873" xr:uid="{00000000-0005-0000-0000-000094570000}"/>
    <cellStyle name="Separador de milhares 6 2 3 34 2 2" xfId="28899" xr:uid="{8058CDD5-CB16-4AAF-83FB-647C42E5EC27}"/>
    <cellStyle name="Separador de milhares 6 2 3 34 3" xfId="28898" xr:uid="{7167E643-D6EB-4650-BC41-90E5FDE487C1}"/>
    <cellStyle name="Separador de milhares 6 2 3 35" xfId="19874" xr:uid="{00000000-0005-0000-0000-000095570000}"/>
    <cellStyle name="Separador de milhares 6 2 3 35 2" xfId="28900" xr:uid="{2A92FF77-513F-4357-ABFA-0DB4752C2123}"/>
    <cellStyle name="Separador de milhares 6 2 3 36" xfId="19819" xr:uid="{00000000-0005-0000-0000-000096570000}"/>
    <cellStyle name="Separador de milhares 6 2 3 37" xfId="27205" xr:uid="{00000000-0005-0000-0000-000097570000}"/>
    <cellStyle name="Separador de milhares 6 2 3 37 2" xfId="33047" xr:uid="{8AD34EB2-9194-4C98-BC11-F0D3A8838B80}"/>
    <cellStyle name="Separador de milhares 6 2 3 38" xfId="27385" xr:uid="{00000000-0005-0000-0000-000098570000}"/>
    <cellStyle name="Separador de milhares 6 2 3 38 2" xfId="33222" xr:uid="{283F9C3A-B734-4250-BBF4-4B7AE02550C8}"/>
    <cellStyle name="Separador de milhares 6 2 3 39" xfId="27563" xr:uid="{00000000-0005-0000-0000-000099570000}"/>
    <cellStyle name="Separador de milhares 6 2 3 39 2" xfId="33375" xr:uid="{846ACB12-5287-415A-A322-655E04BD5E7B}"/>
    <cellStyle name="Separador de milhares 6 2 3 4" xfId="19875" xr:uid="{00000000-0005-0000-0000-00009A570000}"/>
    <cellStyle name="Separador de milhares 6 2 3 4 2" xfId="19876" xr:uid="{00000000-0005-0000-0000-00009B570000}"/>
    <cellStyle name="Separador de milhares 6 2 3 4 2 2" xfId="28901" xr:uid="{E7E8BD7C-2EC4-41BA-8F91-1896920E5E3C}"/>
    <cellStyle name="Separador de milhares 6 2 3 40" xfId="27714" xr:uid="{00000000-0005-0000-0000-00009C570000}"/>
    <cellStyle name="Separador de milhares 6 2 3 40 2" xfId="33525" xr:uid="{8FC5AC1C-89A1-4F9E-86D7-C26EF879386D}"/>
    <cellStyle name="Separador de milhares 6 2 3 41" xfId="28045" xr:uid="{C478CA2B-1227-444C-AAA2-C73D587B19E0}"/>
    <cellStyle name="Separador de milhares 6 2 3 5" xfId="19877" xr:uid="{00000000-0005-0000-0000-00009D570000}"/>
    <cellStyle name="Separador de milhares 6 2 3 5 2" xfId="19878" xr:uid="{00000000-0005-0000-0000-00009E570000}"/>
    <cellStyle name="Separador de milhares 6 2 3 5 2 2" xfId="28902" xr:uid="{603CEFC7-98B5-46A3-948D-C4260A328D90}"/>
    <cellStyle name="Separador de milhares 6 2 3 6" xfId="19879" xr:uid="{00000000-0005-0000-0000-00009F570000}"/>
    <cellStyle name="Separador de milhares 6 2 3 6 2" xfId="19880" xr:uid="{00000000-0005-0000-0000-0000A0570000}"/>
    <cellStyle name="Separador de milhares 6 2 3 6 2 2" xfId="28903" xr:uid="{1F79C8AE-82C0-427C-AB69-7437A8A705E1}"/>
    <cellStyle name="Separador de milhares 6 2 3 7" xfId="19881" xr:uid="{00000000-0005-0000-0000-0000A1570000}"/>
    <cellStyle name="Separador de milhares 6 2 3 7 2" xfId="19882" xr:uid="{00000000-0005-0000-0000-0000A2570000}"/>
    <cellStyle name="Separador de milhares 6 2 3 7 2 2" xfId="28904" xr:uid="{BD95D6B4-1275-4808-84B0-F63D0C58130A}"/>
    <cellStyle name="Separador de milhares 6 2 3 8" xfId="19883" xr:uid="{00000000-0005-0000-0000-0000A3570000}"/>
    <cellStyle name="Separador de milhares 6 2 3 8 2" xfId="19884" xr:uid="{00000000-0005-0000-0000-0000A4570000}"/>
    <cellStyle name="Separador de milhares 6 2 3 8 2 2" xfId="28905" xr:uid="{2838F168-6AAE-4E01-925A-ABCC1B51AC9A}"/>
    <cellStyle name="Separador de milhares 6 2 3 9" xfId="19885" xr:uid="{00000000-0005-0000-0000-0000A5570000}"/>
    <cellStyle name="Separador de milhares 6 2 3 9 2" xfId="19886" xr:uid="{00000000-0005-0000-0000-0000A6570000}"/>
    <cellStyle name="Separador de milhares 6 2 3 9 2 2" xfId="28906" xr:uid="{B697150E-592B-4004-B0A3-86AB359D17FC}"/>
    <cellStyle name="Separador de milhares 6 2 30" xfId="19887" xr:uid="{00000000-0005-0000-0000-0000A7570000}"/>
    <cellStyle name="Separador de milhares 6 2 30 2" xfId="19888" xr:uid="{00000000-0005-0000-0000-0000A8570000}"/>
    <cellStyle name="Separador de milhares 6 2 30 2 2" xfId="28908" xr:uid="{CEAA51DA-4EC2-42FA-B809-789E8F4B964F}"/>
    <cellStyle name="Separador de milhares 6 2 30 3" xfId="28907" xr:uid="{73E7469F-02EA-4749-A3CE-3D0F5F379C59}"/>
    <cellStyle name="Separador de milhares 6 2 31" xfId="19889" xr:uid="{00000000-0005-0000-0000-0000A9570000}"/>
    <cellStyle name="Separador de milhares 6 2 31 2" xfId="19890" xr:uid="{00000000-0005-0000-0000-0000AA570000}"/>
    <cellStyle name="Separador de milhares 6 2 31 2 2" xfId="28910" xr:uid="{6A0B3068-DB06-4765-8793-2B95F6FF2676}"/>
    <cellStyle name="Separador de milhares 6 2 31 3" xfId="28909" xr:uid="{246FC7C2-7CD4-4F10-8E42-D4AE676F3351}"/>
    <cellStyle name="Separador de milhares 6 2 32" xfId="19891" xr:uid="{00000000-0005-0000-0000-0000AB570000}"/>
    <cellStyle name="Separador de milhares 6 2 32 2" xfId="19892" xr:uid="{00000000-0005-0000-0000-0000AC570000}"/>
    <cellStyle name="Separador de milhares 6 2 32 2 2" xfId="28912" xr:uid="{92749846-E8B3-4675-AB7D-E9CE4D90A407}"/>
    <cellStyle name="Separador de milhares 6 2 32 3" xfId="28911" xr:uid="{E8E834DB-480F-4D1B-B6B5-79DFFDC4E523}"/>
    <cellStyle name="Separador de milhares 6 2 33" xfId="19893" xr:uid="{00000000-0005-0000-0000-0000AD570000}"/>
    <cellStyle name="Separador de milhares 6 2 33 2" xfId="19894" xr:uid="{00000000-0005-0000-0000-0000AE570000}"/>
    <cellStyle name="Separador de milhares 6 2 33 2 2" xfId="28914" xr:uid="{05C50E2E-972C-476B-AD03-8B7D9DE357A7}"/>
    <cellStyle name="Separador de milhares 6 2 33 3" xfId="28913" xr:uid="{B812B347-47DF-450A-8439-FCB1ADA6020A}"/>
    <cellStyle name="Separador de milhares 6 2 34" xfId="19895" xr:uid="{00000000-0005-0000-0000-0000AF570000}"/>
    <cellStyle name="Separador de milhares 6 2 34 2" xfId="19896" xr:uid="{00000000-0005-0000-0000-0000B0570000}"/>
    <cellStyle name="Separador de milhares 6 2 34 2 2" xfId="28916" xr:uid="{CB575852-EEF7-43A6-9AFB-9D19129145AE}"/>
    <cellStyle name="Separador de milhares 6 2 34 3" xfId="28915" xr:uid="{8639853E-E526-4C29-B2C9-8ACA5CFC9521}"/>
    <cellStyle name="Separador de milhares 6 2 35" xfId="19897" xr:uid="{00000000-0005-0000-0000-0000B1570000}"/>
    <cellStyle name="Separador de milhares 6 2 35 2" xfId="19898" xr:uid="{00000000-0005-0000-0000-0000B2570000}"/>
    <cellStyle name="Separador de milhares 6 2 35 2 2" xfId="28918" xr:uid="{4797C069-943F-4F0F-B305-CFD74787552E}"/>
    <cellStyle name="Separador de milhares 6 2 35 3" xfId="28917" xr:uid="{AC7D7EE0-3DFA-4B04-B7A3-B802966D33CE}"/>
    <cellStyle name="Separador de milhares 6 2 36" xfId="19899" xr:uid="{00000000-0005-0000-0000-0000B3570000}"/>
    <cellStyle name="Separador de milhares 6 2 36 2" xfId="19900" xr:uid="{00000000-0005-0000-0000-0000B4570000}"/>
    <cellStyle name="Separador de milhares 6 2 36 2 2" xfId="28920" xr:uid="{6C8DE693-7A14-405C-986E-1B14D0B6BCE3}"/>
    <cellStyle name="Separador de milhares 6 2 36 3" xfId="28919" xr:uid="{43B34167-D4A6-439C-ACAE-CC80AD6C8E06}"/>
    <cellStyle name="Separador de milhares 6 2 37" xfId="19901" xr:uid="{00000000-0005-0000-0000-0000B5570000}"/>
    <cellStyle name="Separador de milhares 6 2 37 2" xfId="19902" xr:uid="{00000000-0005-0000-0000-0000B6570000}"/>
    <cellStyle name="Separador de milhares 6 2 37 2 2" xfId="28922" xr:uid="{E033758A-E262-495C-B246-785776086C18}"/>
    <cellStyle name="Separador de milhares 6 2 37 3" xfId="28921" xr:uid="{C5A42B22-A7D2-4858-B7AB-CD400DBCB1FD}"/>
    <cellStyle name="Separador de milhares 6 2 38" xfId="19903" xr:uid="{00000000-0005-0000-0000-0000B7570000}"/>
    <cellStyle name="Separador de milhares 6 2 38 2" xfId="19904" xr:uid="{00000000-0005-0000-0000-0000B8570000}"/>
    <cellStyle name="Separador de milhares 6 2 38 2 2" xfId="28924" xr:uid="{E255072F-FE50-49B5-B506-B3B77F80D922}"/>
    <cellStyle name="Separador de milhares 6 2 38 3" xfId="28923" xr:uid="{75F56205-987F-4C05-B680-A5B994973667}"/>
    <cellStyle name="Separador de milhares 6 2 39" xfId="19905" xr:uid="{00000000-0005-0000-0000-0000B9570000}"/>
    <cellStyle name="Separador de milhares 6 2 39 2" xfId="19906" xr:uid="{00000000-0005-0000-0000-0000BA570000}"/>
    <cellStyle name="Separador de milhares 6 2 39 2 2" xfId="28926" xr:uid="{4F861EDD-4194-4BAF-BFBE-A9FFB76B09E8}"/>
    <cellStyle name="Separador de milhares 6 2 39 3" xfId="28925" xr:uid="{C954685B-8BF7-4C91-9AE6-89473E383094}"/>
    <cellStyle name="Separador de milhares 6 2 4" xfId="814" xr:uid="{00000000-0005-0000-0000-0000BB570000}"/>
    <cellStyle name="Separador de milhares 6 2 4 10" xfId="27565" xr:uid="{00000000-0005-0000-0000-0000BC570000}"/>
    <cellStyle name="Separador de milhares 6 2 4 10 2" xfId="33377" xr:uid="{717E18BB-25AD-4E26-84B3-1E61A487F6C5}"/>
    <cellStyle name="Separador de milhares 6 2 4 11" xfId="27716" xr:uid="{00000000-0005-0000-0000-0000BD570000}"/>
    <cellStyle name="Separador de milhares 6 2 4 11 2" xfId="33527" xr:uid="{475BB2AC-7EA4-4A5C-B068-60C08EC60AC3}"/>
    <cellStyle name="Separador de milhares 6 2 4 12" xfId="28047" xr:uid="{91CC2920-FE95-419C-93FA-8C34D47B3CA7}"/>
    <cellStyle name="Separador de milhares 6 2 4 2" xfId="19908" xr:uid="{00000000-0005-0000-0000-0000BE570000}"/>
    <cellStyle name="Separador de milhares 6 2 4 2 2" xfId="19909" xr:uid="{00000000-0005-0000-0000-0000BF570000}"/>
    <cellStyle name="Separador de milhares 6 2 4 2 2 2" xfId="28927" xr:uid="{F18D0C07-37E1-45D4-A35D-857A5E628EB2}"/>
    <cellStyle name="Separador de milhares 6 2 4 3" xfId="19910" xr:uid="{00000000-0005-0000-0000-0000C0570000}"/>
    <cellStyle name="Separador de milhares 6 2 4 3 2" xfId="19911" xr:uid="{00000000-0005-0000-0000-0000C1570000}"/>
    <cellStyle name="Separador de milhares 6 2 4 3 2 2" xfId="28928" xr:uid="{887EFCEE-EBDE-4E2B-83A1-F36151E0EC03}"/>
    <cellStyle name="Separador de milhares 6 2 4 4" xfId="19912" xr:uid="{00000000-0005-0000-0000-0000C2570000}"/>
    <cellStyle name="Separador de milhares 6 2 4 4 2" xfId="19913" xr:uid="{00000000-0005-0000-0000-0000C3570000}"/>
    <cellStyle name="Separador de milhares 6 2 4 4 2 2" xfId="28929" xr:uid="{BD1F7EFD-8C7B-4F85-9EE5-D089F6E1C0CF}"/>
    <cellStyle name="Separador de milhares 6 2 4 5" xfId="19914" xr:uid="{00000000-0005-0000-0000-0000C4570000}"/>
    <cellStyle name="Separador de milhares 6 2 4 5 2" xfId="19915" xr:uid="{00000000-0005-0000-0000-0000C5570000}"/>
    <cellStyle name="Separador de milhares 6 2 4 5 2 2" xfId="28931" xr:uid="{926B04FA-ABC4-4488-AFD5-A5D60B50FFE5}"/>
    <cellStyle name="Separador de milhares 6 2 4 5 3" xfId="28930" xr:uid="{D8B6DD4E-F896-427B-9084-09109F091884}"/>
    <cellStyle name="Separador de milhares 6 2 4 6" xfId="19916" xr:uid="{00000000-0005-0000-0000-0000C6570000}"/>
    <cellStyle name="Separador de milhares 6 2 4 6 2" xfId="28932" xr:uid="{8824AEFC-CB3B-449E-8A8E-F0CEFE4B1978}"/>
    <cellStyle name="Separador de milhares 6 2 4 7" xfId="19907" xr:uid="{00000000-0005-0000-0000-0000C7570000}"/>
    <cellStyle name="Separador de milhares 6 2 4 8" xfId="27207" xr:uid="{00000000-0005-0000-0000-0000C8570000}"/>
    <cellStyle name="Separador de milhares 6 2 4 8 2" xfId="33049" xr:uid="{88E48A4E-0B5C-4FDF-A505-DBCB6C4E3889}"/>
    <cellStyle name="Separador de milhares 6 2 4 9" xfId="27387" xr:uid="{00000000-0005-0000-0000-0000C9570000}"/>
    <cellStyle name="Separador de milhares 6 2 4 9 2" xfId="33224" xr:uid="{40412E25-4CED-4FB9-BD3D-51C977758273}"/>
    <cellStyle name="Separador de milhares 6 2 40" xfId="19917" xr:uid="{00000000-0005-0000-0000-0000CA570000}"/>
    <cellStyle name="Separador de milhares 6 2 40 2" xfId="19918" xr:uid="{00000000-0005-0000-0000-0000CB570000}"/>
    <cellStyle name="Separador de milhares 6 2 40 2 2" xfId="28934" xr:uid="{29CEBB4F-2640-4677-B1DB-2EED1B396B2E}"/>
    <cellStyle name="Separador de milhares 6 2 40 3" xfId="28933" xr:uid="{45C9FFD3-AB44-4826-AF46-8B9A6F6E706B}"/>
    <cellStyle name="Separador de milhares 6 2 41" xfId="19919" xr:uid="{00000000-0005-0000-0000-0000CC570000}"/>
    <cellStyle name="Separador de milhares 6 2 41 2" xfId="19920" xr:uid="{00000000-0005-0000-0000-0000CD570000}"/>
    <cellStyle name="Separador de milhares 6 2 41 2 2" xfId="28936" xr:uid="{C3EC4F0E-B2CC-4E99-9A40-FE012E70874D}"/>
    <cellStyle name="Separador de milhares 6 2 41 3" xfId="28935" xr:uid="{4A88E9BE-A079-4A16-B4D9-5CD0A8B91731}"/>
    <cellStyle name="Separador de milhares 6 2 42" xfId="19921" xr:uid="{00000000-0005-0000-0000-0000CE570000}"/>
    <cellStyle name="Separador de milhares 6 2 42 2" xfId="19922" xr:uid="{00000000-0005-0000-0000-0000CF570000}"/>
    <cellStyle name="Separador de milhares 6 2 42 2 2" xfId="28938" xr:uid="{ECFCDD4D-408D-4C20-8C71-24A5EB8D1B8E}"/>
    <cellStyle name="Separador de milhares 6 2 42 3" xfId="28937" xr:uid="{270C2984-5076-495A-BB8E-40A29190C939}"/>
    <cellStyle name="Separador de milhares 6 2 43" xfId="19923" xr:uid="{00000000-0005-0000-0000-0000D0570000}"/>
    <cellStyle name="Separador de milhares 6 2 43 2" xfId="19924" xr:uid="{00000000-0005-0000-0000-0000D1570000}"/>
    <cellStyle name="Separador de milhares 6 2 43 2 2" xfId="28940" xr:uid="{BC2FD284-84F4-41E7-AFF9-DB7721AC4E2F}"/>
    <cellStyle name="Separador de milhares 6 2 43 3" xfId="28939" xr:uid="{75CAD4B9-E6FB-4323-BB74-F9F2381374FD}"/>
    <cellStyle name="Separador de milhares 6 2 44" xfId="19925" xr:uid="{00000000-0005-0000-0000-0000D2570000}"/>
    <cellStyle name="Separador de milhares 6 2 44 2" xfId="19926" xr:uid="{00000000-0005-0000-0000-0000D3570000}"/>
    <cellStyle name="Separador de milhares 6 2 44 2 2" xfId="28942" xr:uid="{38249CCC-3719-4456-890F-E5D91377C904}"/>
    <cellStyle name="Separador de milhares 6 2 44 3" xfId="28941" xr:uid="{CC088483-4831-42E3-9213-78EA34B2D2C7}"/>
    <cellStyle name="Separador de milhares 6 2 45" xfId="19927" xr:uid="{00000000-0005-0000-0000-0000D4570000}"/>
    <cellStyle name="Separador de milhares 6 2 45 2" xfId="19928" xr:uid="{00000000-0005-0000-0000-0000D5570000}"/>
    <cellStyle name="Separador de milhares 6 2 45 2 2" xfId="28944" xr:uid="{21232C9F-ECB4-4902-AA61-6215FAAC9AA4}"/>
    <cellStyle name="Separador de milhares 6 2 45 3" xfId="28943" xr:uid="{F80F9269-3198-476E-AB4E-12999C03A0FD}"/>
    <cellStyle name="Separador de milhares 6 2 46" xfId="19929" xr:uid="{00000000-0005-0000-0000-0000D6570000}"/>
    <cellStyle name="Separador de milhares 6 2 46 2" xfId="19930" xr:uid="{00000000-0005-0000-0000-0000D7570000}"/>
    <cellStyle name="Separador de milhares 6 2 46 2 2" xfId="28946" xr:uid="{8061EED6-BD43-4E8F-BCCC-4BB323EC2AD1}"/>
    <cellStyle name="Separador de milhares 6 2 46 3" xfId="28945" xr:uid="{E2BDFAB1-1B20-4342-8082-D8FC9B5874EC}"/>
    <cellStyle name="Separador de milhares 6 2 47" xfId="19931" xr:uid="{00000000-0005-0000-0000-0000D8570000}"/>
    <cellStyle name="Separador de milhares 6 2 47 2" xfId="28947" xr:uid="{04B95A19-ECD4-443C-B8F1-949E51CBE897}"/>
    <cellStyle name="Separador de milhares 6 2 48" xfId="19710" xr:uid="{00000000-0005-0000-0000-0000D9570000}"/>
    <cellStyle name="Separador de milhares 6 2 48 2" xfId="28757" xr:uid="{DA3F37BD-D215-441B-A3EA-83199021CB50}"/>
    <cellStyle name="Separador de milhares 6 2 49" xfId="27200" xr:uid="{00000000-0005-0000-0000-0000DA570000}"/>
    <cellStyle name="Separador de milhares 6 2 49 2" xfId="33042" xr:uid="{FE6BDF00-F169-44E8-AD27-AF8EF34F35B9}"/>
    <cellStyle name="Separador de milhares 6 2 5" xfId="19932" xr:uid="{00000000-0005-0000-0000-0000DB570000}"/>
    <cellStyle name="Separador de milhares 6 2 5 2" xfId="19933" xr:uid="{00000000-0005-0000-0000-0000DC570000}"/>
    <cellStyle name="Separador de milhares 6 2 5 3" xfId="19934" xr:uid="{00000000-0005-0000-0000-0000DD570000}"/>
    <cellStyle name="Separador de milhares 6 2 5 4" xfId="19935" xr:uid="{00000000-0005-0000-0000-0000DE570000}"/>
    <cellStyle name="Separador de milhares 6 2 50" xfId="27380" xr:uid="{00000000-0005-0000-0000-0000DF570000}"/>
    <cellStyle name="Separador de milhares 6 2 50 2" xfId="33217" xr:uid="{139056B4-F3A0-4FE6-B598-09F05AC07D0C}"/>
    <cellStyle name="Separador de milhares 6 2 51" xfId="27558" xr:uid="{00000000-0005-0000-0000-0000E0570000}"/>
    <cellStyle name="Separador de milhares 6 2 51 2" xfId="33370" xr:uid="{81E45B7C-E105-444E-9EF4-4E75537D5109}"/>
    <cellStyle name="Separador de milhares 6 2 52" xfId="27709" xr:uid="{00000000-0005-0000-0000-0000E1570000}"/>
    <cellStyle name="Separador de milhares 6 2 52 2" xfId="33520" xr:uid="{2FB69A43-B8C8-4DD8-BED9-B3BDFBADFCC1}"/>
    <cellStyle name="Separador de milhares 6 2 53" xfId="28040" xr:uid="{7EDAAA80-7AA4-4790-A7E3-53ABCB6C7F86}"/>
    <cellStyle name="Separador de milhares 6 2 6" xfId="19936" xr:uid="{00000000-0005-0000-0000-0000E2570000}"/>
    <cellStyle name="Separador de milhares 6 2 6 2" xfId="19937" xr:uid="{00000000-0005-0000-0000-0000E3570000}"/>
    <cellStyle name="Separador de milhares 6 2 6 3" xfId="19938" xr:uid="{00000000-0005-0000-0000-0000E4570000}"/>
    <cellStyle name="Separador de milhares 6 2 6 4" xfId="19939" xr:uid="{00000000-0005-0000-0000-0000E5570000}"/>
    <cellStyle name="Separador de milhares 6 2 7" xfId="19940" xr:uid="{00000000-0005-0000-0000-0000E6570000}"/>
    <cellStyle name="Separador de milhares 6 2 7 2" xfId="19941" xr:uid="{00000000-0005-0000-0000-0000E7570000}"/>
    <cellStyle name="Separador de milhares 6 2 7 3" xfId="19942" xr:uid="{00000000-0005-0000-0000-0000E8570000}"/>
    <cellStyle name="Separador de milhares 6 2 7 4" xfId="19943" xr:uid="{00000000-0005-0000-0000-0000E9570000}"/>
    <cellStyle name="Separador de milhares 6 2 8" xfId="19944" xr:uid="{00000000-0005-0000-0000-0000EA570000}"/>
    <cellStyle name="Separador de milhares 6 2 8 2" xfId="19945" xr:uid="{00000000-0005-0000-0000-0000EB570000}"/>
    <cellStyle name="Separador de milhares 6 2 8 3" xfId="19946" xr:uid="{00000000-0005-0000-0000-0000EC570000}"/>
    <cellStyle name="Separador de milhares 6 2 8 4" xfId="19947" xr:uid="{00000000-0005-0000-0000-0000ED570000}"/>
    <cellStyle name="Separador de milhares 6 2 9" xfId="19948" xr:uid="{00000000-0005-0000-0000-0000EE570000}"/>
    <cellStyle name="Separador de milhares 6 2 9 2" xfId="19949" xr:uid="{00000000-0005-0000-0000-0000EF570000}"/>
    <cellStyle name="Separador de milhares 6 2 9 2 2" xfId="28948" xr:uid="{DD38500E-54CD-4A07-A789-EE0A342A5B45}"/>
    <cellStyle name="Separador de milhares 6 20" xfId="19950" xr:uid="{00000000-0005-0000-0000-0000F0570000}"/>
    <cellStyle name="Separador de milhares 6 20 2" xfId="19951" xr:uid="{00000000-0005-0000-0000-0000F1570000}"/>
    <cellStyle name="Separador de milhares 6 20 2 2" xfId="28949" xr:uid="{5B3483E0-F89E-4C45-9FD2-E93E95254B0B}"/>
    <cellStyle name="Separador de milhares 6 21" xfId="19952" xr:uid="{00000000-0005-0000-0000-0000F2570000}"/>
    <cellStyle name="Separador de milhares 6 21 2" xfId="19953" xr:uid="{00000000-0005-0000-0000-0000F3570000}"/>
    <cellStyle name="Separador de milhares 6 21 2 2" xfId="28950" xr:uid="{D55DC85D-18CD-4ADF-863E-9B6CE57B2FBB}"/>
    <cellStyle name="Separador de milhares 6 22" xfId="19954" xr:uid="{00000000-0005-0000-0000-0000F4570000}"/>
    <cellStyle name="Separador de milhares 6 22 2" xfId="19955" xr:uid="{00000000-0005-0000-0000-0000F5570000}"/>
    <cellStyle name="Separador de milhares 6 22 2 2" xfId="28951" xr:uid="{EB00217C-0D28-4745-975F-8B0343C39ABF}"/>
    <cellStyle name="Separador de milhares 6 23" xfId="19956" xr:uid="{00000000-0005-0000-0000-0000F6570000}"/>
    <cellStyle name="Separador de milhares 6 23 2" xfId="19957" xr:uid="{00000000-0005-0000-0000-0000F7570000}"/>
    <cellStyle name="Separador de milhares 6 23 2 2" xfId="28952" xr:uid="{2698D090-B6D8-404D-868E-66AE878A95CF}"/>
    <cellStyle name="Separador de milhares 6 24" xfId="19958" xr:uid="{00000000-0005-0000-0000-0000F8570000}"/>
    <cellStyle name="Separador de milhares 6 24 2" xfId="19959" xr:uid="{00000000-0005-0000-0000-0000F9570000}"/>
    <cellStyle name="Separador de milhares 6 24 2 2" xfId="28953" xr:uid="{45AB286E-D239-48EE-A7FB-801C23560E14}"/>
    <cellStyle name="Separador de milhares 6 25" xfId="19960" xr:uid="{00000000-0005-0000-0000-0000FA570000}"/>
    <cellStyle name="Separador de milhares 6 25 2" xfId="19961" xr:uid="{00000000-0005-0000-0000-0000FB570000}"/>
    <cellStyle name="Separador de milhares 6 25 2 2" xfId="28954" xr:uid="{F5056ABB-2998-4E88-A586-7B2AEC1D192B}"/>
    <cellStyle name="Separador de milhares 6 26" xfId="19962" xr:uid="{00000000-0005-0000-0000-0000FC570000}"/>
    <cellStyle name="Separador de milhares 6 26 2" xfId="19963" xr:uid="{00000000-0005-0000-0000-0000FD570000}"/>
    <cellStyle name="Separador de milhares 6 26 2 2" xfId="28956" xr:uid="{1B941A56-A287-4092-A975-94A79DB78C7C}"/>
    <cellStyle name="Separador de milhares 6 26 3" xfId="28955" xr:uid="{A58B0A4A-9179-4DC3-A5E5-C1663BF3F343}"/>
    <cellStyle name="Separador de milhares 6 27" xfId="19964" xr:uid="{00000000-0005-0000-0000-0000FE570000}"/>
    <cellStyle name="Separador de milhares 6 27 2" xfId="19965" xr:uid="{00000000-0005-0000-0000-0000FF570000}"/>
    <cellStyle name="Separador de milhares 6 27 2 2" xfId="28958" xr:uid="{69D933CD-B40D-4EE6-9C61-7A3B64379ADE}"/>
    <cellStyle name="Separador de milhares 6 27 3" xfId="28957" xr:uid="{C3ADEE90-8A12-442E-9822-90287654B999}"/>
    <cellStyle name="Separador de milhares 6 28" xfId="19966" xr:uid="{00000000-0005-0000-0000-000000580000}"/>
    <cellStyle name="Separador de milhares 6 28 2" xfId="19967" xr:uid="{00000000-0005-0000-0000-000001580000}"/>
    <cellStyle name="Separador de milhares 6 28 2 2" xfId="28960" xr:uid="{6D100DFC-A864-4817-A125-D852015526FE}"/>
    <cellStyle name="Separador de milhares 6 28 3" xfId="28959" xr:uid="{37BB9EB2-7B12-4D77-B6FC-D8C5B0CCD5B2}"/>
    <cellStyle name="Separador de milhares 6 29" xfId="19968" xr:uid="{00000000-0005-0000-0000-000002580000}"/>
    <cellStyle name="Separador de milhares 6 29 2" xfId="19969" xr:uid="{00000000-0005-0000-0000-000003580000}"/>
    <cellStyle name="Separador de milhares 6 29 2 2" xfId="28962" xr:uid="{D2D3FEEF-5BFB-4D37-9D1E-7083C3944744}"/>
    <cellStyle name="Separador de milhares 6 29 3" xfId="28961" xr:uid="{EF0ACF86-9781-4AFE-97C9-7EABF5C3C8A9}"/>
    <cellStyle name="Separador de milhares 6 3" xfId="815" xr:uid="{00000000-0005-0000-0000-000004580000}"/>
    <cellStyle name="Separador de milhares 6 3 10" xfId="19971" xr:uid="{00000000-0005-0000-0000-000005580000}"/>
    <cellStyle name="Separador de milhares 6 3 10 2" xfId="19972" xr:uid="{00000000-0005-0000-0000-000006580000}"/>
    <cellStyle name="Separador de milhares 6 3 10 2 2" xfId="28964" xr:uid="{EF324B6A-3F25-4212-BD34-34669A2BE858}"/>
    <cellStyle name="Separador de milhares 6 3 11" xfId="19973" xr:uid="{00000000-0005-0000-0000-000007580000}"/>
    <cellStyle name="Separador de milhares 6 3 11 2" xfId="19974" xr:uid="{00000000-0005-0000-0000-000008580000}"/>
    <cellStyle name="Separador de milhares 6 3 11 2 2" xfId="28966" xr:uid="{0124071C-DB05-41D1-91D7-A939817DE186}"/>
    <cellStyle name="Separador de milhares 6 3 11 3" xfId="28965" xr:uid="{B36B5860-E591-4845-A7B1-A6139159FEA6}"/>
    <cellStyle name="Separador de milhares 6 3 12" xfId="19975" xr:uid="{00000000-0005-0000-0000-000009580000}"/>
    <cellStyle name="Separador de milhares 6 3 12 2" xfId="19976" xr:uid="{00000000-0005-0000-0000-00000A580000}"/>
    <cellStyle name="Separador de milhares 6 3 12 2 2" xfId="28968" xr:uid="{51998DC6-B130-4F6B-8C2E-35AFB5DC0F51}"/>
    <cellStyle name="Separador de milhares 6 3 12 3" xfId="28967" xr:uid="{02E5CC6F-68AD-43ED-B8F1-F43F0DB89E3A}"/>
    <cellStyle name="Separador de milhares 6 3 13" xfId="19977" xr:uid="{00000000-0005-0000-0000-00000B580000}"/>
    <cellStyle name="Separador de milhares 6 3 13 2" xfId="19978" xr:uid="{00000000-0005-0000-0000-00000C580000}"/>
    <cellStyle name="Separador de milhares 6 3 13 2 2" xfId="28970" xr:uid="{C6E09168-9C8A-405E-8FA7-F20FEE1ADBDD}"/>
    <cellStyle name="Separador de milhares 6 3 13 3" xfId="28969" xr:uid="{89166E66-1E4C-4860-8E4C-9E98FF9CD8F5}"/>
    <cellStyle name="Separador de milhares 6 3 14" xfId="19979" xr:uid="{00000000-0005-0000-0000-00000D580000}"/>
    <cellStyle name="Separador de milhares 6 3 14 2" xfId="19980" xr:uid="{00000000-0005-0000-0000-00000E580000}"/>
    <cellStyle name="Separador de milhares 6 3 14 2 2" xfId="28972" xr:uid="{07A89A93-3B09-4BEE-B0FB-00A1378F832A}"/>
    <cellStyle name="Separador de milhares 6 3 14 3" xfId="28971" xr:uid="{9D3C4232-9E78-4C1A-95BD-EC9FEA88FF3C}"/>
    <cellStyle name="Separador de milhares 6 3 15" xfId="19981" xr:uid="{00000000-0005-0000-0000-00000F580000}"/>
    <cellStyle name="Separador de milhares 6 3 15 2" xfId="19982" xr:uid="{00000000-0005-0000-0000-000010580000}"/>
    <cellStyle name="Separador de milhares 6 3 15 2 2" xfId="28974" xr:uid="{31D6F118-2F8A-4ED7-9036-E16EE20D3D97}"/>
    <cellStyle name="Separador de milhares 6 3 15 3" xfId="28973" xr:uid="{8C66F1EA-EC8E-4061-B91D-E4C4255DE7DC}"/>
    <cellStyle name="Separador de milhares 6 3 16" xfId="19983" xr:uid="{00000000-0005-0000-0000-000011580000}"/>
    <cellStyle name="Separador de milhares 6 3 16 2" xfId="19984" xr:uid="{00000000-0005-0000-0000-000012580000}"/>
    <cellStyle name="Separador de milhares 6 3 16 2 2" xfId="28976" xr:uid="{6DF9D63E-8580-4226-A4B6-DCDCCC67FD8A}"/>
    <cellStyle name="Separador de milhares 6 3 16 3" xfId="28975" xr:uid="{E72E3C6E-5B69-4450-BFB8-B403E5B249AF}"/>
    <cellStyle name="Separador de milhares 6 3 17" xfId="19985" xr:uid="{00000000-0005-0000-0000-000013580000}"/>
    <cellStyle name="Separador de milhares 6 3 17 2" xfId="19986" xr:uid="{00000000-0005-0000-0000-000014580000}"/>
    <cellStyle name="Separador de milhares 6 3 17 2 2" xfId="28978" xr:uid="{6D12AE76-9964-4C5B-995A-3B1B39FB9DFA}"/>
    <cellStyle name="Separador de milhares 6 3 17 3" xfId="28977" xr:uid="{3B82E3BD-9BF6-4239-B21F-6BBEDD675401}"/>
    <cellStyle name="Separador de milhares 6 3 18" xfId="19987" xr:uid="{00000000-0005-0000-0000-000015580000}"/>
    <cellStyle name="Separador de milhares 6 3 18 2" xfId="19988" xr:uid="{00000000-0005-0000-0000-000016580000}"/>
    <cellStyle name="Separador de milhares 6 3 18 2 2" xfId="28980" xr:uid="{CBD623B2-8510-4265-BB28-AEA0F02CECEE}"/>
    <cellStyle name="Separador de milhares 6 3 18 3" xfId="28979" xr:uid="{9DD80D61-4197-45A4-88F2-2829C495FB19}"/>
    <cellStyle name="Separador de milhares 6 3 19" xfId="19989" xr:uid="{00000000-0005-0000-0000-000017580000}"/>
    <cellStyle name="Separador de milhares 6 3 19 2" xfId="19990" xr:uid="{00000000-0005-0000-0000-000018580000}"/>
    <cellStyle name="Separador de milhares 6 3 19 2 2" xfId="28982" xr:uid="{A4075058-ACE1-4AB2-8F34-D5F7EB63D1F1}"/>
    <cellStyle name="Separador de milhares 6 3 19 3" xfId="28981" xr:uid="{C3DDB785-03BA-4B41-B8D0-C11CB52B38DE}"/>
    <cellStyle name="Separador de milhares 6 3 2" xfId="816" xr:uid="{00000000-0005-0000-0000-000019580000}"/>
    <cellStyle name="Separador de milhares 6 3 2 10" xfId="19992" xr:uid="{00000000-0005-0000-0000-00001A580000}"/>
    <cellStyle name="Separador de milhares 6 3 2 10 2" xfId="19993" xr:uid="{00000000-0005-0000-0000-00001B580000}"/>
    <cellStyle name="Separador de milhares 6 3 2 10 2 2" xfId="28984" xr:uid="{2F8BF0B2-3DAC-4AA7-BBA6-987A3EC178A9}"/>
    <cellStyle name="Separador de milhares 6 3 2 10 3" xfId="28983" xr:uid="{5DBF53EE-E2A7-4538-BCFD-DE134575A234}"/>
    <cellStyle name="Separador de milhares 6 3 2 11" xfId="19994" xr:uid="{00000000-0005-0000-0000-00001C580000}"/>
    <cellStyle name="Separador de milhares 6 3 2 11 2" xfId="19995" xr:uid="{00000000-0005-0000-0000-00001D580000}"/>
    <cellStyle name="Separador de milhares 6 3 2 11 2 2" xfId="28986" xr:uid="{6BFE21DC-4304-4085-8C64-A091B86E7634}"/>
    <cellStyle name="Separador de milhares 6 3 2 11 3" xfId="28985" xr:uid="{73E65DF1-717B-4D1B-BB9F-65F900CF4703}"/>
    <cellStyle name="Separador de milhares 6 3 2 12" xfId="19996" xr:uid="{00000000-0005-0000-0000-00001E580000}"/>
    <cellStyle name="Separador de milhares 6 3 2 12 2" xfId="19997" xr:uid="{00000000-0005-0000-0000-00001F580000}"/>
    <cellStyle name="Separador de milhares 6 3 2 12 2 2" xfId="28988" xr:uid="{51744DDF-6B96-4524-8644-3A8FE0EE1D96}"/>
    <cellStyle name="Separador de milhares 6 3 2 12 3" xfId="28987" xr:uid="{426E431A-1DC2-4B12-B51C-581F2C83C578}"/>
    <cellStyle name="Separador de milhares 6 3 2 13" xfId="19998" xr:uid="{00000000-0005-0000-0000-000020580000}"/>
    <cellStyle name="Separador de milhares 6 3 2 13 2" xfId="19999" xr:uid="{00000000-0005-0000-0000-000021580000}"/>
    <cellStyle name="Separador de milhares 6 3 2 13 2 2" xfId="28990" xr:uid="{A57BB4FA-0356-49B2-A9B2-738AEE790FA2}"/>
    <cellStyle name="Separador de milhares 6 3 2 13 3" xfId="28989" xr:uid="{E7016E20-A9BC-4702-83E9-FBD9B0881729}"/>
    <cellStyle name="Separador de milhares 6 3 2 14" xfId="20000" xr:uid="{00000000-0005-0000-0000-000022580000}"/>
    <cellStyle name="Separador de milhares 6 3 2 14 2" xfId="20001" xr:uid="{00000000-0005-0000-0000-000023580000}"/>
    <cellStyle name="Separador de milhares 6 3 2 14 2 2" xfId="28992" xr:uid="{2AD799A4-06BE-48E0-BD33-8199F1531104}"/>
    <cellStyle name="Separador de milhares 6 3 2 14 3" xfId="28991" xr:uid="{51F8E41B-6C00-4C79-AAED-BD0C421EB8E0}"/>
    <cellStyle name="Separador de milhares 6 3 2 15" xfId="20002" xr:uid="{00000000-0005-0000-0000-000024580000}"/>
    <cellStyle name="Separador de milhares 6 3 2 15 2" xfId="20003" xr:uid="{00000000-0005-0000-0000-000025580000}"/>
    <cellStyle name="Separador de milhares 6 3 2 15 2 2" xfId="28994" xr:uid="{9DD2CB2B-D288-4789-A4DB-FC9794F7320B}"/>
    <cellStyle name="Separador de milhares 6 3 2 15 3" xfId="28993" xr:uid="{4CF181D4-6327-409E-A424-5D085E146F27}"/>
    <cellStyle name="Separador de milhares 6 3 2 16" xfId="20004" xr:uid="{00000000-0005-0000-0000-000026580000}"/>
    <cellStyle name="Separador de milhares 6 3 2 16 2" xfId="20005" xr:uid="{00000000-0005-0000-0000-000027580000}"/>
    <cellStyle name="Separador de milhares 6 3 2 16 2 2" xfId="28996" xr:uid="{0937BFA4-C5E3-4C24-A203-FCB8E692188E}"/>
    <cellStyle name="Separador de milhares 6 3 2 16 3" xfId="28995" xr:uid="{8C2580F8-3316-40C4-B313-C6B95B21B42B}"/>
    <cellStyle name="Separador de milhares 6 3 2 17" xfId="20006" xr:uid="{00000000-0005-0000-0000-000028580000}"/>
    <cellStyle name="Separador de milhares 6 3 2 17 2" xfId="20007" xr:uid="{00000000-0005-0000-0000-000029580000}"/>
    <cellStyle name="Separador de milhares 6 3 2 17 2 2" xfId="28998" xr:uid="{E8985693-FE57-4153-A4D8-6619581C4B98}"/>
    <cellStyle name="Separador de milhares 6 3 2 17 3" xfId="28997" xr:uid="{DB270E67-8E3B-4FFA-A92A-E49FE843D86D}"/>
    <cellStyle name="Separador de milhares 6 3 2 18" xfId="20008" xr:uid="{00000000-0005-0000-0000-00002A580000}"/>
    <cellStyle name="Separador de milhares 6 3 2 18 2" xfId="20009" xr:uid="{00000000-0005-0000-0000-00002B580000}"/>
    <cellStyle name="Separador de milhares 6 3 2 18 2 2" xfId="29000" xr:uid="{5BE547BE-D9C4-491A-BBAB-2157840BF050}"/>
    <cellStyle name="Separador de milhares 6 3 2 18 3" xfId="28999" xr:uid="{987ACAF0-4B60-4F0F-A447-01D4EC1F8722}"/>
    <cellStyle name="Separador de milhares 6 3 2 19" xfId="20010" xr:uid="{00000000-0005-0000-0000-00002C580000}"/>
    <cellStyle name="Separador de milhares 6 3 2 19 2" xfId="20011" xr:uid="{00000000-0005-0000-0000-00002D580000}"/>
    <cellStyle name="Separador de milhares 6 3 2 19 2 2" xfId="29002" xr:uid="{F55B576E-49FD-4EED-8F6D-A52F6E99ECA7}"/>
    <cellStyle name="Separador de milhares 6 3 2 19 3" xfId="29001" xr:uid="{721380C0-DBDA-45AA-A94B-DAF5CA80841D}"/>
    <cellStyle name="Separador de milhares 6 3 2 2" xfId="817" xr:uid="{00000000-0005-0000-0000-00002E580000}"/>
    <cellStyle name="Separador de milhares 6 3 2 2 2" xfId="818" xr:uid="{00000000-0005-0000-0000-00002F580000}"/>
    <cellStyle name="Separador de milhares 6 3 2 2 2 2" xfId="20013" xr:uid="{00000000-0005-0000-0000-000030580000}"/>
    <cellStyle name="Separador de milhares 6 3 2 2 2 2 2" xfId="29004" xr:uid="{66944D87-8D62-49FD-A052-A398F91832B4}"/>
    <cellStyle name="Separador de milhares 6 3 2 2 2 3" xfId="28051" xr:uid="{4EF451DB-A6BE-47B3-89D1-56F24B8DED6D}"/>
    <cellStyle name="Separador de milhares 6 3 2 2 3" xfId="20012" xr:uid="{00000000-0005-0000-0000-000031580000}"/>
    <cellStyle name="Separador de milhares 6 3 2 2 3 2" xfId="29003" xr:uid="{155CABA3-7B21-4E07-8A6F-1B64A1E36393}"/>
    <cellStyle name="Separador de milhares 6 3 2 2 4" xfId="27210" xr:uid="{00000000-0005-0000-0000-000032580000}"/>
    <cellStyle name="Separador de milhares 6 3 2 2 4 2" xfId="33052" xr:uid="{AD3A8B06-F290-4DB9-A9EE-3B34E0A0D76A}"/>
    <cellStyle name="Separador de milhares 6 3 2 2 5" xfId="27390" xr:uid="{00000000-0005-0000-0000-000033580000}"/>
    <cellStyle name="Separador de milhares 6 3 2 2 5 2" xfId="33227" xr:uid="{E326F843-8D7B-4CFC-8DDB-86F6168999DA}"/>
    <cellStyle name="Separador de milhares 6 3 2 2 6" xfId="27568" xr:uid="{00000000-0005-0000-0000-000034580000}"/>
    <cellStyle name="Separador de milhares 6 3 2 2 6 2" xfId="33380" xr:uid="{33B274EE-43A4-4A3C-9854-BFFDC731D26D}"/>
    <cellStyle name="Separador de milhares 6 3 2 2 7" xfId="27719" xr:uid="{00000000-0005-0000-0000-000035580000}"/>
    <cellStyle name="Separador de milhares 6 3 2 2 7 2" xfId="33530" xr:uid="{C929B755-B9E3-4423-9D61-93ABE22744AF}"/>
    <cellStyle name="Separador de milhares 6 3 2 2 8" xfId="28050" xr:uid="{30D1ECD6-00B6-4A1D-BC64-F26ECFCFD5D8}"/>
    <cellStyle name="Separador de milhares 6 3 2 20" xfId="20014" xr:uid="{00000000-0005-0000-0000-000036580000}"/>
    <cellStyle name="Separador de milhares 6 3 2 20 2" xfId="20015" xr:uid="{00000000-0005-0000-0000-000037580000}"/>
    <cellStyle name="Separador de milhares 6 3 2 20 2 2" xfId="29006" xr:uid="{97DE38BB-5091-47ED-95F4-55F5C863AF17}"/>
    <cellStyle name="Separador de milhares 6 3 2 20 3" xfId="29005" xr:uid="{9C32674E-969C-4BB1-A742-4A2180DFEDF8}"/>
    <cellStyle name="Separador de milhares 6 3 2 21" xfId="20016" xr:uid="{00000000-0005-0000-0000-000038580000}"/>
    <cellStyle name="Separador de milhares 6 3 2 21 2" xfId="20017" xr:uid="{00000000-0005-0000-0000-000039580000}"/>
    <cellStyle name="Separador de milhares 6 3 2 21 2 2" xfId="29008" xr:uid="{F2B67D0F-6A3B-410A-A52C-CC45D40F6202}"/>
    <cellStyle name="Separador de milhares 6 3 2 21 3" xfId="29007" xr:uid="{33A2F948-0572-44CC-B9E7-40AE73FEA545}"/>
    <cellStyle name="Separador de milhares 6 3 2 22" xfId="20018" xr:uid="{00000000-0005-0000-0000-00003A580000}"/>
    <cellStyle name="Separador de milhares 6 3 2 22 2" xfId="20019" xr:uid="{00000000-0005-0000-0000-00003B580000}"/>
    <cellStyle name="Separador de milhares 6 3 2 22 2 2" xfId="29010" xr:uid="{820E2449-3413-412F-90FC-AFD36F4DADEA}"/>
    <cellStyle name="Separador de milhares 6 3 2 22 3" xfId="29009" xr:uid="{4408A8FA-F108-4F23-97BA-456993306719}"/>
    <cellStyle name="Separador de milhares 6 3 2 23" xfId="20020" xr:uid="{00000000-0005-0000-0000-00003C580000}"/>
    <cellStyle name="Separador de milhares 6 3 2 23 2" xfId="20021" xr:uid="{00000000-0005-0000-0000-00003D580000}"/>
    <cellStyle name="Separador de milhares 6 3 2 23 2 2" xfId="29012" xr:uid="{86511D05-898A-4252-919A-B25706ED0782}"/>
    <cellStyle name="Separador de milhares 6 3 2 23 3" xfId="29011" xr:uid="{4894B188-80C6-4819-8EAB-479BEB24C28D}"/>
    <cellStyle name="Separador de milhares 6 3 2 24" xfId="20022" xr:uid="{00000000-0005-0000-0000-00003E580000}"/>
    <cellStyle name="Separador de milhares 6 3 2 24 2" xfId="20023" xr:uid="{00000000-0005-0000-0000-00003F580000}"/>
    <cellStyle name="Separador de milhares 6 3 2 24 2 2" xfId="29014" xr:uid="{12A6D211-40E8-40FA-BCEF-916BB726BF62}"/>
    <cellStyle name="Separador de milhares 6 3 2 24 3" xfId="29013" xr:uid="{0CB0DE11-FBA2-4965-AE1E-5B06A4B16F99}"/>
    <cellStyle name="Separador de milhares 6 3 2 25" xfId="20024" xr:uid="{00000000-0005-0000-0000-000040580000}"/>
    <cellStyle name="Separador de milhares 6 3 2 25 2" xfId="20025" xr:uid="{00000000-0005-0000-0000-000041580000}"/>
    <cellStyle name="Separador de milhares 6 3 2 25 2 2" xfId="29016" xr:uid="{698E0038-38DB-4D6B-B6B8-BE40B90ECEFE}"/>
    <cellStyle name="Separador de milhares 6 3 2 25 3" xfId="29015" xr:uid="{95D6A078-5E68-4138-9623-DDE620918268}"/>
    <cellStyle name="Separador de milhares 6 3 2 26" xfId="20026" xr:uid="{00000000-0005-0000-0000-000042580000}"/>
    <cellStyle name="Separador de milhares 6 3 2 26 2" xfId="20027" xr:uid="{00000000-0005-0000-0000-000043580000}"/>
    <cellStyle name="Separador de milhares 6 3 2 26 2 2" xfId="29018" xr:uid="{909ED508-133C-449F-BEAB-F68F31001AA2}"/>
    <cellStyle name="Separador de milhares 6 3 2 26 3" xfId="29017" xr:uid="{2FE94860-A8D8-4634-9C66-1DF7EAE6070F}"/>
    <cellStyle name="Separador de milhares 6 3 2 27" xfId="20028" xr:uid="{00000000-0005-0000-0000-000044580000}"/>
    <cellStyle name="Separador de milhares 6 3 2 27 2" xfId="20029" xr:uid="{00000000-0005-0000-0000-000045580000}"/>
    <cellStyle name="Separador de milhares 6 3 2 27 2 2" xfId="29020" xr:uid="{4C71EFE8-B76D-4DD9-A2EB-FB66E6D0E1BF}"/>
    <cellStyle name="Separador de milhares 6 3 2 27 3" xfId="29019" xr:uid="{7E6D5B19-3080-472B-BB65-A8E68BF921EE}"/>
    <cellStyle name="Separador de milhares 6 3 2 28" xfId="20030" xr:uid="{00000000-0005-0000-0000-000046580000}"/>
    <cellStyle name="Separador de milhares 6 3 2 28 2" xfId="20031" xr:uid="{00000000-0005-0000-0000-000047580000}"/>
    <cellStyle name="Separador de milhares 6 3 2 28 2 2" xfId="29022" xr:uid="{EB5EDCD2-C190-4517-9ED8-D1C21824AF40}"/>
    <cellStyle name="Separador de milhares 6 3 2 28 3" xfId="29021" xr:uid="{D81B2399-BD42-4C3A-A161-14046E2676D4}"/>
    <cellStyle name="Separador de milhares 6 3 2 29" xfId="20032" xr:uid="{00000000-0005-0000-0000-000048580000}"/>
    <cellStyle name="Separador de milhares 6 3 2 29 2" xfId="20033" xr:uid="{00000000-0005-0000-0000-000049580000}"/>
    <cellStyle name="Separador de milhares 6 3 2 29 2 2" xfId="29024" xr:uid="{8284D509-3B32-43B0-8DD2-32F9603BF352}"/>
    <cellStyle name="Separador de milhares 6 3 2 29 3" xfId="29023" xr:uid="{07BC5860-6BA0-43DD-B48E-D6A5536A6C0F}"/>
    <cellStyle name="Separador de milhares 6 3 2 3" xfId="819" xr:uid="{00000000-0005-0000-0000-00004A580000}"/>
    <cellStyle name="Separador de milhares 6 3 2 3 2" xfId="20035" xr:uid="{00000000-0005-0000-0000-00004B580000}"/>
    <cellStyle name="Separador de milhares 6 3 2 3 2 2" xfId="29026" xr:uid="{8E4334CE-39DC-403E-8127-E6B3E6E19471}"/>
    <cellStyle name="Separador de milhares 6 3 2 3 3" xfId="20034" xr:uid="{00000000-0005-0000-0000-00004C580000}"/>
    <cellStyle name="Separador de milhares 6 3 2 3 3 2" xfId="29025" xr:uid="{8A8EC6D7-BA08-4438-B47A-3A603C0BE065}"/>
    <cellStyle name="Separador de milhares 6 3 2 3 4" xfId="28052" xr:uid="{A43A5A21-991D-4786-B3DD-0087CB8F5484}"/>
    <cellStyle name="Separador de milhares 6 3 2 30" xfId="20036" xr:uid="{00000000-0005-0000-0000-00004D580000}"/>
    <cellStyle name="Separador de milhares 6 3 2 30 2" xfId="20037" xr:uid="{00000000-0005-0000-0000-00004E580000}"/>
    <cellStyle name="Separador de milhares 6 3 2 30 2 2" xfId="29028" xr:uid="{9110A0A5-BE16-46B5-97E6-92050BF2F03A}"/>
    <cellStyle name="Separador de milhares 6 3 2 30 3" xfId="29027" xr:uid="{C411A4BE-5C19-4B80-BEF8-1FFE830A3F80}"/>
    <cellStyle name="Separador de milhares 6 3 2 31" xfId="20038" xr:uid="{00000000-0005-0000-0000-00004F580000}"/>
    <cellStyle name="Separador de milhares 6 3 2 31 2" xfId="20039" xr:uid="{00000000-0005-0000-0000-000050580000}"/>
    <cellStyle name="Separador de milhares 6 3 2 31 2 2" xfId="29030" xr:uid="{672D0729-A2B9-43F0-BE3E-6ABBE34DF5F6}"/>
    <cellStyle name="Separador de milhares 6 3 2 31 3" xfId="29029" xr:uid="{4EF1C1E1-7AE1-400C-8B27-6FA735FA09B6}"/>
    <cellStyle name="Separador de milhares 6 3 2 32" xfId="20040" xr:uid="{00000000-0005-0000-0000-000051580000}"/>
    <cellStyle name="Separador de milhares 6 3 2 32 2" xfId="20041" xr:uid="{00000000-0005-0000-0000-000052580000}"/>
    <cellStyle name="Separador de milhares 6 3 2 32 2 2" xfId="29032" xr:uid="{C7E05E2B-432A-4D2F-91D6-E38EBB37A303}"/>
    <cellStyle name="Separador de milhares 6 3 2 32 3" xfId="29031" xr:uid="{E51F9209-6669-41EC-BD9B-3129F50822D7}"/>
    <cellStyle name="Separador de milhares 6 3 2 33" xfId="20042" xr:uid="{00000000-0005-0000-0000-000053580000}"/>
    <cellStyle name="Separador de milhares 6 3 2 33 2" xfId="20043" xr:uid="{00000000-0005-0000-0000-000054580000}"/>
    <cellStyle name="Separador de milhares 6 3 2 33 2 2" xfId="29034" xr:uid="{5FD009C1-8F31-431B-989B-118724DA3386}"/>
    <cellStyle name="Separador de milhares 6 3 2 33 3" xfId="29033" xr:uid="{FD41E85E-E01B-4C53-88FC-BBB3A022DEAF}"/>
    <cellStyle name="Separador de milhares 6 3 2 34" xfId="20044" xr:uid="{00000000-0005-0000-0000-000055580000}"/>
    <cellStyle name="Separador de milhares 6 3 2 34 2" xfId="20045" xr:uid="{00000000-0005-0000-0000-000056580000}"/>
    <cellStyle name="Separador de milhares 6 3 2 34 2 2" xfId="29036" xr:uid="{0D89A426-4248-4367-B893-961F7ECE36D9}"/>
    <cellStyle name="Separador de milhares 6 3 2 34 3" xfId="29035" xr:uid="{537F521C-BA80-4CAB-BE89-5E1F236102C3}"/>
    <cellStyle name="Separador de milhares 6 3 2 35" xfId="20046" xr:uid="{00000000-0005-0000-0000-000057580000}"/>
    <cellStyle name="Separador de milhares 6 3 2 35 2" xfId="29037" xr:uid="{A1F43AB3-302A-4B39-B142-F958D7E13860}"/>
    <cellStyle name="Separador de milhares 6 3 2 36" xfId="19991" xr:uid="{00000000-0005-0000-0000-000058580000}"/>
    <cellStyle name="Separador de milhares 6 3 2 37" xfId="27209" xr:uid="{00000000-0005-0000-0000-000059580000}"/>
    <cellStyle name="Separador de milhares 6 3 2 37 2" xfId="33051" xr:uid="{B1932B44-713F-4EEE-B94F-F8DE498331A0}"/>
    <cellStyle name="Separador de milhares 6 3 2 38" xfId="27389" xr:uid="{00000000-0005-0000-0000-00005A580000}"/>
    <cellStyle name="Separador de milhares 6 3 2 38 2" xfId="33226" xr:uid="{4810DA36-8A20-4237-ADB8-67CAB32BA33B}"/>
    <cellStyle name="Separador de milhares 6 3 2 39" xfId="27567" xr:uid="{00000000-0005-0000-0000-00005B580000}"/>
    <cellStyle name="Separador de milhares 6 3 2 39 2" xfId="33379" xr:uid="{86849C45-74AB-4AFA-9D0B-BEC207B07508}"/>
    <cellStyle name="Separador de milhares 6 3 2 4" xfId="20047" xr:uid="{00000000-0005-0000-0000-00005C580000}"/>
    <cellStyle name="Separador de milhares 6 3 2 4 2" xfId="20048" xr:uid="{00000000-0005-0000-0000-00005D580000}"/>
    <cellStyle name="Separador de milhares 6 3 2 4 2 2" xfId="29039" xr:uid="{1F20F099-0548-4A7A-90DD-D5BAC03F3C06}"/>
    <cellStyle name="Separador de milhares 6 3 2 4 3" xfId="29038" xr:uid="{E9B25027-4BF2-4EF3-9B14-5EF59641CB7E}"/>
    <cellStyle name="Separador de milhares 6 3 2 40" xfId="27718" xr:uid="{00000000-0005-0000-0000-00005E580000}"/>
    <cellStyle name="Separador de milhares 6 3 2 40 2" xfId="33529" xr:uid="{D7B3C3A3-3381-4F7D-9DEB-460643CDA3AE}"/>
    <cellStyle name="Separador de milhares 6 3 2 41" xfId="28049" xr:uid="{A4E6EBEF-B414-4E46-AF9D-86BCBC568544}"/>
    <cellStyle name="Separador de milhares 6 3 2 5" xfId="20049" xr:uid="{00000000-0005-0000-0000-00005F580000}"/>
    <cellStyle name="Separador de milhares 6 3 2 5 2" xfId="20050" xr:uid="{00000000-0005-0000-0000-000060580000}"/>
    <cellStyle name="Separador de milhares 6 3 2 5 2 2" xfId="29041" xr:uid="{1DF4CE67-7EE4-4EC5-8D95-2F816E7BAAEC}"/>
    <cellStyle name="Separador de milhares 6 3 2 5 3" xfId="29040" xr:uid="{017FF7E3-B596-4A6B-866B-BC04A0B59083}"/>
    <cellStyle name="Separador de milhares 6 3 2 6" xfId="20051" xr:uid="{00000000-0005-0000-0000-000061580000}"/>
    <cellStyle name="Separador de milhares 6 3 2 6 2" xfId="20052" xr:uid="{00000000-0005-0000-0000-000062580000}"/>
    <cellStyle name="Separador de milhares 6 3 2 6 2 2" xfId="29043" xr:uid="{1C55E7A1-62C3-416A-B009-76A51E531639}"/>
    <cellStyle name="Separador de milhares 6 3 2 6 3" xfId="29042" xr:uid="{70ABB739-5897-42F5-8FB9-6C5FC6DB1929}"/>
    <cellStyle name="Separador de milhares 6 3 2 7" xfId="20053" xr:uid="{00000000-0005-0000-0000-000063580000}"/>
    <cellStyle name="Separador de milhares 6 3 2 7 2" xfId="20054" xr:uid="{00000000-0005-0000-0000-000064580000}"/>
    <cellStyle name="Separador de milhares 6 3 2 7 2 2" xfId="29045" xr:uid="{F8B67E8D-91A5-4429-A6F8-E45DA843FA54}"/>
    <cellStyle name="Separador de milhares 6 3 2 7 3" xfId="29044" xr:uid="{748C330C-338C-44A9-90C9-22E9DE9D98CB}"/>
    <cellStyle name="Separador de milhares 6 3 2 8" xfId="20055" xr:uid="{00000000-0005-0000-0000-000065580000}"/>
    <cellStyle name="Separador de milhares 6 3 2 8 2" xfId="20056" xr:uid="{00000000-0005-0000-0000-000066580000}"/>
    <cellStyle name="Separador de milhares 6 3 2 8 2 2" xfId="29047" xr:uid="{241EF438-CD04-4B7F-8C6D-900CB80795B3}"/>
    <cellStyle name="Separador de milhares 6 3 2 8 3" xfId="29046" xr:uid="{FE2862AC-D0ED-49BC-BD98-E3341667B41C}"/>
    <cellStyle name="Separador de milhares 6 3 2 9" xfId="20057" xr:uid="{00000000-0005-0000-0000-000067580000}"/>
    <cellStyle name="Separador de milhares 6 3 2 9 2" xfId="20058" xr:uid="{00000000-0005-0000-0000-000068580000}"/>
    <cellStyle name="Separador de milhares 6 3 2 9 2 2" xfId="29049" xr:uid="{848F8768-2F89-4EA1-9CCC-5D30F6C2C9C9}"/>
    <cellStyle name="Separador de milhares 6 3 2 9 3" xfId="29048" xr:uid="{A52910ED-08B0-4410-9F3D-B67D189F2069}"/>
    <cellStyle name="Separador de milhares 6 3 20" xfId="20059" xr:uid="{00000000-0005-0000-0000-000069580000}"/>
    <cellStyle name="Separador de milhares 6 3 20 2" xfId="20060" xr:uid="{00000000-0005-0000-0000-00006A580000}"/>
    <cellStyle name="Separador de milhares 6 3 20 2 2" xfId="29051" xr:uid="{E5D04655-9F69-4FEA-BCAA-1666E2A3A6D4}"/>
    <cellStyle name="Separador de milhares 6 3 20 3" xfId="29050" xr:uid="{64E42C63-D74B-499E-A718-EB578CE44138}"/>
    <cellStyle name="Separador de milhares 6 3 21" xfId="20061" xr:uid="{00000000-0005-0000-0000-00006B580000}"/>
    <cellStyle name="Separador de milhares 6 3 21 2" xfId="20062" xr:uid="{00000000-0005-0000-0000-00006C580000}"/>
    <cellStyle name="Separador de milhares 6 3 21 2 2" xfId="29053" xr:uid="{503C57BA-16DA-4695-8C59-AB3123E37038}"/>
    <cellStyle name="Separador de milhares 6 3 21 3" xfId="29052" xr:uid="{D892056D-1588-4423-AB4D-F36E71EA0459}"/>
    <cellStyle name="Separador de milhares 6 3 22" xfId="20063" xr:uid="{00000000-0005-0000-0000-00006D580000}"/>
    <cellStyle name="Separador de milhares 6 3 22 2" xfId="20064" xr:uid="{00000000-0005-0000-0000-00006E580000}"/>
    <cellStyle name="Separador de milhares 6 3 22 2 2" xfId="29055" xr:uid="{A7BA161C-285B-43A5-86AE-D9B9BE60D5A9}"/>
    <cellStyle name="Separador de milhares 6 3 22 3" xfId="29054" xr:uid="{743B9173-65F9-4E69-A579-B1FEFDCCFCEF}"/>
    <cellStyle name="Separador de milhares 6 3 23" xfId="20065" xr:uid="{00000000-0005-0000-0000-00006F580000}"/>
    <cellStyle name="Separador de milhares 6 3 23 2" xfId="20066" xr:uid="{00000000-0005-0000-0000-000070580000}"/>
    <cellStyle name="Separador de milhares 6 3 23 2 2" xfId="29057" xr:uid="{6FD738D9-735A-4592-A6DD-4D56E9CCD86F}"/>
    <cellStyle name="Separador de milhares 6 3 23 3" xfId="29056" xr:uid="{A6E91409-95B0-4DA1-9A1A-E5253326C47E}"/>
    <cellStyle name="Separador de milhares 6 3 24" xfId="20067" xr:uid="{00000000-0005-0000-0000-000071580000}"/>
    <cellStyle name="Separador de milhares 6 3 24 2" xfId="20068" xr:uid="{00000000-0005-0000-0000-000072580000}"/>
    <cellStyle name="Separador de milhares 6 3 24 2 2" xfId="29059" xr:uid="{F7B7417B-9233-4DA9-AE38-4DF158E47324}"/>
    <cellStyle name="Separador de milhares 6 3 24 3" xfId="29058" xr:uid="{E37BF622-2C89-43FA-8935-6334DEA853E3}"/>
    <cellStyle name="Separador de milhares 6 3 25" xfId="20069" xr:uid="{00000000-0005-0000-0000-000073580000}"/>
    <cellStyle name="Separador de milhares 6 3 25 2" xfId="20070" xr:uid="{00000000-0005-0000-0000-000074580000}"/>
    <cellStyle name="Separador de milhares 6 3 25 2 2" xfId="29061" xr:uid="{F47837A2-FA80-4EDA-8167-B4E408C3CB94}"/>
    <cellStyle name="Separador de milhares 6 3 25 3" xfId="29060" xr:uid="{8CE451C8-69C9-4767-BB6C-DED19C9F6945}"/>
    <cellStyle name="Separador de milhares 6 3 26" xfId="20071" xr:uid="{00000000-0005-0000-0000-000075580000}"/>
    <cellStyle name="Separador de milhares 6 3 26 2" xfId="20072" xr:uid="{00000000-0005-0000-0000-000076580000}"/>
    <cellStyle name="Separador de milhares 6 3 26 2 2" xfId="29063" xr:uid="{7BAB7F9D-72CF-4C05-85C0-8B69BDD97505}"/>
    <cellStyle name="Separador de milhares 6 3 26 3" xfId="29062" xr:uid="{BF130E7F-2A83-4703-A333-8CEC4600BD53}"/>
    <cellStyle name="Separador de milhares 6 3 27" xfId="20073" xr:uid="{00000000-0005-0000-0000-000077580000}"/>
    <cellStyle name="Separador de milhares 6 3 27 2" xfId="20074" xr:uid="{00000000-0005-0000-0000-000078580000}"/>
    <cellStyle name="Separador de milhares 6 3 27 2 2" xfId="29065" xr:uid="{3D068692-E98D-4F03-8189-80D6924404A2}"/>
    <cellStyle name="Separador de milhares 6 3 27 3" xfId="29064" xr:uid="{0E177E59-1DC9-4B6E-803A-0AAFB8FA406A}"/>
    <cellStyle name="Separador de milhares 6 3 28" xfId="20075" xr:uid="{00000000-0005-0000-0000-000079580000}"/>
    <cellStyle name="Separador de milhares 6 3 28 2" xfId="20076" xr:uid="{00000000-0005-0000-0000-00007A580000}"/>
    <cellStyle name="Separador de milhares 6 3 28 2 2" xfId="29067" xr:uid="{651A2296-CCAB-45C7-9921-4CF1AE60A634}"/>
    <cellStyle name="Separador de milhares 6 3 28 3" xfId="29066" xr:uid="{4BBD59DA-ED0A-4915-9E00-212609713005}"/>
    <cellStyle name="Separador de milhares 6 3 29" xfId="20077" xr:uid="{00000000-0005-0000-0000-00007B580000}"/>
    <cellStyle name="Separador de milhares 6 3 29 2" xfId="20078" xr:uid="{00000000-0005-0000-0000-00007C580000}"/>
    <cellStyle name="Separador de milhares 6 3 29 2 2" xfId="29069" xr:uid="{446061C8-6D43-41CC-839D-4AFC41A456F8}"/>
    <cellStyle name="Separador de milhares 6 3 29 3" xfId="29068" xr:uid="{813EE791-50A0-4D46-AD4C-A6EF2F80FC6D}"/>
    <cellStyle name="Separador de milhares 6 3 3" xfId="820" xr:uid="{00000000-0005-0000-0000-00007D580000}"/>
    <cellStyle name="Separador de milhares 6 3 3 10" xfId="20080" xr:uid="{00000000-0005-0000-0000-00007E580000}"/>
    <cellStyle name="Separador de milhares 6 3 3 10 2" xfId="20081" xr:uid="{00000000-0005-0000-0000-00007F580000}"/>
    <cellStyle name="Separador de milhares 6 3 3 10 2 2" xfId="29071" xr:uid="{2584179F-8BCE-4EDA-915C-8BCF8AB5B74F}"/>
    <cellStyle name="Separador de milhares 6 3 3 10 3" xfId="29070" xr:uid="{14A18558-EE16-4199-9076-6AD93D3AB290}"/>
    <cellStyle name="Separador de milhares 6 3 3 11" xfId="20082" xr:uid="{00000000-0005-0000-0000-000080580000}"/>
    <cellStyle name="Separador de milhares 6 3 3 11 2" xfId="20083" xr:uid="{00000000-0005-0000-0000-000081580000}"/>
    <cellStyle name="Separador de milhares 6 3 3 11 2 2" xfId="29073" xr:uid="{14893935-E475-49EA-A692-87B5DE10F8A9}"/>
    <cellStyle name="Separador de milhares 6 3 3 11 3" xfId="29072" xr:uid="{9C9367A1-A7C8-47DA-A220-40D9C79BF3E7}"/>
    <cellStyle name="Separador de milhares 6 3 3 12" xfId="20084" xr:uid="{00000000-0005-0000-0000-000082580000}"/>
    <cellStyle name="Separador de milhares 6 3 3 12 2" xfId="20085" xr:uid="{00000000-0005-0000-0000-000083580000}"/>
    <cellStyle name="Separador de milhares 6 3 3 12 2 2" xfId="29075" xr:uid="{0519010D-0D3B-4B6B-A3EB-7A40CDEAFD44}"/>
    <cellStyle name="Separador de milhares 6 3 3 12 3" xfId="29074" xr:uid="{5430A702-F3AC-4445-A396-C6AD4872AF25}"/>
    <cellStyle name="Separador de milhares 6 3 3 13" xfId="20086" xr:uid="{00000000-0005-0000-0000-000084580000}"/>
    <cellStyle name="Separador de milhares 6 3 3 13 2" xfId="20087" xr:uid="{00000000-0005-0000-0000-000085580000}"/>
    <cellStyle name="Separador de milhares 6 3 3 13 2 2" xfId="29077" xr:uid="{FC974529-CED5-40AE-910B-3578D45D9403}"/>
    <cellStyle name="Separador de milhares 6 3 3 13 3" xfId="29076" xr:uid="{D23D481C-89DD-4595-A08E-ADEC2F5B1BF1}"/>
    <cellStyle name="Separador de milhares 6 3 3 14" xfId="20088" xr:uid="{00000000-0005-0000-0000-000086580000}"/>
    <cellStyle name="Separador de milhares 6 3 3 14 2" xfId="20089" xr:uid="{00000000-0005-0000-0000-000087580000}"/>
    <cellStyle name="Separador de milhares 6 3 3 14 2 2" xfId="29079" xr:uid="{DCE26C39-30FE-42B3-85F7-E64A55DC9D7E}"/>
    <cellStyle name="Separador de milhares 6 3 3 14 3" xfId="29078" xr:uid="{E8678989-AC61-49B9-993C-792AC313C0F6}"/>
    <cellStyle name="Separador de milhares 6 3 3 15" xfId="20090" xr:uid="{00000000-0005-0000-0000-000088580000}"/>
    <cellStyle name="Separador de milhares 6 3 3 15 2" xfId="20091" xr:uid="{00000000-0005-0000-0000-000089580000}"/>
    <cellStyle name="Separador de milhares 6 3 3 15 2 2" xfId="29081" xr:uid="{F69D0EC5-DBF7-43BA-A975-ADCBB8AEE53D}"/>
    <cellStyle name="Separador de milhares 6 3 3 15 3" xfId="29080" xr:uid="{2C346F3B-02F3-4A6D-AEBB-548BA5F0FCB1}"/>
    <cellStyle name="Separador de milhares 6 3 3 16" xfId="20092" xr:uid="{00000000-0005-0000-0000-00008A580000}"/>
    <cellStyle name="Separador de milhares 6 3 3 16 2" xfId="20093" xr:uid="{00000000-0005-0000-0000-00008B580000}"/>
    <cellStyle name="Separador de milhares 6 3 3 16 2 2" xfId="29083" xr:uid="{629143B9-F347-4FA5-AE8A-9DA2FFB475BA}"/>
    <cellStyle name="Separador de milhares 6 3 3 16 3" xfId="29082" xr:uid="{807F06BC-C904-49B3-8D02-D61182B20F85}"/>
    <cellStyle name="Separador de milhares 6 3 3 17" xfId="20094" xr:uid="{00000000-0005-0000-0000-00008C580000}"/>
    <cellStyle name="Separador de milhares 6 3 3 17 2" xfId="20095" xr:uid="{00000000-0005-0000-0000-00008D580000}"/>
    <cellStyle name="Separador de milhares 6 3 3 17 2 2" xfId="29085" xr:uid="{0B6E0FDE-2FE8-466B-9D74-A9BF46E2B59E}"/>
    <cellStyle name="Separador de milhares 6 3 3 17 3" xfId="29084" xr:uid="{CC4C0901-6C23-4448-8DB7-C3F9D3365AEA}"/>
    <cellStyle name="Separador de milhares 6 3 3 18" xfId="20096" xr:uid="{00000000-0005-0000-0000-00008E580000}"/>
    <cellStyle name="Separador de milhares 6 3 3 18 2" xfId="20097" xr:uid="{00000000-0005-0000-0000-00008F580000}"/>
    <cellStyle name="Separador de milhares 6 3 3 18 2 2" xfId="29087" xr:uid="{B5761A34-B88C-4349-8289-F08878FF2D4D}"/>
    <cellStyle name="Separador de milhares 6 3 3 18 3" xfId="29086" xr:uid="{7C72E147-CEBE-47FA-B371-A02B45D6D488}"/>
    <cellStyle name="Separador de milhares 6 3 3 19" xfId="20098" xr:uid="{00000000-0005-0000-0000-000090580000}"/>
    <cellStyle name="Separador de milhares 6 3 3 19 2" xfId="20099" xr:uid="{00000000-0005-0000-0000-000091580000}"/>
    <cellStyle name="Separador de milhares 6 3 3 19 2 2" xfId="29089" xr:uid="{2AF48F69-9195-497E-9C2B-E957C619BD8A}"/>
    <cellStyle name="Separador de milhares 6 3 3 19 3" xfId="29088" xr:uid="{EF99A60C-361E-4B22-80A2-55C8FA3FB892}"/>
    <cellStyle name="Separador de milhares 6 3 3 2" xfId="821" xr:uid="{00000000-0005-0000-0000-000092580000}"/>
    <cellStyle name="Separador de milhares 6 3 3 2 2" xfId="20101" xr:uid="{00000000-0005-0000-0000-000093580000}"/>
    <cellStyle name="Separador de milhares 6 3 3 2 2 2" xfId="29091" xr:uid="{8F3A3AA6-C39C-4404-AEA6-61B6C0A5825D}"/>
    <cellStyle name="Separador de milhares 6 3 3 2 3" xfId="20100" xr:uid="{00000000-0005-0000-0000-000094580000}"/>
    <cellStyle name="Separador de milhares 6 3 3 2 3 2" xfId="29090" xr:uid="{F1001F57-162E-4792-9EC8-0A33DB820DA8}"/>
    <cellStyle name="Separador de milhares 6 3 3 2 4" xfId="28054" xr:uid="{717EA132-4E5C-4CC8-97E5-A6CECB959379}"/>
    <cellStyle name="Separador de milhares 6 3 3 20" xfId="20102" xr:uid="{00000000-0005-0000-0000-000095580000}"/>
    <cellStyle name="Separador de milhares 6 3 3 20 2" xfId="20103" xr:uid="{00000000-0005-0000-0000-000096580000}"/>
    <cellStyle name="Separador de milhares 6 3 3 20 2 2" xfId="29093" xr:uid="{7C212371-F84F-4AE1-951A-5DC4636B69C8}"/>
    <cellStyle name="Separador de milhares 6 3 3 20 3" xfId="29092" xr:uid="{AD99177C-20E2-4A56-BCCF-0E17C34ED66F}"/>
    <cellStyle name="Separador de milhares 6 3 3 21" xfId="20104" xr:uid="{00000000-0005-0000-0000-000097580000}"/>
    <cellStyle name="Separador de milhares 6 3 3 21 2" xfId="20105" xr:uid="{00000000-0005-0000-0000-000098580000}"/>
    <cellStyle name="Separador de milhares 6 3 3 21 2 2" xfId="29095" xr:uid="{D11DCF31-4286-4CBE-8E24-16E46C6374BA}"/>
    <cellStyle name="Separador de milhares 6 3 3 21 3" xfId="29094" xr:uid="{BC28BC5A-E8CB-4537-BE65-3A2CB5B2DFA1}"/>
    <cellStyle name="Separador de milhares 6 3 3 22" xfId="20106" xr:uid="{00000000-0005-0000-0000-000099580000}"/>
    <cellStyle name="Separador de milhares 6 3 3 22 2" xfId="20107" xr:uid="{00000000-0005-0000-0000-00009A580000}"/>
    <cellStyle name="Separador de milhares 6 3 3 22 2 2" xfId="29097" xr:uid="{493B9913-C589-4119-B51F-B37BACA0EC33}"/>
    <cellStyle name="Separador de milhares 6 3 3 22 3" xfId="29096" xr:uid="{29B1228B-3AE4-4350-871A-2F3260E31795}"/>
    <cellStyle name="Separador de milhares 6 3 3 23" xfId="20108" xr:uid="{00000000-0005-0000-0000-00009B580000}"/>
    <cellStyle name="Separador de milhares 6 3 3 23 2" xfId="20109" xr:uid="{00000000-0005-0000-0000-00009C580000}"/>
    <cellStyle name="Separador de milhares 6 3 3 23 2 2" xfId="29099" xr:uid="{41CC507B-5970-419C-8BE5-43D284C27297}"/>
    <cellStyle name="Separador de milhares 6 3 3 23 3" xfId="29098" xr:uid="{2309FA0C-97CB-4350-A685-917438C2CA4C}"/>
    <cellStyle name="Separador de milhares 6 3 3 24" xfId="20110" xr:uid="{00000000-0005-0000-0000-00009D580000}"/>
    <cellStyle name="Separador de milhares 6 3 3 24 2" xfId="20111" xr:uid="{00000000-0005-0000-0000-00009E580000}"/>
    <cellStyle name="Separador de milhares 6 3 3 24 2 2" xfId="29101" xr:uid="{00615B6C-DF46-4BA0-A161-F234309DAADD}"/>
    <cellStyle name="Separador de milhares 6 3 3 24 3" xfId="29100" xr:uid="{70F24DEE-AEAF-4AB3-92D4-E9B24A34F826}"/>
    <cellStyle name="Separador de milhares 6 3 3 25" xfId="20112" xr:uid="{00000000-0005-0000-0000-00009F580000}"/>
    <cellStyle name="Separador de milhares 6 3 3 25 2" xfId="20113" xr:uid="{00000000-0005-0000-0000-0000A0580000}"/>
    <cellStyle name="Separador de milhares 6 3 3 25 2 2" xfId="29103" xr:uid="{0EC09A48-0802-4BB9-92CA-17BF801160DC}"/>
    <cellStyle name="Separador de milhares 6 3 3 25 3" xfId="29102" xr:uid="{DE0BF05B-210F-4DD3-B28A-AED430232E5B}"/>
    <cellStyle name="Separador de milhares 6 3 3 26" xfId="20114" xr:uid="{00000000-0005-0000-0000-0000A1580000}"/>
    <cellStyle name="Separador de milhares 6 3 3 26 2" xfId="20115" xr:uid="{00000000-0005-0000-0000-0000A2580000}"/>
    <cellStyle name="Separador de milhares 6 3 3 26 2 2" xfId="29105" xr:uid="{43DEB55B-471B-4E7A-B312-76AF30AC74A8}"/>
    <cellStyle name="Separador de milhares 6 3 3 26 3" xfId="29104" xr:uid="{660C3C17-3F53-4B0E-8708-4920005F499C}"/>
    <cellStyle name="Separador de milhares 6 3 3 27" xfId="20116" xr:uid="{00000000-0005-0000-0000-0000A3580000}"/>
    <cellStyle name="Separador de milhares 6 3 3 27 2" xfId="20117" xr:uid="{00000000-0005-0000-0000-0000A4580000}"/>
    <cellStyle name="Separador de milhares 6 3 3 27 2 2" xfId="29107" xr:uid="{1C44F213-058B-49EA-B413-1CA02A25D307}"/>
    <cellStyle name="Separador de milhares 6 3 3 27 3" xfId="29106" xr:uid="{2C00947D-4465-4F16-8E6A-87534DD26A2D}"/>
    <cellStyle name="Separador de milhares 6 3 3 28" xfId="20118" xr:uid="{00000000-0005-0000-0000-0000A5580000}"/>
    <cellStyle name="Separador de milhares 6 3 3 28 2" xfId="20119" xr:uid="{00000000-0005-0000-0000-0000A6580000}"/>
    <cellStyle name="Separador de milhares 6 3 3 28 2 2" xfId="29109" xr:uid="{A4BBF96D-93AC-46CC-AA00-B8D891DEC9AD}"/>
    <cellStyle name="Separador de milhares 6 3 3 28 3" xfId="29108" xr:uid="{37E9B034-7C84-42A5-A838-5BD9B80DFDD4}"/>
    <cellStyle name="Separador de milhares 6 3 3 29" xfId="20120" xr:uid="{00000000-0005-0000-0000-0000A7580000}"/>
    <cellStyle name="Separador de milhares 6 3 3 29 2" xfId="20121" xr:uid="{00000000-0005-0000-0000-0000A8580000}"/>
    <cellStyle name="Separador de milhares 6 3 3 29 2 2" xfId="29111" xr:uid="{7EACD9E7-B6C1-4712-BC4B-6CB3F42DE554}"/>
    <cellStyle name="Separador de milhares 6 3 3 29 3" xfId="29110" xr:uid="{16148245-35A6-48EC-8E7C-E6E809C8BBA9}"/>
    <cellStyle name="Separador de milhares 6 3 3 3" xfId="20122" xr:uid="{00000000-0005-0000-0000-0000A9580000}"/>
    <cellStyle name="Separador de milhares 6 3 3 3 2" xfId="20123" xr:uid="{00000000-0005-0000-0000-0000AA580000}"/>
    <cellStyle name="Separador de milhares 6 3 3 3 2 2" xfId="29113" xr:uid="{232115D9-C851-4956-B89F-C90013EC15F9}"/>
    <cellStyle name="Separador de milhares 6 3 3 3 3" xfId="29112" xr:uid="{9B1630E4-18C2-440D-8F5E-C06815554CBE}"/>
    <cellStyle name="Separador de milhares 6 3 3 30" xfId="20124" xr:uid="{00000000-0005-0000-0000-0000AB580000}"/>
    <cellStyle name="Separador de milhares 6 3 3 30 2" xfId="20125" xr:uid="{00000000-0005-0000-0000-0000AC580000}"/>
    <cellStyle name="Separador de milhares 6 3 3 30 2 2" xfId="29115" xr:uid="{BE80026F-5503-4F96-BE79-4CFB596D540D}"/>
    <cellStyle name="Separador de milhares 6 3 3 30 3" xfId="29114" xr:uid="{DB60EC07-1C70-4732-94DF-D13BA8FE3B65}"/>
    <cellStyle name="Separador de milhares 6 3 3 31" xfId="20126" xr:uid="{00000000-0005-0000-0000-0000AD580000}"/>
    <cellStyle name="Separador de milhares 6 3 3 31 2" xfId="20127" xr:uid="{00000000-0005-0000-0000-0000AE580000}"/>
    <cellStyle name="Separador de milhares 6 3 3 31 2 2" xfId="29117" xr:uid="{F232421B-A92C-4D79-853F-A54FAEC5B127}"/>
    <cellStyle name="Separador de milhares 6 3 3 31 3" xfId="29116" xr:uid="{1FBFAF0F-4073-4574-9482-FAA2976E00AE}"/>
    <cellStyle name="Separador de milhares 6 3 3 32" xfId="20128" xr:uid="{00000000-0005-0000-0000-0000AF580000}"/>
    <cellStyle name="Separador de milhares 6 3 3 32 2" xfId="20129" xr:uid="{00000000-0005-0000-0000-0000B0580000}"/>
    <cellStyle name="Separador de milhares 6 3 3 32 2 2" xfId="29119" xr:uid="{BA7254C2-1C90-4A55-B6C6-84B60F58F1B3}"/>
    <cellStyle name="Separador de milhares 6 3 3 32 3" xfId="29118" xr:uid="{07ECE748-1082-4BEA-A7A8-997F14BF4473}"/>
    <cellStyle name="Separador de milhares 6 3 3 33" xfId="20130" xr:uid="{00000000-0005-0000-0000-0000B1580000}"/>
    <cellStyle name="Separador de milhares 6 3 3 33 2" xfId="20131" xr:uid="{00000000-0005-0000-0000-0000B2580000}"/>
    <cellStyle name="Separador de milhares 6 3 3 33 2 2" xfId="29121" xr:uid="{423CC2B3-5C2E-4318-A065-4159245A106B}"/>
    <cellStyle name="Separador de milhares 6 3 3 33 3" xfId="29120" xr:uid="{05484DF6-FE0A-4027-A9AD-61E025BDF18E}"/>
    <cellStyle name="Separador de milhares 6 3 3 34" xfId="20132" xr:uid="{00000000-0005-0000-0000-0000B3580000}"/>
    <cellStyle name="Separador de milhares 6 3 3 34 2" xfId="20133" xr:uid="{00000000-0005-0000-0000-0000B4580000}"/>
    <cellStyle name="Separador de milhares 6 3 3 34 2 2" xfId="29123" xr:uid="{9E49CE34-2022-4CC4-9518-228B2E963536}"/>
    <cellStyle name="Separador de milhares 6 3 3 34 3" xfId="29122" xr:uid="{05DAA411-753A-4BB9-AAB2-E4665DBC6ED2}"/>
    <cellStyle name="Separador de milhares 6 3 3 35" xfId="20134" xr:uid="{00000000-0005-0000-0000-0000B5580000}"/>
    <cellStyle name="Separador de milhares 6 3 3 35 2" xfId="29124" xr:uid="{37437693-B845-41D4-BDBA-9E334C0D2F5A}"/>
    <cellStyle name="Separador de milhares 6 3 3 36" xfId="20079" xr:uid="{00000000-0005-0000-0000-0000B6580000}"/>
    <cellStyle name="Separador de milhares 6 3 3 37" xfId="27211" xr:uid="{00000000-0005-0000-0000-0000B7580000}"/>
    <cellStyle name="Separador de milhares 6 3 3 37 2" xfId="33053" xr:uid="{DD2EB37D-A709-402A-A4A4-9E902D5AE298}"/>
    <cellStyle name="Separador de milhares 6 3 3 38" xfId="27391" xr:uid="{00000000-0005-0000-0000-0000B8580000}"/>
    <cellStyle name="Separador de milhares 6 3 3 38 2" xfId="33228" xr:uid="{3918F9F0-CFBD-4771-9540-748FBEA319DB}"/>
    <cellStyle name="Separador de milhares 6 3 3 39" xfId="27569" xr:uid="{00000000-0005-0000-0000-0000B9580000}"/>
    <cellStyle name="Separador de milhares 6 3 3 39 2" xfId="33381" xr:uid="{BD890B73-70CB-4EB1-9A61-2C396213A2E7}"/>
    <cellStyle name="Separador de milhares 6 3 3 4" xfId="20135" xr:uid="{00000000-0005-0000-0000-0000BA580000}"/>
    <cellStyle name="Separador de milhares 6 3 3 4 2" xfId="20136" xr:uid="{00000000-0005-0000-0000-0000BB580000}"/>
    <cellStyle name="Separador de milhares 6 3 3 4 2 2" xfId="29126" xr:uid="{F93D7E73-DE63-49E8-A461-B9EAD8659C99}"/>
    <cellStyle name="Separador de milhares 6 3 3 4 3" xfId="29125" xr:uid="{C3EEDF10-6C7B-4B5E-95C6-457A5B1A7CD7}"/>
    <cellStyle name="Separador de milhares 6 3 3 40" xfId="27720" xr:uid="{00000000-0005-0000-0000-0000BC580000}"/>
    <cellStyle name="Separador de milhares 6 3 3 40 2" xfId="33531" xr:uid="{714E6B19-9031-42D9-B8D6-C0A185037C26}"/>
    <cellStyle name="Separador de milhares 6 3 3 41" xfId="28053" xr:uid="{2A97E0C0-6B68-44F9-B1B2-E6D49129657B}"/>
    <cellStyle name="Separador de milhares 6 3 3 5" xfId="20137" xr:uid="{00000000-0005-0000-0000-0000BD580000}"/>
    <cellStyle name="Separador de milhares 6 3 3 5 2" xfId="20138" xr:uid="{00000000-0005-0000-0000-0000BE580000}"/>
    <cellStyle name="Separador de milhares 6 3 3 5 2 2" xfId="29128" xr:uid="{95C641CE-91E6-46DC-9240-450956EE997A}"/>
    <cellStyle name="Separador de milhares 6 3 3 5 3" xfId="29127" xr:uid="{3D5FC339-FCC3-4A9A-9882-C10CF1F32434}"/>
    <cellStyle name="Separador de milhares 6 3 3 6" xfId="20139" xr:uid="{00000000-0005-0000-0000-0000BF580000}"/>
    <cellStyle name="Separador de milhares 6 3 3 6 2" xfId="20140" xr:uid="{00000000-0005-0000-0000-0000C0580000}"/>
    <cellStyle name="Separador de milhares 6 3 3 6 2 2" xfId="29130" xr:uid="{3D891D55-E409-4A49-AB48-B929B55359DF}"/>
    <cellStyle name="Separador de milhares 6 3 3 6 3" xfId="29129" xr:uid="{D85399FB-F9E4-439A-91AF-16F83F7A8735}"/>
    <cellStyle name="Separador de milhares 6 3 3 7" xfId="20141" xr:uid="{00000000-0005-0000-0000-0000C1580000}"/>
    <cellStyle name="Separador de milhares 6 3 3 7 2" xfId="20142" xr:uid="{00000000-0005-0000-0000-0000C2580000}"/>
    <cellStyle name="Separador de milhares 6 3 3 7 2 2" xfId="29132" xr:uid="{745140D2-7E3D-4280-809C-25153206C2E5}"/>
    <cellStyle name="Separador de milhares 6 3 3 7 3" xfId="29131" xr:uid="{4C7423EB-4D6E-41C1-AC7F-9512C7AFEE4D}"/>
    <cellStyle name="Separador de milhares 6 3 3 8" xfId="20143" xr:uid="{00000000-0005-0000-0000-0000C3580000}"/>
    <cellStyle name="Separador de milhares 6 3 3 8 2" xfId="20144" xr:uid="{00000000-0005-0000-0000-0000C4580000}"/>
    <cellStyle name="Separador de milhares 6 3 3 8 2 2" xfId="29134" xr:uid="{050E156A-3274-433D-8A7F-F73029E3F1A0}"/>
    <cellStyle name="Separador de milhares 6 3 3 8 3" xfId="29133" xr:uid="{5428E979-437C-40CC-81F6-46663CAD98C3}"/>
    <cellStyle name="Separador de milhares 6 3 3 9" xfId="20145" xr:uid="{00000000-0005-0000-0000-0000C5580000}"/>
    <cellStyle name="Separador de milhares 6 3 3 9 2" xfId="20146" xr:uid="{00000000-0005-0000-0000-0000C6580000}"/>
    <cellStyle name="Separador de milhares 6 3 3 9 2 2" xfId="29136" xr:uid="{F31EE14C-F93A-4845-91B1-6A0CA2CE233F}"/>
    <cellStyle name="Separador de milhares 6 3 3 9 3" xfId="29135" xr:uid="{F2D2B1F7-4FF4-4593-84FE-3662B6CC7882}"/>
    <cellStyle name="Separador de milhares 6 3 30" xfId="20147" xr:uid="{00000000-0005-0000-0000-0000C7580000}"/>
    <cellStyle name="Separador de milhares 6 3 30 2" xfId="20148" xr:uid="{00000000-0005-0000-0000-0000C8580000}"/>
    <cellStyle name="Separador de milhares 6 3 30 2 2" xfId="29138" xr:uid="{A1ECC4A6-753D-4A65-8C52-146EF5E66911}"/>
    <cellStyle name="Separador de milhares 6 3 30 3" xfId="29137" xr:uid="{166E3707-E819-4FD8-9A2B-F9E0DAE4DC42}"/>
    <cellStyle name="Separador de milhares 6 3 31" xfId="20149" xr:uid="{00000000-0005-0000-0000-0000C9580000}"/>
    <cellStyle name="Separador de milhares 6 3 31 2" xfId="20150" xr:uid="{00000000-0005-0000-0000-0000CA580000}"/>
    <cellStyle name="Separador de milhares 6 3 31 2 2" xfId="29140" xr:uid="{A835D421-DC8C-487D-AAA0-62A8BE7FCCD6}"/>
    <cellStyle name="Separador de milhares 6 3 31 3" xfId="29139" xr:uid="{12C07ED3-7F60-44A8-85F4-2FB257CFDB3C}"/>
    <cellStyle name="Separador de milhares 6 3 32" xfId="20151" xr:uid="{00000000-0005-0000-0000-0000CB580000}"/>
    <cellStyle name="Separador de milhares 6 3 32 2" xfId="20152" xr:uid="{00000000-0005-0000-0000-0000CC580000}"/>
    <cellStyle name="Separador de milhares 6 3 32 2 2" xfId="29142" xr:uid="{100CC043-078F-4044-B9FB-9BAD02A3F48E}"/>
    <cellStyle name="Separador de milhares 6 3 32 3" xfId="29141" xr:uid="{86BE2204-9086-4166-9962-750E74267CFE}"/>
    <cellStyle name="Separador de milhares 6 3 33" xfId="20153" xr:uid="{00000000-0005-0000-0000-0000CD580000}"/>
    <cellStyle name="Separador de milhares 6 3 33 2" xfId="20154" xr:uid="{00000000-0005-0000-0000-0000CE580000}"/>
    <cellStyle name="Separador de milhares 6 3 33 2 2" xfId="29144" xr:uid="{9B0A7BAF-7EB6-44CF-ADFF-505BB300DC96}"/>
    <cellStyle name="Separador de milhares 6 3 33 3" xfId="29143" xr:uid="{72022EF7-A472-47A4-B4C2-7C20DA0CBCC5}"/>
    <cellStyle name="Separador de milhares 6 3 34" xfId="20155" xr:uid="{00000000-0005-0000-0000-0000CF580000}"/>
    <cellStyle name="Separador de milhares 6 3 34 2" xfId="20156" xr:uid="{00000000-0005-0000-0000-0000D0580000}"/>
    <cellStyle name="Separador de milhares 6 3 34 2 2" xfId="29146" xr:uid="{A43E546C-170B-4E50-970F-4DF13849FF29}"/>
    <cellStyle name="Separador de milhares 6 3 34 3" xfId="29145" xr:uid="{7C0DBEE1-7D7B-4862-9569-DD3858332B1C}"/>
    <cellStyle name="Separador de milhares 6 3 35" xfId="20157" xr:uid="{00000000-0005-0000-0000-0000D1580000}"/>
    <cellStyle name="Separador de milhares 6 3 35 2" xfId="20158" xr:uid="{00000000-0005-0000-0000-0000D2580000}"/>
    <cellStyle name="Separador de milhares 6 3 35 2 2" xfId="29148" xr:uid="{D2180829-195A-44CC-898C-8E448972458C}"/>
    <cellStyle name="Separador de milhares 6 3 35 3" xfId="29147" xr:uid="{7825C2D9-6BDB-45B2-8235-2514C0099335}"/>
    <cellStyle name="Separador de milhares 6 3 36" xfId="20159" xr:uid="{00000000-0005-0000-0000-0000D3580000}"/>
    <cellStyle name="Separador de milhares 6 3 36 2" xfId="20160" xr:uid="{00000000-0005-0000-0000-0000D4580000}"/>
    <cellStyle name="Separador de milhares 6 3 36 2 2" xfId="29150" xr:uid="{3F4256FB-33E0-4795-8D2F-6743B996E9F4}"/>
    <cellStyle name="Separador de milhares 6 3 36 3" xfId="29149" xr:uid="{178D776C-7F88-44AF-B45C-CAF739658DE9}"/>
    <cellStyle name="Separador de milhares 6 3 37" xfId="20161" xr:uid="{00000000-0005-0000-0000-0000D5580000}"/>
    <cellStyle name="Separador de milhares 6 3 37 2" xfId="20162" xr:uid="{00000000-0005-0000-0000-0000D6580000}"/>
    <cellStyle name="Separador de milhares 6 3 37 2 2" xfId="29152" xr:uid="{4E9E57B5-0238-492A-99CF-B104E70638F2}"/>
    <cellStyle name="Separador de milhares 6 3 37 3" xfId="29151" xr:uid="{CD3240B4-07D8-4F47-9B1C-71086F125175}"/>
    <cellStyle name="Separador de milhares 6 3 38" xfId="20163" xr:uid="{00000000-0005-0000-0000-0000D7580000}"/>
    <cellStyle name="Separador de milhares 6 3 38 2" xfId="20164" xr:uid="{00000000-0005-0000-0000-0000D8580000}"/>
    <cellStyle name="Separador de milhares 6 3 38 2 2" xfId="29154" xr:uid="{0F5FEA86-C39A-4572-9C18-5124809F79CE}"/>
    <cellStyle name="Separador de milhares 6 3 38 3" xfId="29153" xr:uid="{423506AD-0208-4F13-B64A-286A713878E3}"/>
    <cellStyle name="Separador de milhares 6 3 39" xfId="20165" xr:uid="{00000000-0005-0000-0000-0000D9580000}"/>
    <cellStyle name="Separador de milhares 6 3 39 2" xfId="20166" xr:uid="{00000000-0005-0000-0000-0000DA580000}"/>
    <cellStyle name="Separador de milhares 6 3 39 2 2" xfId="29156" xr:uid="{66AB6817-BB33-4919-A9D9-0D93E2547B4E}"/>
    <cellStyle name="Separador de milhares 6 3 39 3" xfId="29155" xr:uid="{D5C87241-B9DD-44B6-9651-AAEBCF4B0BD8}"/>
    <cellStyle name="Separador de milhares 6 3 4" xfId="822" xr:uid="{00000000-0005-0000-0000-0000DB580000}"/>
    <cellStyle name="Separador de milhares 6 3 4 2" xfId="20168" xr:uid="{00000000-0005-0000-0000-0000DC580000}"/>
    <cellStyle name="Separador de milhares 6 3 4 2 2" xfId="20169" xr:uid="{00000000-0005-0000-0000-0000DD580000}"/>
    <cellStyle name="Separador de milhares 6 3 4 2 2 2" xfId="29158" xr:uid="{80206466-8254-4F29-8880-0DEFF62D159A}"/>
    <cellStyle name="Separador de milhares 6 3 4 2 3" xfId="29157" xr:uid="{6AC2F049-1209-42A1-83C7-E2E9ACD71D72}"/>
    <cellStyle name="Separador de milhares 6 3 4 3" xfId="20170" xr:uid="{00000000-0005-0000-0000-0000DE580000}"/>
    <cellStyle name="Separador de milhares 6 3 4 3 2" xfId="20171" xr:uid="{00000000-0005-0000-0000-0000DF580000}"/>
    <cellStyle name="Separador de milhares 6 3 4 3 2 2" xfId="29160" xr:uid="{C0643D03-2B67-4A9A-9F88-F5D5B9D0E5B6}"/>
    <cellStyle name="Separador de milhares 6 3 4 3 3" xfId="29159" xr:uid="{5F3C6A8F-8A5E-4C96-B753-92B7F7874CA4}"/>
    <cellStyle name="Separador de milhares 6 3 4 4" xfId="20172" xr:uid="{00000000-0005-0000-0000-0000E0580000}"/>
    <cellStyle name="Separador de milhares 6 3 4 4 2" xfId="20173" xr:uid="{00000000-0005-0000-0000-0000E1580000}"/>
    <cellStyle name="Separador de milhares 6 3 4 4 2 2" xfId="29162" xr:uid="{EEDE303A-B0F6-446B-A569-26C58BA98556}"/>
    <cellStyle name="Separador de milhares 6 3 4 4 3" xfId="29161" xr:uid="{DAF0ADDB-B814-4C8B-8926-51E024331B0F}"/>
    <cellStyle name="Separador de milhares 6 3 4 5" xfId="20174" xr:uid="{00000000-0005-0000-0000-0000E2580000}"/>
    <cellStyle name="Separador de milhares 6 3 4 5 2" xfId="20175" xr:uid="{00000000-0005-0000-0000-0000E3580000}"/>
    <cellStyle name="Separador de milhares 6 3 4 5 2 2" xfId="29164" xr:uid="{66F0988A-D1C5-4134-BB87-A0D4C435BD70}"/>
    <cellStyle name="Separador de milhares 6 3 4 5 3" xfId="29163" xr:uid="{7286EAA8-032D-42C3-86EE-CE9683688252}"/>
    <cellStyle name="Separador de milhares 6 3 4 6" xfId="20176" xr:uid="{00000000-0005-0000-0000-0000E4580000}"/>
    <cellStyle name="Separador de milhares 6 3 4 6 2" xfId="29165" xr:uid="{89B04475-F881-45B7-A024-EF33942684FF}"/>
    <cellStyle name="Separador de milhares 6 3 4 7" xfId="20167" xr:uid="{00000000-0005-0000-0000-0000E5580000}"/>
    <cellStyle name="Separador de milhares 6 3 4 8" xfId="28055" xr:uid="{A09E6F93-26A8-40AC-8541-086774DE4DA7}"/>
    <cellStyle name="Separador de milhares 6 3 40" xfId="20177" xr:uid="{00000000-0005-0000-0000-0000E6580000}"/>
    <cellStyle name="Separador de milhares 6 3 40 2" xfId="20178" xr:uid="{00000000-0005-0000-0000-0000E7580000}"/>
    <cellStyle name="Separador de milhares 6 3 40 2 2" xfId="29167" xr:uid="{DE973128-EB05-4D77-855F-0FF8F4CB1EE1}"/>
    <cellStyle name="Separador de milhares 6 3 40 3" xfId="29166" xr:uid="{B436A093-2450-437E-AFF3-D5F23AA18703}"/>
    <cellStyle name="Separador de milhares 6 3 41" xfId="20179" xr:uid="{00000000-0005-0000-0000-0000E8580000}"/>
    <cellStyle name="Separador de milhares 6 3 41 2" xfId="20180" xr:uid="{00000000-0005-0000-0000-0000E9580000}"/>
    <cellStyle name="Separador de milhares 6 3 41 2 2" xfId="29169" xr:uid="{1CECB5B9-8EFD-44F6-A5D8-F6921C24B237}"/>
    <cellStyle name="Separador de milhares 6 3 41 3" xfId="29168" xr:uid="{9E11BE26-9968-4A37-936A-09A218E74C79}"/>
    <cellStyle name="Separador de milhares 6 3 42" xfId="20181" xr:uid="{00000000-0005-0000-0000-0000EA580000}"/>
    <cellStyle name="Separador de milhares 6 3 42 2" xfId="20182" xr:uid="{00000000-0005-0000-0000-0000EB580000}"/>
    <cellStyle name="Separador de milhares 6 3 42 2 2" xfId="29171" xr:uid="{ED91F469-02B6-4263-8D76-71770D92DEF1}"/>
    <cellStyle name="Separador de milhares 6 3 42 3" xfId="29170" xr:uid="{96A3C812-3CF7-47EE-A7EE-4A43A0323AB9}"/>
    <cellStyle name="Separador de milhares 6 3 43" xfId="20183" xr:uid="{00000000-0005-0000-0000-0000EC580000}"/>
    <cellStyle name="Separador de milhares 6 3 43 2" xfId="20184" xr:uid="{00000000-0005-0000-0000-0000ED580000}"/>
    <cellStyle name="Separador de milhares 6 3 43 2 2" xfId="29173" xr:uid="{F6176166-4188-46F8-B1C7-12B6A3E1EE9F}"/>
    <cellStyle name="Separador de milhares 6 3 43 3" xfId="29172" xr:uid="{AF8022E3-7F32-4FC9-8855-244129F58109}"/>
    <cellStyle name="Separador de milhares 6 3 44" xfId="20185" xr:uid="{00000000-0005-0000-0000-0000EE580000}"/>
    <cellStyle name="Separador de milhares 6 3 44 2" xfId="20186" xr:uid="{00000000-0005-0000-0000-0000EF580000}"/>
    <cellStyle name="Separador de milhares 6 3 44 2 2" xfId="29175" xr:uid="{426ADCEB-F315-49D5-9962-769B523C513D}"/>
    <cellStyle name="Separador de milhares 6 3 44 3" xfId="29174" xr:uid="{197EA946-732F-4225-8298-7A10A047C849}"/>
    <cellStyle name="Separador de milhares 6 3 45" xfId="20187" xr:uid="{00000000-0005-0000-0000-0000F0580000}"/>
    <cellStyle name="Separador de milhares 6 3 45 2" xfId="20188" xr:uid="{00000000-0005-0000-0000-0000F1580000}"/>
    <cellStyle name="Separador de milhares 6 3 45 2 2" xfId="29177" xr:uid="{5917B463-1475-4A9B-B5AF-E7FB6A0481C8}"/>
    <cellStyle name="Separador de milhares 6 3 45 3" xfId="29176" xr:uid="{FFDE7D49-DCF1-4B05-85FE-465C877F0F38}"/>
    <cellStyle name="Separador de milhares 6 3 46" xfId="20189" xr:uid="{00000000-0005-0000-0000-0000F2580000}"/>
    <cellStyle name="Separador de milhares 6 3 46 2" xfId="20190" xr:uid="{00000000-0005-0000-0000-0000F3580000}"/>
    <cellStyle name="Separador de milhares 6 3 46 2 2" xfId="29179" xr:uid="{C59F3382-4725-4886-81BE-E6DD6F0C67A4}"/>
    <cellStyle name="Separador de milhares 6 3 46 3" xfId="29178" xr:uid="{5A0DC6AD-8B5D-48CF-91D1-90E00F2DD5FB}"/>
    <cellStyle name="Separador de milhares 6 3 47" xfId="20191" xr:uid="{00000000-0005-0000-0000-0000F4580000}"/>
    <cellStyle name="Separador de milhares 6 3 47 2" xfId="29180" xr:uid="{9979DE1A-7430-43F3-9095-E8A02739CD63}"/>
    <cellStyle name="Separador de milhares 6 3 48" xfId="19970" xr:uid="{00000000-0005-0000-0000-0000F5580000}"/>
    <cellStyle name="Separador de milhares 6 3 48 2" xfId="28963" xr:uid="{EB9DAF94-71F2-4053-97C0-18C7241D43E7}"/>
    <cellStyle name="Separador de milhares 6 3 49" xfId="27208" xr:uid="{00000000-0005-0000-0000-0000F6580000}"/>
    <cellStyle name="Separador de milhares 6 3 49 2" xfId="33050" xr:uid="{F193FDA2-1450-40C6-9F7C-67A1ECA4193C}"/>
    <cellStyle name="Separador de milhares 6 3 5" xfId="20192" xr:uid="{00000000-0005-0000-0000-0000F7580000}"/>
    <cellStyle name="Separador de milhares 6 3 5 2" xfId="20193" xr:uid="{00000000-0005-0000-0000-0000F8580000}"/>
    <cellStyle name="Separador de milhares 6 3 5 2 2" xfId="29181" xr:uid="{D4F6A824-E8BC-4DC0-BB93-E2CBF6905174}"/>
    <cellStyle name="Separador de milhares 6 3 50" xfId="27388" xr:uid="{00000000-0005-0000-0000-0000F9580000}"/>
    <cellStyle name="Separador de milhares 6 3 50 2" xfId="33225" xr:uid="{350B58F0-A94B-454C-841B-F9925DAB8565}"/>
    <cellStyle name="Separador de milhares 6 3 51" xfId="27566" xr:uid="{00000000-0005-0000-0000-0000FA580000}"/>
    <cellStyle name="Separador de milhares 6 3 51 2" xfId="33378" xr:uid="{3225CCFD-92CC-4CB7-A872-83918AA3C2AF}"/>
    <cellStyle name="Separador de milhares 6 3 52" xfId="27717" xr:uid="{00000000-0005-0000-0000-0000FB580000}"/>
    <cellStyle name="Separador de milhares 6 3 52 2" xfId="33528" xr:uid="{BDAECA2E-584A-4BBB-BAE7-5CFBCF981B6E}"/>
    <cellStyle name="Separador de milhares 6 3 53" xfId="28048" xr:uid="{A16CA2E9-D12E-47EA-A725-6ACB47705D70}"/>
    <cellStyle name="Separador de milhares 6 3 6" xfId="20194" xr:uid="{00000000-0005-0000-0000-0000FC580000}"/>
    <cellStyle name="Separador de milhares 6 3 6 2" xfId="20195" xr:uid="{00000000-0005-0000-0000-0000FD580000}"/>
    <cellStyle name="Separador de milhares 6 3 6 2 2" xfId="29182" xr:uid="{9FA9AFA9-7156-461A-873F-970FEFAFCB50}"/>
    <cellStyle name="Separador de milhares 6 3 7" xfId="20196" xr:uid="{00000000-0005-0000-0000-0000FE580000}"/>
    <cellStyle name="Separador de milhares 6 3 7 2" xfId="20197" xr:uid="{00000000-0005-0000-0000-0000FF580000}"/>
    <cellStyle name="Separador de milhares 6 3 7 2 2" xfId="29183" xr:uid="{7569BEE8-27E4-40B3-A8EE-B555B1B4032F}"/>
    <cellStyle name="Separador de milhares 6 3 8" xfId="20198" xr:uid="{00000000-0005-0000-0000-000000590000}"/>
    <cellStyle name="Separador de milhares 6 3 8 2" xfId="20199" xr:uid="{00000000-0005-0000-0000-000001590000}"/>
    <cellStyle name="Separador de milhares 6 3 8 2 2" xfId="29184" xr:uid="{E58C269E-04CC-4C60-8517-4C1D2AEEAD22}"/>
    <cellStyle name="Separador de milhares 6 3 9" xfId="20200" xr:uid="{00000000-0005-0000-0000-000002590000}"/>
    <cellStyle name="Separador de milhares 6 3 9 2" xfId="20201" xr:uid="{00000000-0005-0000-0000-000003590000}"/>
    <cellStyle name="Separador de milhares 6 3 9 2 2" xfId="29185" xr:uid="{E7D404A4-2572-45C3-BE2C-327874D1BDFB}"/>
    <cellStyle name="Separador de milhares 6 30" xfId="20202" xr:uid="{00000000-0005-0000-0000-000004590000}"/>
    <cellStyle name="Separador de milhares 6 30 2" xfId="20203" xr:uid="{00000000-0005-0000-0000-000005590000}"/>
    <cellStyle name="Separador de milhares 6 30 2 2" xfId="29187" xr:uid="{64CD151F-4B06-4306-92F9-91991B8D8510}"/>
    <cellStyle name="Separador de milhares 6 30 3" xfId="29186" xr:uid="{4FF5837B-DC32-404D-B68B-4F1D20487FCA}"/>
    <cellStyle name="Separador de milhares 6 31" xfId="20204" xr:uid="{00000000-0005-0000-0000-000006590000}"/>
    <cellStyle name="Separador de milhares 6 31 2" xfId="20205" xr:uid="{00000000-0005-0000-0000-000007590000}"/>
    <cellStyle name="Separador de milhares 6 31 2 2" xfId="29189" xr:uid="{2196A9C0-81FD-49AA-AE56-FCFFE222829E}"/>
    <cellStyle name="Separador de milhares 6 31 3" xfId="29188" xr:uid="{DEC5F75E-AE56-4E17-85BF-4E900E327D0E}"/>
    <cellStyle name="Separador de milhares 6 32" xfId="20206" xr:uid="{00000000-0005-0000-0000-000008590000}"/>
    <cellStyle name="Separador de milhares 6 32 2" xfId="20207" xr:uid="{00000000-0005-0000-0000-000009590000}"/>
    <cellStyle name="Separador de milhares 6 32 2 2" xfId="29191" xr:uid="{2085D83C-FFC6-463D-949C-C4077A43239A}"/>
    <cellStyle name="Separador de milhares 6 32 3" xfId="29190" xr:uid="{E27A8A43-15B6-4EC0-926E-2F04CC7FCB7B}"/>
    <cellStyle name="Separador de milhares 6 33" xfId="20208" xr:uid="{00000000-0005-0000-0000-00000A590000}"/>
    <cellStyle name="Separador de milhares 6 33 2" xfId="20209" xr:uid="{00000000-0005-0000-0000-00000B590000}"/>
    <cellStyle name="Separador de milhares 6 33 2 2" xfId="29193" xr:uid="{CBF4039C-94D5-4829-B4B5-A29D138F1D3A}"/>
    <cellStyle name="Separador de milhares 6 33 3" xfId="29192" xr:uid="{3BDA9A1F-370D-4DF9-8911-5070B9D8EFD0}"/>
    <cellStyle name="Separador de milhares 6 34" xfId="20210" xr:uid="{00000000-0005-0000-0000-00000C590000}"/>
    <cellStyle name="Separador de milhares 6 34 2" xfId="20211" xr:uid="{00000000-0005-0000-0000-00000D590000}"/>
    <cellStyle name="Separador de milhares 6 34 2 2" xfId="29195" xr:uid="{27957EC5-0913-4E69-AFA8-5B46CC59C992}"/>
    <cellStyle name="Separador de milhares 6 34 3" xfId="29194" xr:uid="{37EA9009-C3BC-4C95-B0B3-2CB808E271B2}"/>
    <cellStyle name="Separador de milhares 6 35" xfId="20212" xr:uid="{00000000-0005-0000-0000-00000E590000}"/>
    <cellStyle name="Separador de milhares 6 35 2" xfId="20213" xr:uid="{00000000-0005-0000-0000-00000F590000}"/>
    <cellStyle name="Separador de milhares 6 35 2 2" xfId="29197" xr:uid="{80291A3D-FCBD-4534-BE4A-A41909D57209}"/>
    <cellStyle name="Separador de milhares 6 35 3" xfId="29196" xr:uid="{D44127C2-3918-4F4E-9D93-3C2EFC5C75D8}"/>
    <cellStyle name="Separador de milhares 6 36" xfId="20214" xr:uid="{00000000-0005-0000-0000-000010590000}"/>
    <cellStyle name="Separador de milhares 6 36 2" xfId="20215" xr:uid="{00000000-0005-0000-0000-000011590000}"/>
    <cellStyle name="Separador de milhares 6 36 2 2" xfId="29199" xr:uid="{58BF8EA7-BA8E-4FE3-B876-523EA340E8CA}"/>
    <cellStyle name="Separador de milhares 6 36 3" xfId="29198" xr:uid="{71B4E8FD-FDE1-49D7-ACEC-401DDE3B858D}"/>
    <cellStyle name="Separador de milhares 6 37" xfId="20216" xr:uid="{00000000-0005-0000-0000-000012590000}"/>
    <cellStyle name="Separador de milhares 6 37 2" xfId="20217" xr:uid="{00000000-0005-0000-0000-000013590000}"/>
    <cellStyle name="Separador de milhares 6 37 2 2" xfId="29201" xr:uid="{F5A63738-3C80-4A67-BAC5-D3CDD9912203}"/>
    <cellStyle name="Separador de milhares 6 37 3" xfId="29200" xr:uid="{400E1BFF-FCC9-447D-A851-29B230AADF24}"/>
    <cellStyle name="Separador de milhares 6 38" xfId="20218" xr:uid="{00000000-0005-0000-0000-000014590000}"/>
    <cellStyle name="Separador de milhares 6 38 2" xfId="20219" xr:uid="{00000000-0005-0000-0000-000015590000}"/>
    <cellStyle name="Separador de milhares 6 38 2 2" xfId="29203" xr:uid="{6886A177-E59F-4A59-9431-4C7E444A1DC4}"/>
    <cellStyle name="Separador de milhares 6 38 3" xfId="29202" xr:uid="{9F386C11-7863-4D55-9063-3A6E6D7F2D4D}"/>
    <cellStyle name="Separador de milhares 6 39" xfId="20220" xr:uid="{00000000-0005-0000-0000-000016590000}"/>
    <cellStyle name="Separador de milhares 6 39 2" xfId="20221" xr:uid="{00000000-0005-0000-0000-000017590000}"/>
    <cellStyle name="Separador de milhares 6 39 2 2" xfId="29205" xr:uid="{98DB0A52-FFA4-4B9C-8B68-BD9ED1FBF285}"/>
    <cellStyle name="Separador de milhares 6 39 3" xfId="29204" xr:uid="{CF260A2C-F536-4D7C-AB47-82C488224428}"/>
    <cellStyle name="Separador de milhares 6 4" xfId="823" xr:uid="{00000000-0005-0000-0000-000018590000}"/>
    <cellStyle name="Separador de milhares 6 4 10" xfId="20223" xr:uid="{00000000-0005-0000-0000-000019590000}"/>
    <cellStyle name="Separador de milhares 6 4 10 2" xfId="20224" xr:uid="{00000000-0005-0000-0000-00001A590000}"/>
    <cellStyle name="Separador de milhares 6 4 10 2 2" xfId="29207" xr:uid="{1241C0BF-A6BC-470E-98ED-6B8269EF16C8}"/>
    <cellStyle name="Separador de milhares 6 4 11" xfId="20225" xr:uid="{00000000-0005-0000-0000-00001B590000}"/>
    <cellStyle name="Separador de milhares 6 4 11 2" xfId="20226" xr:uid="{00000000-0005-0000-0000-00001C590000}"/>
    <cellStyle name="Separador de milhares 6 4 11 2 2" xfId="29209" xr:uid="{30995419-A0A3-4B9C-ACC4-456BE295A607}"/>
    <cellStyle name="Separador de milhares 6 4 11 3" xfId="29208" xr:uid="{00E42D22-D874-4196-B385-D755D5D6BE61}"/>
    <cellStyle name="Separador de milhares 6 4 12" xfId="20227" xr:uid="{00000000-0005-0000-0000-00001D590000}"/>
    <cellStyle name="Separador de milhares 6 4 12 2" xfId="20228" xr:uid="{00000000-0005-0000-0000-00001E590000}"/>
    <cellStyle name="Separador de milhares 6 4 12 2 2" xfId="29211" xr:uid="{FE28F660-B861-4372-A679-C5F5B3BC50A2}"/>
    <cellStyle name="Separador de milhares 6 4 12 3" xfId="29210" xr:uid="{D0D6D1B8-C6AB-413D-8B31-C913A0296822}"/>
    <cellStyle name="Separador de milhares 6 4 13" xfId="20229" xr:uid="{00000000-0005-0000-0000-00001F590000}"/>
    <cellStyle name="Separador de milhares 6 4 13 2" xfId="20230" xr:uid="{00000000-0005-0000-0000-000020590000}"/>
    <cellStyle name="Separador de milhares 6 4 13 2 2" xfId="29213" xr:uid="{D2C4CF84-2B29-459F-AF44-FD4E9E32EE58}"/>
    <cellStyle name="Separador de milhares 6 4 13 3" xfId="29212" xr:uid="{18F7AB96-2F45-475B-A703-CF145C459698}"/>
    <cellStyle name="Separador de milhares 6 4 14" xfId="20231" xr:uid="{00000000-0005-0000-0000-000021590000}"/>
    <cellStyle name="Separador de milhares 6 4 14 2" xfId="20232" xr:uid="{00000000-0005-0000-0000-000022590000}"/>
    <cellStyle name="Separador de milhares 6 4 14 2 2" xfId="29215" xr:uid="{2D680FE1-9149-44C9-BEF4-F532B43D4838}"/>
    <cellStyle name="Separador de milhares 6 4 14 3" xfId="29214" xr:uid="{3C5D9C11-86E9-4F0E-BEBF-E491932ABFE3}"/>
    <cellStyle name="Separador de milhares 6 4 15" xfId="20233" xr:uid="{00000000-0005-0000-0000-000023590000}"/>
    <cellStyle name="Separador de milhares 6 4 15 2" xfId="20234" xr:uid="{00000000-0005-0000-0000-000024590000}"/>
    <cellStyle name="Separador de milhares 6 4 15 2 2" xfId="29217" xr:uid="{05BCDE33-C65D-4276-8920-01328DB36E21}"/>
    <cellStyle name="Separador de milhares 6 4 15 3" xfId="29216" xr:uid="{FF272A5B-CFC8-4E52-9922-2BB6A0846C63}"/>
    <cellStyle name="Separador de milhares 6 4 16" xfId="20235" xr:uid="{00000000-0005-0000-0000-000025590000}"/>
    <cellStyle name="Separador de milhares 6 4 16 2" xfId="20236" xr:uid="{00000000-0005-0000-0000-000026590000}"/>
    <cellStyle name="Separador de milhares 6 4 16 2 2" xfId="29219" xr:uid="{C4262EAF-361F-476D-8F77-51BFE7760FB2}"/>
    <cellStyle name="Separador de milhares 6 4 16 3" xfId="29218" xr:uid="{46532A5C-D2F6-408C-9A6C-4DFAD01175C7}"/>
    <cellStyle name="Separador de milhares 6 4 17" xfId="20237" xr:uid="{00000000-0005-0000-0000-000027590000}"/>
    <cellStyle name="Separador de milhares 6 4 17 2" xfId="20238" xr:uid="{00000000-0005-0000-0000-000028590000}"/>
    <cellStyle name="Separador de milhares 6 4 17 2 2" xfId="29221" xr:uid="{8DB0AE63-3E90-4994-8544-82AFDB7B04F9}"/>
    <cellStyle name="Separador de milhares 6 4 17 3" xfId="29220" xr:uid="{C547EFA0-3C68-46D2-920B-7D9550F8F11B}"/>
    <cellStyle name="Separador de milhares 6 4 18" xfId="20239" xr:uid="{00000000-0005-0000-0000-000029590000}"/>
    <cellStyle name="Separador de milhares 6 4 18 2" xfId="20240" xr:uid="{00000000-0005-0000-0000-00002A590000}"/>
    <cellStyle name="Separador de milhares 6 4 18 2 2" xfId="29223" xr:uid="{E1217C2C-3376-491E-9003-FC7838F4815E}"/>
    <cellStyle name="Separador de milhares 6 4 18 3" xfId="29222" xr:uid="{BF8041AD-86AE-4EDA-A7F3-675D36F979E5}"/>
    <cellStyle name="Separador de milhares 6 4 19" xfId="20241" xr:uid="{00000000-0005-0000-0000-00002B590000}"/>
    <cellStyle name="Separador de milhares 6 4 19 2" xfId="20242" xr:uid="{00000000-0005-0000-0000-00002C590000}"/>
    <cellStyle name="Separador de milhares 6 4 19 2 2" xfId="29225" xr:uid="{5F6B3196-B54D-4BD8-A472-FECBA56C74EE}"/>
    <cellStyle name="Separador de milhares 6 4 19 3" xfId="29224" xr:uid="{37544D65-889C-484E-8D67-0CEEEB9C1B5C}"/>
    <cellStyle name="Separador de milhares 6 4 2" xfId="824" xr:uid="{00000000-0005-0000-0000-00002D590000}"/>
    <cellStyle name="Separador de milhares 6 4 2 10" xfId="27571" xr:uid="{00000000-0005-0000-0000-00002E590000}"/>
    <cellStyle name="Separador de milhares 6 4 2 10 2" xfId="33383" xr:uid="{BA63FD9F-85AC-4284-81AF-23222F7BF81A}"/>
    <cellStyle name="Separador de milhares 6 4 2 11" xfId="27722" xr:uid="{00000000-0005-0000-0000-00002F590000}"/>
    <cellStyle name="Separador de milhares 6 4 2 11 2" xfId="33533" xr:uid="{7AE46A56-5105-481C-9365-6535DC5562A0}"/>
    <cellStyle name="Separador de milhares 6 4 2 12" xfId="28057" xr:uid="{B407E4DB-E210-4840-9142-0DDE8490329E}"/>
    <cellStyle name="Separador de milhares 6 4 2 2" xfId="825" xr:uid="{00000000-0005-0000-0000-000030590000}"/>
    <cellStyle name="Separador de milhares 6 4 2 2 2" xfId="20245" xr:uid="{00000000-0005-0000-0000-000031590000}"/>
    <cellStyle name="Separador de milhares 6 4 2 2 2 2" xfId="29228" xr:uid="{1F21A6E4-3F41-4A86-B7E0-4786CA2F3C26}"/>
    <cellStyle name="Separador de milhares 6 4 2 2 3" xfId="20244" xr:uid="{00000000-0005-0000-0000-000032590000}"/>
    <cellStyle name="Separador de milhares 6 4 2 2 3 2" xfId="29227" xr:uid="{0FA142C5-A376-471B-8895-F31EC2E441E9}"/>
    <cellStyle name="Separador de milhares 6 4 2 2 4" xfId="28058" xr:uid="{07E7554B-F7E5-4150-A3C3-E6B9B755AD42}"/>
    <cellStyle name="Separador de milhares 6 4 2 3" xfId="20246" xr:uid="{00000000-0005-0000-0000-000033590000}"/>
    <cellStyle name="Separador de milhares 6 4 2 3 2" xfId="20247" xr:uid="{00000000-0005-0000-0000-000034590000}"/>
    <cellStyle name="Separador de milhares 6 4 2 3 2 2" xfId="29230" xr:uid="{812A1B6D-3E01-46A6-9CE8-5D7857ABEEBA}"/>
    <cellStyle name="Separador de milhares 6 4 2 3 3" xfId="29229" xr:uid="{3243C0C4-99C5-4A79-9D30-52BE80565219}"/>
    <cellStyle name="Separador de milhares 6 4 2 4" xfId="20248" xr:uid="{00000000-0005-0000-0000-000035590000}"/>
    <cellStyle name="Separador de milhares 6 4 2 4 2" xfId="20249" xr:uid="{00000000-0005-0000-0000-000036590000}"/>
    <cellStyle name="Separador de milhares 6 4 2 4 2 2" xfId="29232" xr:uid="{9DFE580F-2269-43F2-83CE-9A8AC1CE091E}"/>
    <cellStyle name="Separador de milhares 6 4 2 4 3" xfId="29231" xr:uid="{EA7C4644-0951-42DC-B995-36301CC7B853}"/>
    <cellStyle name="Separador de milhares 6 4 2 5" xfId="20250" xr:uid="{00000000-0005-0000-0000-000037590000}"/>
    <cellStyle name="Separador de milhares 6 4 2 5 2" xfId="20251" xr:uid="{00000000-0005-0000-0000-000038590000}"/>
    <cellStyle name="Separador de milhares 6 4 2 5 2 2" xfId="29234" xr:uid="{0FFEBB76-AF6F-4171-B454-A4F182C2826E}"/>
    <cellStyle name="Separador de milhares 6 4 2 5 3" xfId="29233" xr:uid="{F9BAEB82-FC86-46BD-BA9C-CA758183BB85}"/>
    <cellStyle name="Separador de milhares 6 4 2 6" xfId="20252" xr:uid="{00000000-0005-0000-0000-000039590000}"/>
    <cellStyle name="Separador de milhares 6 4 2 6 2" xfId="29235" xr:uid="{D7459793-917E-4DFF-8F99-794F736BC643}"/>
    <cellStyle name="Separador de milhares 6 4 2 7" xfId="20243" xr:uid="{00000000-0005-0000-0000-00003A590000}"/>
    <cellStyle name="Separador de milhares 6 4 2 7 2" xfId="29226" xr:uid="{6BC141A8-E649-467C-A7C0-A81079AF622A}"/>
    <cellStyle name="Separador de milhares 6 4 2 8" xfId="27213" xr:uid="{00000000-0005-0000-0000-00003B590000}"/>
    <cellStyle name="Separador de milhares 6 4 2 8 2" xfId="33055" xr:uid="{866FA5EA-B1B1-4F54-9378-F7BAD11602DB}"/>
    <cellStyle name="Separador de milhares 6 4 2 9" xfId="27393" xr:uid="{00000000-0005-0000-0000-00003C590000}"/>
    <cellStyle name="Separador de milhares 6 4 2 9 2" xfId="33230" xr:uid="{EA78F5CF-D1AD-460B-921E-405AEB1374E4}"/>
    <cellStyle name="Separador de milhares 6 4 20" xfId="20253" xr:uid="{00000000-0005-0000-0000-00003D590000}"/>
    <cellStyle name="Separador de milhares 6 4 20 2" xfId="20254" xr:uid="{00000000-0005-0000-0000-00003E590000}"/>
    <cellStyle name="Separador de milhares 6 4 20 2 2" xfId="29237" xr:uid="{C024DC67-0369-4394-89DD-C14128EEFA89}"/>
    <cellStyle name="Separador de milhares 6 4 20 3" xfId="29236" xr:uid="{93756387-D909-482B-A424-77076F4D862E}"/>
    <cellStyle name="Separador de milhares 6 4 21" xfId="20255" xr:uid="{00000000-0005-0000-0000-00003F590000}"/>
    <cellStyle name="Separador de milhares 6 4 21 2" xfId="20256" xr:uid="{00000000-0005-0000-0000-000040590000}"/>
    <cellStyle name="Separador de milhares 6 4 21 2 2" xfId="29239" xr:uid="{F0DB85A9-C97D-4AFE-9AC0-D7356464154F}"/>
    <cellStyle name="Separador de milhares 6 4 21 3" xfId="29238" xr:uid="{2E982E8F-B285-4D97-A506-E7DF5A7F644E}"/>
    <cellStyle name="Separador de milhares 6 4 22" xfId="20257" xr:uid="{00000000-0005-0000-0000-000041590000}"/>
    <cellStyle name="Separador de milhares 6 4 22 2" xfId="20258" xr:uid="{00000000-0005-0000-0000-000042590000}"/>
    <cellStyle name="Separador de milhares 6 4 22 2 2" xfId="29241" xr:uid="{53CBDE54-59C9-45BE-A8DE-91824D37DFD6}"/>
    <cellStyle name="Separador de milhares 6 4 22 3" xfId="29240" xr:uid="{68E4E059-3AD5-41E7-8E46-8B4697068A11}"/>
    <cellStyle name="Separador de milhares 6 4 23" xfId="20259" xr:uid="{00000000-0005-0000-0000-000043590000}"/>
    <cellStyle name="Separador de milhares 6 4 23 2" xfId="20260" xr:uid="{00000000-0005-0000-0000-000044590000}"/>
    <cellStyle name="Separador de milhares 6 4 23 2 2" xfId="29243" xr:uid="{103D0E73-7B4F-4979-9686-F65660325D51}"/>
    <cellStyle name="Separador de milhares 6 4 23 3" xfId="29242" xr:uid="{AB1136A0-B00A-4BA4-B766-E54030344090}"/>
    <cellStyle name="Separador de milhares 6 4 24" xfId="20261" xr:uid="{00000000-0005-0000-0000-000045590000}"/>
    <cellStyle name="Separador de milhares 6 4 24 2" xfId="20262" xr:uid="{00000000-0005-0000-0000-000046590000}"/>
    <cellStyle name="Separador de milhares 6 4 24 2 2" xfId="29245" xr:uid="{6DAC9DC1-257F-409D-AE47-AA42D1AD82C0}"/>
    <cellStyle name="Separador de milhares 6 4 24 3" xfId="29244" xr:uid="{ED75AB11-35E7-48FD-95D9-E31199064B58}"/>
    <cellStyle name="Separador de milhares 6 4 25" xfId="20263" xr:uid="{00000000-0005-0000-0000-000047590000}"/>
    <cellStyle name="Separador de milhares 6 4 25 2" xfId="20264" xr:uid="{00000000-0005-0000-0000-000048590000}"/>
    <cellStyle name="Separador de milhares 6 4 25 2 2" xfId="29247" xr:uid="{93A6461F-8C0A-4BB3-A999-C171FFD3EC9D}"/>
    <cellStyle name="Separador de milhares 6 4 25 3" xfId="29246" xr:uid="{DD1258EA-2C23-4C4B-B675-35EFCA466AAE}"/>
    <cellStyle name="Separador de milhares 6 4 26" xfId="20265" xr:uid="{00000000-0005-0000-0000-000049590000}"/>
    <cellStyle name="Separador de milhares 6 4 26 2" xfId="20266" xr:uid="{00000000-0005-0000-0000-00004A590000}"/>
    <cellStyle name="Separador de milhares 6 4 26 2 2" xfId="29249" xr:uid="{52808F40-756F-4591-8268-43341693F578}"/>
    <cellStyle name="Separador de milhares 6 4 26 3" xfId="29248" xr:uid="{5112C317-152A-400B-AC4D-3DF0E496F23A}"/>
    <cellStyle name="Separador de milhares 6 4 27" xfId="20267" xr:uid="{00000000-0005-0000-0000-00004B590000}"/>
    <cellStyle name="Separador de milhares 6 4 27 2" xfId="20268" xr:uid="{00000000-0005-0000-0000-00004C590000}"/>
    <cellStyle name="Separador de milhares 6 4 27 2 2" xfId="29251" xr:uid="{4A06DDC5-E3BC-4819-AC70-FC75BF962E0E}"/>
    <cellStyle name="Separador de milhares 6 4 27 3" xfId="29250" xr:uid="{BAC6F004-5542-4317-8392-45C362E750A2}"/>
    <cellStyle name="Separador de milhares 6 4 28" xfId="20269" xr:uid="{00000000-0005-0000-0000-00004D590000}"/>
    <cellStyle name="Separador de milhares 6 4 28 2" xfId="20270" xr:uid="{00000000-0005-0000-0000-00004E590000}"/>
    <cellStyle name="Separador de milhares 6 4 28 2 2" xfId="29253" xr:uid="{9A1E0494-6C77-48F0-99F2-81D98F565D31}"/>
    <cellStyle name="Separador de milhares 6 4 28 3" xfId="29252" xr:uid="{FDAA851F-0675-4397-8F7E-E41231506192}"/>
    <cellStyle name="Separador de milhares 6 4 29" xfId="20271" xr:uid="{00000000-0005-0000-0000-00004F590000}"/>
    <cellStyle name="Separador de milhares 6 4 29 2" xfId="20272" xr:uid="{00000000-0005-0000-0000-000050590000}"/>
    <cellStyle name="Separador de milhares 6 4 29 2 2" xfId="29255" xr:uid="{7B77865A-D9D3-4377-9D26-DDAFB6C6F51B}"/>
    <cellStyle name="Separador de milhares 6 4 29 3" xfId="29254" xr:uid="{676D1DE1-0740-4E96-ACF2-416B445CE933}"/>
    <cellStyle name="Separador de milhares 6 4 3" xfId="826" xr:uid="{00000000-0005-0000-0000-000051590000}"/>
    <cellStyle name="Separador de milhares 6 4 3 2" xfId="20274" xr:uid="{00000000-0005-0000-0000-000052590000}"/>
    <cellStyle name="Separador de milhares 6 4 3 2 2" xfId="20275" xr:uid="{00000000-0005-0000-0000-000053590000}"/>
    <cellStyle name="Separador de milhares 6 4 3 2 2 2" xfId="29257" xr:uid="{6D46220C-D052-42D4-B685-CDD75FF543E7}"/>
    <cellStyle name="Separador de milhares 6 4 3 2 3" xfId="29256" xr:uid="{F4C9E571-D4FF-4595-96D4-679AF73C40F1}"/>
    <cellStyle name="Separador de milhares 6 4 3 3" xfId="20276" xr:uid="{00000000-0005-0000-0000-000054590000}"/>
    <cellStyle name="Separador de milhares 6 4 3 3 2" xfId="20277" xr:uid="{00000000-0005-0000-0000-000055590000}"/>
    <cellStyle name="Separador de milhares 6 4 3 3 2 2" xfId="29259" xr:uid="{241F510D-5034-4858-9175-E03D8AAF3BA1}"/>
    <cellStyle name="Separador de milhares 6 4 3 3 3" xfId="29258" xr:uid="{F91DF9D2-DC13-4525-8492-9FB485B80E5D}"/>
    <cellStyle name="Separador de milhares 6 4 3 4" xfId="20278" xr:uid="{00000000-0005-0000-0000-000056590000}"/>
    <cellStyle name="Separador de milhares 6 4 3 4 2" xfId="20279" xr:uid="{00000000-0005-0000-0000-000057590000}"/>
    <cellStyle name="Separador de milhares 6 4 3 4 2 2" xfId="29261" xr:uid="{FCED2A13-2C28-4819-B69D-DAB7EDCA2650}"/>
    <cellStyle name="Separador de milhares 6 4 3 4 3" xfId="29260" xr:uid="{AF4A35FE-C89C-4981-8DB8-4D1A0FE13BC6}"/>
    <cellStyle name="Separador de milhares 6 4 3 5" xfId="20280" xr:uid="{00000000-0005-0000-0000-000058590000}"/>
    <cellStyle name="Separador de milhares 6 4 3 5 2" xfId="20281" xr:uid="{00000000-0005-0000-0000-000059590000}"/>
    <cellStyle name="Separador de milhares 6 4 3 5 2 2" xfId="29263" xr:uid="{C62BD26E-342F-4A73-B8F4-F627017217C1}"/>
    <cellStyle name="Separador de milhares 6 4 3 5 3" xfId="29262" xr:uid="{6403F50B-3FF3-421C-A84C-B2B22BD5D4DB}"/>
    <cellStyle name="Separador de milhares 6 4 3 6" xfId="20282" xr:uid="{00000000-0005-0000-0000-00005A590000}"/>
    <cellStyle name="Separador de milhares 6 4 3 6 2" xfId="29264" xr:uid="{E9381909-6F62-42D1-838D-6D750564F997}"/>
    <cellStyle name="Separador de milhares 6 4 3 7" xfId="20273" xr:uid="{00000000-0005-0000-0000-00005B590000}"/>
    <cellStyle name="Separador de milhares 6 4 3 8" xfId="28059" xr:uid="{6980B8A4-03E1-4731-B262-2B229E692F6A}"/>
    <cellStyle name="Separador de milhares 6 4 30" xfId="20283" xr:uid="{00000000-0005-0000-0000-00005C590000}"/>
    <cellStyle name="Separador de milhares 6 4 30 2" xfId="20284" xr:uid="{00000000-0005-0000-0000-00005D590000}"/>
    <cellStyle name="Separador de milhares 6 4 30 2 2" xfId="29266" xr:uid="{C79F2687-2949-4556-93D8-7BF4F54C0883}"/>
    <cellStyle name="Separador de milhares 6 4 30 3" xfId="29265" xr:uid="{F106B948-D39D-49EE-AFBA-E54D6AFA4F03}"/>
    <cellStyle name="Separador de milhares 6 4 31" xfId="20285" xr:uid="{00000000-0005-0000-0000-00005E590000}"/>
    <cellStyle name="Separador de milhares 6 4 31 2" xfId="20286" xr:uid="{00000000-0005-0000-0000-00005F590000}"/>
    <cellStyle name="Separador de milhares 6 4 31 2 2" xfId="29268" xr:uid="{F9934DEB-1C40-4BFF-B4FB-51CE91A89F4D}"/>
    <cellStyle name="Separador de milhares 6 4 31 3" xfId="29267" xr:uid="{F60BBD07-A4EE-461B-A732-C986A8519502}"/>
    <cellStyle name="Separador de milhares 6 4 32" xfId="20287" xr:uid="{00000000-0005-0000-0000-000060590000}"/>
    <cellStyle name="Separador de milhares 6 4 32 2" xfId="20288" xr:uid="{00000000-0005-0000-0000-000061590000}"/>
    <cellStyle name="Separador de milhares 6 4 32 2 2" xfId="29270" xr:uid="{9EF78AA2-9007-4DD3-AF1E-FF2F8CBFF3BC}"/>
    <cellStyle name="Separador de milhares 6 4 32 3" xfId="29269" xr:uid="{3F1BD09D-25F6-42EB-A46E-E481411204BF}"/>
    <cellStyle name="Separador de milhares 6 4 33" xfId="20289" xr:uid="{00000000-0005-0000-0000-000062590000}"/>
    <cellStyle name="Separador de milhares 6 4 33 2" xfId="20290" xr:uid="{00000000-0005-0000-0000-000063590000}"/>
    <cellStyle name="Separador de milhares 6 4 33 2 2" xfId="29272" xr:uid="{C9B21A24-5E26-446C-9522-B9503E6C33F4}"/>
    <cellStyle name="Separador de milhares 6 4 33 3" xfId="29271" xr:uid="{2A80C358-9A4C-4557-ABA7-0ED925F6B1B3}"/>
    <cellStyle name="Separador de milhares 6 4 34" xfId="20291" xr:uid="{00000000-0005-0000-0000-000064590000}"/>
    <cellStyle name="Separador de milhares 6 4 34 2" xfId="20292" xr:uid="{00000000-0005-0000-0000-000065590000}"/>
    <cellStyle name="Separador de milhares 6 4 34 2 2" xfId="29274" xr:uid="{7542DC9E-F5EB-4207-AEE0-D5AB8BBC717F}"/>
    <cellStyle name="Separador de milhares 6 4 34 3" xfId="29273" xr:uid="{742C27D2-D695-40CB-AE2D-119D9D228BE8}"/>
    <cellStyle name="Separador de milhares 6 4 35" xfId="20293" xr:uid="{00000000-0005-0000-0000-000066590000}"/>
    <cellStyle name="Separador de milhares 6 4 35 2" xfId="20294" xr:uid="{00000000-0005-0000-0000-000067590000}"/>
    <cellStyle name="Separador de milhares 6 4 35 2 2" xfId="29276" xr:uid="{78484F89-148F-4A66-BE3B-AA54D0A7C007}"/>
    <cellStyle name="Separador de milhares 6 4 35 3" xfId="29275" xr:uid="{93AF7E7E-A9DB-4168-80C4-E738569B7814}"/>
    <cellStyle name="Separador de milhares 6 4 36" xfId="20295" xr:uid="{00000000-0005-0000-0000-000068590000}"/>
    <cellStyle name="Separador de milhares 6 4 36 2" xfId="20296" xr:uid="{00000000-0005-0000-0000-000069590000}"/>
    <cellStyle name="Separador de milhares 6 4 36 2 2" xfId="29278" xr:uid="{F2753030-5447-40E9-A47B-98692CD4DD2D}"/>
    <cellStyle name="Separador de milhares 6 4 36 3" xfId="29277" xr:uid="{27E336E7-B04B-431C-B48B-2B658C1D9F6D}"/>
    <cellStyle name="Separador de milhares 6 4 37" xfId="20297" xr:uid="{00000000-0005-0000-0000-00006A590000}"/>
    <cellStyle name="Separador de milhares 6 4 37 2" xfId="20298" xr:uid="{00000000-0005-0000-0000-00006B590000}"/>
    <cellStyle name="Separador de milhares 6 4 37 2 2" xfId="29280" xr:uid="{4FB83B3F-C67E-4E2F-B60B-F8D4F563BABC}"/>
    <cellStyle name="Separador de milhares 6 4 37 3" xfId="29279" xr:uid="{E81A87FA-A4D6-43D8-BDD1-A42BCFEBB4F2}"/>
    <cellStyle name="Separador de milhares 6 4 38" xfId="20299" xr:uid="{00000000-0005-0000-0000-00006C590000}"/>
    <cellStyle name="Separador de milhares 6 4 38 2" xfId="20300" xr:uid="{00000000-0005-0000-0000-00006D590000}"/>
    <cellStyle name="Separador de milhares 6 4 38 2 2" xfId="29282" xr:uid="{33FABF06-15C9-426E-A190-A53E838E114E}"/>
    <cellStyle name="Separador de milhares 6 4 38 3" xfId="29281" xr:uid="{30CB9123-8A37-4CA8-AF81-7972A12165F5}"/>
    <cellStyle name="Separador de milhares 6 4 39" xfId="20301" xr:uid="{00000000-0005-0000-0000-00006E590000}"/>
    <cellStyle name="Separador de milhares 6 4 39 2" xfId="20302" xr:uid="{00000000-0005-0000-0000-00006F590000}"/>
    <cellStyle name="Separador de milhares 6 4 39 2 2" xfId="29284" xr:uid="{A0DF7B07-79F2-4B79-ADB1-F6EF51F24B5A}"/>
    <cellStyle name="Separador de milhares 6 4 39 3" xfId="29283" xr:uid="{AB447256-36F6-42E7-9386-1155979F6A96}"/>
    <cellStyle name="Separador de milhares 6 4 4" xfId="20303" xr:uid="{00000000-0005-0000-0000-000070590000}"/>
    <cellStyle name="Separador de milhares 6 4 4 2" xfId="20304" xr:uid="{00000000-0005-0000-0000-000071590000}"/>
    <cellStyle name="Separador de milhares 6 4 4 2 2" xfId="20305" xr:uid="{00000000-0005-0000-0000-000072590000}"/>
    <cellStyle name="Separador de milhares 6 4 4 2 2 2" xfId="29286" xr:uid="{1494A275-94D0-425F-AA6F-FC3A9EF1D7BB}"/>
    <cellStyle name="Separador de milhares 6 4 4 2 3" xfId="29285" xr:uid="{01B60AC9-7510-4F9E-99CE-36F85AA56FC3}"/>
    <cellStyle name="Separador de milhares 6 4 4 3" xfId="20306" xr:uid="{00000000-0005-0000-0000-000073590000}"/>
    <cellStyle name="Separador de milhares 6 4 4 3 2" xfId="20307" xr:uid="{00000000-0005-0000-0000-000074590000}"/>
    <cellStyle name="Separador de milhares 6 4 4 3 2 2" xfId="29288" xr:uid="{40B7F1C0-A498-40A0-AA56-4021B2580D27}"/>
    <cellStyle name="Separador de milhares 6 4 4 3 3" xfId="29287" xr:uid="{16DA8F90-D2B7-4A01-A813-2776ADEC1D5C}"/>
    <cellStyle name="Separador de milhares 6 4 4 4" xfId="20308" xr:uid="{00000000-0005-0000-0000-000075590000}"/>
    <cellStyle name="Separador de milhares 6 4 4 4 2" xfId="20309" xr:uid="{00000000-0005-0000-0000-000076590000}"/>
    <cellStyle name="Separador de milhares 6 4 4 4 2 2" xfId="29290" xr:uid="{6949CF9C-3030-4C18-8021-757D57861046}"/>
    <cellStyle name="Separador de milhares 6 4 4 4 3" xfId="29289" xr:uid="{6EBAD3E7-97CF-4E43-B7A3-266FE13E2DB8}"/>
    <cellStyle name="Separador de milhares 6 4 4 5" xfId="20310" xr:uid="{00000000-0005-0000-0000-000077590000}"/>
    <cellStyle name="Separador de milhares 6 4 4 5 2" xfId="20311" xr:uid="{00000000-0005-0000-0000-000078590000}"/>
    <cellStyle name="Separador de milhares 6 4 4 5 2 2" xfId="29292" xr:uid="{122C6E57-9BD7-416E-A937-6447CCFF2BA2}"/>
    <cellStyle name="Separador de milhares 6 4 4 5 3" xfId="29291" xr:uid="{33A30CBD-293C-4CBA-81F7-ED6F1B0D5795}"/>
    <cellStyle name="Separador de milhares 6 4 4 6" xfId="20312" xr:uid="{00000000-0005-0000-0000-000079590000}"/>
    <cellStyle name="Separador de milhares 6 4 4 6 2" xfId="29293" xr:uid="{2DCFCD28-C52E-4B94-9CDB-7CA4C07CE80A}"/>
    <cellStyle name="Separador de milhares 6 4 40" xfId="20313" xr:uid="{00000000-0005-0000-0000-00007A590000}"/>
    <cellStyle name="Separador de milhares 6 4 40 2" xfId="20314" xr:uid="{00000000-0005-0000-0000-00007B590000}"/>
    <cellStyle name="Separador de milhares 6 4 40 2 2" xfId="29295" xr:uid="{112CE5F3-CE98-495E-B91C-65C5B6557107}"/>
    <cellStyle name="Separador de milhares 6 4 40 3" xfId="29294" xr:uid="{D387001E-E93A-47A8-A6FE-8B132066A6E3}"/>
    <cellStyle name="Separador de milhares 6 4 41" xfId="20315" xr:uid="{00000000-0005-0000-0000-00007C590000}"/>
    <cellStyle name="Separador de milhares 6 4 41 2" xfId="20316" xr:uid="{00000000-0005-0000-0000-00007D590000}"/>
    <cellStyle name="Separador de milhares 6 4 41 2 2" xfId="29297" xr:uid="{0830E6AF-5147-4683-83A1-35D95A348B34}"/>
    <cellStyle name="Separador de milhares 6 4 41 3" xfId="29296" xr:uid="{F63F1D7F-CD88-46D7-8E08-80D0E518A21F}"/>
    <cellStyle name="Separador de milhares 6 4 42" xfId="20317" xr:uid="{00000000-0005-0000-0000-00007E590000}"/>
    <cellStyle name="Separador de milhares 6 4 42 2" xfId="20318" xr:uid="{00000000-0005-0000-0000-00007F590000}"/>
    <cellStyle name="Separador de milhares 6 4 42 2 2" xfId="29299" xr:uid="{3D4C7796-90CF-4398-9C5B-E29D69127D81}"/>
    <cellStyle name="Separador de milhares 6 4 42 3" xfId="29298" xr:uid="{BAA28997-4D8B-418B-806C-5B024DD297DD}"/>
    <cellStyle name="Separador de milhares 6 4 43" xfId="20319" xr:uid="{00000000-0005-0000-0000-000080590000}"/>
    <cellStyle name="Separador de milhares 6 4 43 2" xfId="20320" xr:uid="{00000000-0005-0000-0000-000081590000}"/>
    <cellStyle name="Separador de milhares 6 4 43 2 2" xfId="29301" xr:uid="{7EF3F6D9-0286-43DB-AC66-568BBFF5A811}"/>
    <cellStyle name="Separador de milhares 6 4 43 3" xfId="29300" xr:uid="{81602381-DCDE-4EA4-80A2-3318ADCF663F}"/>
    <cellStyle name="Separador de milhares 6 4 44" xfId="20321" xr:uid="{00000000-0005-0000-0000-000082590000}"/>
    <cellStyle name="Separador de milhares 6 4 44 2" xfId="20322" xr:uid="{00000000-0005-0000-0000-000083590000}"/>
    <cellStyle name="Separador de milhares 6 4 44 2 2" xfId="29303" xr:uid="{0D091986-B2E3-4039-9B0E-259370654BBC}"/>
    <cellStyle name="Separador de milhares 6 4 44 3" xfId="29302" xr:uid="{0F831C88-2DE6-4B93-9A70-CD17323AF2A8}"/>
    <cellStyle name="Separador de milhares 6 4 45" xfId="20323" xr:uid="{00000000-0005-0000-0000-000084590000}"/>
    <cellStyle name="Separador de milhares 6 4 45 2" xfId="20324" xr:uid="{00000000-0005-0000-0000-000085590000}"/>
    <cellStyle name="Separador de milhares 6 4 45 2 2" xfId="29305" xr:uid="{D8132CCD-1FD7-4D43-B089-1C9C49919AD3}"/>
    <cellStyle name="Separador de milhares 6 4 45 3" xfId="29304" xr:uid="{E0D9A9D6-D129-47D2-8CCC-FCDBB200F66B}"/>
    <cellStyle name="Separador de milhares 6 4 46" xfId="20325" xr:uid="{00000000-0005-0000-0000-000086590000}"/>
    <cellStyle name="Separador de milhares 6 4 46 2" xfId="29306" xr:uid="{2812E4A4-44E3-41B0-80B4-00B14AB7B993}"/>
    <cellStyle name="Separador de milhares 6 4 47" xfId="20222" xr:uid="{00000000-0005-0000-0000-000087590000}"/>
    <cellStyle name="Separador de milhares 6 4 47 2" xfId="29206" xr:uid="{0095B31D-1EB8-4D6A-B426-B9726C4F497C}"/>
    <cellStyle name="Separador de milhares 6 4 48" xfId="27212" xr:uid="{00000000-0005-0000-0000-000088590000}"/>
    <cellStyle name="Separador de milhares 6 4 48 2" xfId="33054" xr:uid="{B907A6EF-B2DE-4F0C-9707-8FCBA7956A43}"/>
    <cellStyle name="Separador de milhares 6 4 49" xfId="27392" xr:uid="{00000000-0005-0000-0000-000089590000}"/>
    <cellStyle name="Separador de milhares 6 4 49 2" xfId="33229" xr:uid="{E59EF57D-47AC-4615-91D8-95BC6B3F0F17}"/>
    <cellStyle name="Separador de milhares 6 4 5" xfId="20326" xr:uid="{00000000-0005-0000-0000-00008A590000}"/>
    <cellStyle name="Separador de milhares 6 4 5 2" xfId="20327" xr:uid="{00000000-0005-0000-0000-00008B590000}"/>
    <cellStyle name="Separador de milhares 6 4 5 2 2" xfId="29307" xr:uid="{D9C39A34-96BC-4E98-A147-A2E8437C989E}"/>
    <cellStyle name="Separador de milhares 6 4 50" xfId="27570" xr:uid="{00000000-0005-0000-0000-00008C590000}"/>
    <cellStyle name="Separador de milhares 6 4 50 2" xfId="33382" xr:uid="{14D54DF9-2A42-40A0-94D1-D811FAFD0FE9}"/>
    <cellStyle name="Separador de milhares 6 4 51" xfId="27721" xr:uid="{00000000-0005-0000-0000-00008D590000}"/>
    <cellStyle name="Separador de milhares 6 4 51 2" xfId="33532" xr:uid="{BE662EF3-2287-48E4-A2A6-E43371C54791}"/>
    <cellStyle name="Separador de milhares 6 4 52" xfId="28056" xr:uid="{1546CD4E-555A-479F-AA59-9A87313DD59E}"/>
    <cellStyle name="Separador de milhares 6 4 6" xfId="20328" xr:uid="{00000000-0005-0000-0000-00008E590000}"/>
    <cellStyle name="Separador de milhares 6 4 6 2" xfId="20329" xr:uid="{00000000-0005-0000-0000-00008F590000}"/>
    <cellStyle name="Separador de milhares 6 4 6 2 2" xfId="29308" xr:uid="{C69C3FA1-11F4-494B-A2B3-834F4F575321}"/>
    <cellStyle name="Separador de milhares 6 4 7" xfId="20330" xr:uid="{00000000-0005-0000-0000-000090590000}"/>
    <cellStyle name="Separador de milhares 6 4 7 2" xfId="20331" xr:uid="{00000000-0005-0000-0000-000091590000}"/>
    <cellStyle name="Separador de milhares 6 4 7 2 2" xfId="29309" xr:uid="{9FE6F986-2311-4953-B3D5-A33D26FE5FA9}"/>
    <cellStyle name="Separador de milhares 6 4 8" xfId="20332" xr:uid="{00000000-0005-0000-0000-000092590000}"/>
    <cellStyle name="Separador de milhares 6 4 8 2" xfId="20333" xr:uid="{00000000-0005-0000-0000-000093590000}"/>
    <cellStyle name="Separador de milhares 6 4 8 2 2" xfId="29310" xr:uid="{EE2108D9-5D54-4B84-81FD-F4C4D0F22F73}"/>
    <cellStyle name="Separador de milhares 6 4 9" xfId="20334" xr:uid="{00000000-0005-0000-0000-000094590000}"/>
    <cellStyle name="Separador de milhares 6 4 9 2" xfId="20335" xr:uid="{00000000-0005-0000-0000-000095590000}"/>
    <cellStyle name="Separador de milhares 6 4 9 2 2" xfId="29311" xr:uid="{3C2113E2-B6C6-4E69-979D-0307BB6892A9}"/>
    <cellStyle name="Separador de milhares 6 40" xfId="20336" xr:uid="{00000000-0005-0000-0000-000096590000}"/>
    <cellStyle name="Separador de milhares 6 40 2" xfId="20337" xr:uid="{00000000-0005-0000-0000-000097590000}"/>
    <cellStyle name="Separador de milhares 6 40 2 2" xfId="29313" xr:uid="{28C33D33-8973-4CB1-A1F9-C85DBC9549F5}"/>
    <cellStyle name="Separador de milhares 6 40 3" xfId="29312" xr:uid="{A6CAFBA2-5793-4F6F-BAF6-DC690E8B9832}"/>
    <cellStyle name="Separador de milhares 6 41" xfId="20338" xr:uid="{00000000-0005-0000-0000-000098590000}"/>
    <cellStyle name="Separador de milhares 6 41 2" xfId="20339" xr:uid="{00000000-0005-0000-0000-000099590000}"/>
    <cellStyle name="Separador de milhares 6 41 2 2" xfId="29315" xr:uid="{817BF2F7-7572-4AFE-9E80-9638C2781E85}"/>
    <cellStyle name="Separador de milhares 6 41 3" xfId="29314" xr:uid="{664AC3A5-5B22-44A2-97D9-52DC58E4F076}"/>
    <cellStyle name="Separador de milhares 6 42" xfId="20340" xr:uid="{00000000-0005-0000-0000-00009A590000}"/>
    <cellStyle name="Separador de milhares 6 42 2" xfId="20341" xr:uid="{00000000-0005-0000-0000-00009B590000}"/>
    <cellStyle name="Separador de milhares 6 42 2 2" xfId="29317" xr:uid="{F1A4008B-3C2D-4DD0-A5A3-89432987EFDB}"/>
    <cellStyle name="Separador de milhares 6 42 3" xfId="29316" xr:uid="{A0CB9715-697B-4D45-BCFD-F8B017687019}"/>
    <cellStyle name="Separador de milhares 6 43" xfId="20342" xr:uid="{00000000-0005-0000-0000-00009C590000}"/>
    <cellStyle name="Separador de milhares 6 43 2" xfId="20343" xr:uid="{00000000-0005-0000-0000-00009D590000}"/>
    <cellStyle name="Separador de milhares 6 43 2 2" xfId="29319" xr:uid="{1BD7DBA3-F8F0-4E54-B37A-954F6B39A3C6}"/>
    <cellStyle name="Separador de milhares 6 43 3" xfId="29318" xr:uid="{906664BF-49B9-4150-AFDB-E999EB0DC4CE}"/>
    <cellStyle name="Separador de milhares 6 44" xfId="20344" xr:uid="{00000000-0005-0000-0000-00009E590000}"/>
    <cellStyle name="Separador de milhares 6 44 2" xfId="20345" xr:uid="{00000000-0005-0000-0000-00009F590000}"/>
    <cellStyle name="Separador de milhares 6 44 2 2" xfId="29321" xr:uid="{2DC0FFB0-7A83-4F9E-891B-BA1F454F66C5}"/>
    <cellStyle name="Separador de milhares 6 44 3" xfId="29320" xr:uid="{56262A94-13F6-4C4B-A03E-FE01BEB58B79}"/>
    <cellStyle name="Separador de milhares 6 45" xfId="20346" xr:uid="{00000000-0005-0000-0000-0000A0590000}"/>
    <cellStyle name="Separador de milhares 6 45 2" xfId="20347" xr:uid="{00000000-0005-0000-0000-0000A1590000}"/>
    <cellStyle name="Separador de milhares 6 45 2 2" xfId="29323" xr:uid="{426D6F6E-0A40-4544-BC6A-E52AFA7325FD}"/>
    <cellStyle name="Separador de milhares 6 45 3" xfId="29322" xr:uid="{25CE409F-9BDB-49AE-8A79-A11F0B7AB17E}"/>
    <cellStyle name="Separador de milhares 6 46" xfId="20348" xr:uid="{00000000-0005-0000-0000-0000A2590000}"/>
    <cellStyle name="Separador de milhares 6 46 2" xfId="20349" xr:uid="{00000000-0005-0000-0000-0000A3590000}"/>
    <cellStyle name="Separador de milhares 6 46 2 2" xfId="29325" xr:uid="{870660B8-F928-4362-9422-43E78D4AEE55}"/>
    <cellStyle name="Separador de milhares 6 46 3" xfId="29324" xr:uid="{0A6F961D-D44D-4006-B43C-2E4E10E7ED86}"/>
    <cellStyle name="Separador de milhares 6 47" xfId="20350" xr:uid="{00000000-0005-0000-0000-0000A4590000}"/>
    <cellStyle name="Separador de milhares 6 47 2" xfId="20351" xr:uid="{00000000-0005-0000-0000-0000A5590000}"/>
    <cellStyle name="Separador de milhares 6 47 2 2" xfId="29327" xr:uid="{2C37A033-C6A5-4099-9296-CF75610333FF}"/>
    <cellStyle name="Separador de milhares 6 47 3" xfId="29326" xr:uid="{0184E5E3-1044-4F97-A98F-8AF981FD6C67}"/>
    <cellStyle name="Separador de milhares 6 48" xfId="20352" xr:uid="{00000000-0005-0000-0000-0000A6590000}"/>
    <cellStyle name="Separador de milhares 6 48 2" xfId="20353" xr:uid="{00000000-0005-0000-0000-0000A7590000}"/>
    <cellStyle name="Separador de milhares 6 48 2 2" xfId="29329" xr:uid="{C84091F4-214D-4142-8254-5B93E011CA14}"/>
    <cellStyle name="Separador de milhares 6 48 3" xfId="29328" xr:uid="{93050BDD-CCE2-4C4B-B6BD-F48CB9321039}"/>
    <cellStyle name="Separador de milhares 6 49" xfId="20354" xr:uid="{00000000-0005-0000-0000-0000A8590000}"/>
    <cellStyle name="Separador de milhares 6 49 2" xfId="20355" xr:uid="{00000000-0005-0000-0000-0000A9590000}"/>
    <cellStyle name="Separador de milhares 6 49 2 2" xfId="29331" xr:uid="{83806B5D-774C-4712-BCED-54F4E1709407}"/>
    <cellStyle name="Separador de milhares 6 49 3" xfId="29330" xr:uid="{1C8D65A9-9BDB-4176-90E0-29B36F881617}"/>
    <cellStyle name="Separador de milhares 6 5" xfId="827" xr:uid="{00000000-0005-0000-0000-0000AA590000}"/>
    <cellStyle name="Separador de milhares 6 5 10" xfId="20357" xr:uid="{00000000-0005-0000-0000-0000AB590000}"/>
    <cellStyle name="Separador de milhares 6 5 10 2" xfId="20358" xr:uid="{00000000-0005-0000-0000-0000AC590000}"/>
    <cellStyle name="Separador de milhares 6 5 10 2 2" xfId="29334" xr:uid="{E0B16208-61A8-450F-89E4-4C886F626D17}"/>
    <cellStyle name="Separador de milhares 6 5 10 3" xfId="29333" xr:uid="{6CDA7378-E5A7-4173-AC7A-64BF57F354CE}"/>
    <cellStyle name="Separador de milhares 6 5 11" xfId="20359" xr:uid="{00000000-0005-0000-0000-0000AD590000}"/>
    <cellStyle name="Separador de milhares 6 5 11 2" xfId="20360" xr:uid="{00000000-0005-0000-0000-0000AE590000}"/>
    <cellStyle name="Separador de milhares 6 5 11 2 2" xfId="29336" xr:uid="{38A18B76-2533-4910-840E-04F0F4C306F9}"/>
    <cellStyle name="Separador de milhares 6 5 11 3" xfId="29335" xr:uid="{49A82075-1BE4-47B6-BDAB-3F1D7AADCE2D}"/>
    <cellStyle name="Separador de milhares 6 5 12" xfId="20361" xr:uid="{00000000-0005-0000-0000-0000AF590000}"/>
    <cellStyle name="Separador de milhares 6 5 12 2" xfId="20362" xr:uid="{00000000-0005-0000-0000-0000B0590000}"/>
    <cellStyle name="Separador de milhares 6 5 12 2 2" xfId="29338" xr:uid="{D7E66D98-8C0E-4C34-B8B1-3F8564D5EB65}"/>
    <cellStyle name="Separador de milhares 6 5 12 3" xfId="29337" xr:uid="{F7588044-7429-48B7-83C8-1E78D0B77489}"/>
    <cellStyle name="Separador de milhares 6 5 13" xfId="20363" xr:uid="{00000000-0005-0000-0000-0000B1590000}"/>
    <cellStyle name="Separador de milhares 6 5 13 2" xfId="20364" xr:uid="{00000000-0005-0000-0000-0000B2590000}"/>
    <cellStyle name="Separador de milhares 6 5 13 2 2" xfId="29340" xr:uid="{AE6BEC22-988B-4E06-B51C-7DA2058AAA0C}"/>
    <cellStyle name="Separador de milhares 6 5 13 3" xfId="29339" xr:uid="{E9C80473-DC6F-4ACF-B876-DE1DE5155C1F}"/>
    <cellStyle name="Separador de milhares 6 5 14" xfId="20365" xr:uid="{00000000-0005-0000-0000-0000B3590000}"/>
    <cellStyle name="Separador de milhares 6 5 14 2" xfId="20366" xr:uid="{00000000-0005-0000-0000-0000B4590000}"/>
    <cellStyle name="Separador de milhares 6 5 14 2 2" xfId="29342" xr:uid="{56923D5A-482A-49F8-95A2-056BAEB0CBB4}"/>
    <cellStyle name="Separador de milhares 6 5 14 3" xfId="29341" xr:uid="{0A15A679-F2F8-45E8-AC4F-0646DCBC0D3C}"/>
    <cellStyle name="Separador de milhares 6 5 15" xfId="20367" xr:uid="{00000000-0005-0000-0000-0000B5590000}"/>
    <cellStyle name="Separador de milhares 6 5 15 2" xfId="20368" xr:uid="{00000000-0005-0000-0000-0000B6590000}"/>
    <cellStyle name="Separador de milhares 6 5 15 2 2" xfId="29344" xr:uid="{5B0C2BAA-843C-4F22-BBE8-816312FED305}"/>
    <cellStyle name="Separador de milhares 6 5 15 3" xfId="29343" xr:uid="{94BCEDF2-9F4A-43B8-9698-5E18D3AA693A}"/>
    <cellStyle name="Separador de milhares 6 5 16" xfId="20369" xr:uid="{00000000-0005-0000-0000-0000B7590000}"/>
    <cellStyle name="Separador de milhares 6 5 16 2" xfId="20370" xr:uid="{00000000-0005-0000-0000-0000B8590000}"/>
    <cellStyle name="Separador de milhares 6 5 16 2 2" xfId="29346" xr:uid="{10413977-381C-46B0-AFCF-0E00301A905A}"/>
    <cellStyle name="Separador de milhares 6 5 16 3" xfId="29345" xr:uid="{7E6C0EB2-9EA8-4681-9F8D-4301EE52C2B9}"/>
    <cellStyle name="Separador de milhares 6 5 17" xfId="20371" xr:uid="{00000000-0005-0000-0000-0000B9590000}"/>
    <cellStyle name="Separador de milhares 6 5 17 2" xfId="20372" xr:uid="{00000000-0005-0000-0000-0000BA590000}"/>
    <cellStyle name="Separador de milhares 6 5 17 2 2" xfId="29348" xr:uid="{2335FBAB-5904-436E-87BF-CD1CA3B50773}"/>
    <cellStyle name="Separador de milhares 6 5 17 3" xfId="29347" xr:uid="{CC3B8DD4-1F81-4EC3-B397-13B18C61B7E6}"/>
    <cellStyle name="Separador de milhares 6 5 18" xfId="20373" xr:uid="{00000000-0005-0000-0000-0000BB590000}"/>
    <cellStyle name="Separador de milhares 6 5 18 2" xfId="20374" xr:uid="{00000000-0005-0000-0000-0000BC590000}"/>
    <cellStyle name="Separador de milhares 6 5 18 2 2" xfId="29350" xr:uid="{F3E37F0D-F06B-4175-9833-46CBFECFF381}"/>
    <cellStyle name="Separador de milhares 6 5 18 3" xfId="29349" xr:uid="{225284B7-4B9A-4FCE-8F9C-003725BADC36}"/>
    <cellStyle name="Separador de milhares 6 5 19" xfId="20375" xr:uid="{00000000-0005-0000-0000-0000BD590000}"/>
    <cellStyle name="Separador de milhares 6 5 19 2" xfId="20376" xr:uid="{00000000-0005-0000-0000-0000BE590000}"/>
    <cellStyle name="Separador de milhares 6 5 19 2 2" xfId="29352" xr:uid="{1D832862-4B86-4F03-A793-7524768EE8C4}"/>
    <cellStyle name="Separador de milhares 6 5 19 3" xfId="29351" xr:uid="{2DF7CFCA-E258-4602-ADCC-4A34422D4256}"/>
    <cellStyle name="Separador de milhares 6 5 2" xfId="828" xr:uid="{00000000-0005-0000-0000-0000BF590000}"/>
    <cellStyle name="Separador de milhares 6 5 2 2" xfId="20378" xr:uid="{00000000-0005-0000-0000-0000C0590000}"/>
    <cellStyle name="Separador de milhares 6 5 2 2 2" xfId="29354" xr:uid="{91BE887D-35BE-4DA2-8D05-67E3D72A7288}"/>
    <cellStyle name="Separador de milhares 6 5 2 3" xfId="20377" xr:uid="{00000000-0005-0000-0000-0000C1590000}"/>
    <cellStyle name="Separador de milhares 6 5 2 3 2" xfId="29353" xr:uid="{7C6F01C7-9D22-422D-A12D-49772B8522DE}"/>
    <cellStyle name="Separador de milhares 6 5 2 4" xfId="28061" xr:uid="{F5EFC27A-A15A-411E-80E1-7E89556C3542}"/>
    <cellStyle name="Separador de milhares 6 5 20" xfId="20379" xr:uid="{00000000-0005-0000-0000-0000C2590000}"/>
    <cellStyle name="Separador de milhares 6 5 20 2" xfId="20380" xr:uid="{00000000-0005-0000-0000-0000C3590000}"/>
    <cellStyle name="Separador de milhares 6 5 20 2 2" xfId="29356" xr:uid="{59E6427A-B668-4EBD-978B-40989112A38A}"/>
    <cellStyle name="Separador de milhares 6 5 20 3" xfId="29355" xr:uid="{5FCE6880-E62F-471A-8D02-7D571E05C8F8}"/>
    <cellStyle name="Separador de milhares 6 5 21" xfId="20381" xr:uid="{00000000-0005-0000-0000-0000C4590000}"/>
    <cellStyle name="Separador de milhares 6 5 21 2" xfId="20382" xr:uid="{00000000-0005-0000-0000-0000C5590000}"/>
    <cellStyle name="Separador de milhares 6 5 21 2 2" xfId="29358" xr:uid="{8AA17213-8DD6-44C8-B880-D88D4B57C70F}"/>
    <cellStyle name="Separador de milhares 6 5 21 3" xfId="29357" xr:uid="{866E60AC-AE14-4884-9AE1-5FE6F786EB79}"/>
    <cellStyle name="Separador de milhares 6 5 22" xfId="20383" xr:uid="{00000000-0005-0000-0000-0000C6590000}"/>
    <cellStyle name="Separador de milhares 6 5 22 2" xfId="20384" xr:uid="{00000000-0005-0000-0000-0000C7590000}"/>
    <cellStyle name="Separador de milhares 6 5 22 2 2" xfId="29360" xr:uid="{16459E8F-9C71-494D-855A-549B46671D3C}"/>
    <cellStyle name="Separador de milhares 6 5 22 3" xfId="29359" xr:uid="{15E253CE-A595-4865-96B0-B97801F9FCA3}"/>
    <cellStyle name="Separador de milhares 6 5 23" xfId="20385" xr:uid="{00000000-0005-0000-0000-0000C8590000}"/>
    <cellStyle name="Separador de milhares 6 5 23 2" xfId="20386" xr:uid="{00000000-0005-0000-0000-0000C9590000}"/>
    <cellStyle name="Separador de milhares 6 5 23 2 2" xfId="29362" xr:uid="{C1B8B3B7-1E31-4BC0-B267-34F001A4AD8E}"/>
    <cellStyle name="Separador de milhares 6 5 23 3" xfId="29361" xr:uid="{36999EB0-E8BB-48AC-8F1F-D0E787BF24DA}"/>
    <cellStyle name="Separador de milhares 6 5 24" xfId="20387" xr:uid="{00000000-0005-0000-0000-0000CA590000}"/>
    <cellStyle name="Separador de milhares 6 5 24 2" xfId="20388" xr:uid="{00000000-0005-0000-0000-0000CB590000}"/>
    <cellStyle name="Separador de milhares 6 5 24 2 2" xfId="29364" xr:uid="{03420BFB-69D4-472D-B164-805DCD03B4D9}"/>
    <cellStyle name="Separador de milhares 6 5 24 3" xfId="29363" xr:uid="{2B9220AD-D1B2-46B6-9C24-868646B91DB5}"/>
    <cellStyle name="Separador de milhares 6 5 25" xfId="20389" xr:uid="{00000000-0005-0000-0000-0000CC590000}"/>
    <cellStyle name="Separador de milhares 6 5 25 2" xfId="20390" xr:uid="{00000000-0005-0000-0000-0000CD590000}"/>
    <cellStyle name="Separador de milhares 6 5 25 2 2" xfId="29366" xr:uid="{01D5149B-FD05-4344-873F-B2206B6E1B81}"/>
    <cellStyle name="Separador de milhares 6 5 25 3" xfId="29365" xr:uid="{ECA3DBAE-8D60-4892-AFEF-81A475EFC6F1}"/>
    <cellStyle name="Separador de milhares 6 5 26" xfId="20391" xr:uid="{00000000-0005-0000-0000-0000CE590000}"/>
    <cellStyle name="Separador de milhares 6 5 26 2" xfId="20392" xr:uid="{00000000-0005-0000-0000-0000CF590000}"/>
    <cellStyle name="Separador de milhares 6 5 26 2 2" xfId="29368" xr:uid="{01EE5CB6-D3E3-40D9-BB94-C5367D5AE23D}"/>
    <cellStyle name="Separador de milhares 6 5 26 3" xfId="29367" xr:uid="{7F440315-429C-41C5-BDC0-F60516987F35}"/>
    <cellStyle name="Separador de milhares 6 5 27" xfId="20393" xr:uid="{00000000-0005-0000-0000-0000D0590000}"/>
    <cellStyle name="Separador de milhares 6 5 27 2" xfId="20394" xr:uid="{00000000-0005-0000-0000-0000D1590000}"/>
    <cellStyle name="Separador de milhares 6 5 27 2 2" xfId="29370" xr:uid="{2C0AB94B-FC14-42FB-84F2-E13E25B015EE}"/>
    <cellStyle name="Separador de milhares 6 5 27 3" xfId="29369" xr:uid="{305C420E-1594-411E-8C2C-C9A4239EEB01}"/>
    <cellStyle name="Separador de milhares 6 5 28" xfId="20395" xr:uid="{00000000-0005-0000-0000-0000D2590000}"/>
    <cellStyle name="Separador de milhares 6 5 28 2" xfId="20396" xr:uid="{00000000-0005-0000-0000-0000D3590000}"/>
    <cellStyle name="Separador de milhares 6 5 28 2 2" xfId="29372" xr:uid="{DDD31947-B0D1-43F6-A6A8-3D664E093164}"/>
    <cellStyle name="Separador de milhares 6 5 28 3" xfId="29371" xr:uid="{406500CA-D7F0-4DBD-829D-37E6671E4114}"/>
    <cellStyle name="Separador de milhares 6 5 29" xfId="20397" xr:uid="{00000000-0005-0000-0000-0000D4590000}"/>
    <cellStyle name="Separador de milhares 6 5 29 2" xfId="20398" xr:uid="{00000000-0005-0000-0000-0000D5590000}"/>
    <cellStyle name="Separador de milhares 6 5 29 2 2" xfId="29374" xr:uid="{CC82ACF2-BF54-4E3A-B934-A348C7DF2660}"/>
    <cellStyle name="Separador de milhares 6 5 29 3" xfId="29373" xr:uid="{8822C2BA-CE0A-484D-B405-E55637A9DDC1}"/>
    <cellStyle name="Separador de milhares 6 5 3" xfId="20399" xr:uid="{00000000-0005-0000-0000-0000D6590000}"/>
    <cellStyle name="Separador de milhares 6 5 3 2" xfId="20400" xr:uid="{00000000-0005-0000-0000-0000D7590000}"/>
    <cellStyle name="Separador de milhares 6 5 3 2 2" xfId="29376" xr:uid="{D11627B6-ACA6-4809-A958-8BEC002002A4}"/>
    <cellStyle name="Separador de milhares 6 5 3 3" xfId="29375" xr:uid="{E0A945C8-8042-4752-9B00-12A72C5F94AF}"/>
    <cellStyle name="Separador de milhares 6 5 30" xfId="20401" xr:uid="{00000000-0005-0000-0000-0000D8590000}"/>
    <cellStyle name="Separador de milhares 6 5 30 2" xfId="20402" xr:uid="{00000000-0005-0000-0000-0000D9590000}"/>
    <cellStyle name="Separador de milhares 6 5 30 2 2" xfId="29378" xr:uid="{F074FAD0-67D8-4E4B-809D-0FB3514E9B7A}"/>
    <cellStyle name="Separador de milhares 6 5 30 3" xfId="29377" xr:uid="{7D5597A2-B829-41E2-96F6-2655046FD826}"/>
    <cellStyle name="Separador de milhares 6 5 31" xfId="20403" xr:uid="{00000000-0005-0000-0000-0000DA590000}"/>
    <cellStyle name="Separador de milhares 6 5 31 2" xfId="20404" xr:uid="{00000000-0005-0000-0000-0000DB590000}"/>
    <cellStyle name="Separador de milhares 6 5 31 2 2" xfId="29380" xr:uid="{AB9FD384-3110-4763-BC84-71D0BED6208E}"/>
    <cellStyle name="Separador de milhares 6 5 31 3" xfId="29379" xr:uid="{075CE5F9-4C0B-402D-9281-55CF0C64A1B7}"/>
    <cellStyle name="Separador de milhares 6 5 32" xfId="20405" xr:uid="{00000000-0005-0000-0000-0000DC590000}"/>
    <cellStyle name="Separador de milhares 6 5 32 2" xfId="20406" xr:uid="{00000000-0005-0000-0000-0000DD590000}"/>
    <cellStyle name="Separador de milhares 6 5 32 2 2" xfId="29382" xr:uid="{EE0EB385-3DA4-4764-9972-C9F92AB5260F}"/>
    <cellStyle name="Separador de milhares 6 5 32 3" xfId="29381" xr:uid="{D53A56A4-3226-4844-962F-B51BE64120BF}"/>
    <cellStyle name="Separador de milhares 6 5 33" xfId="20407" xr:uid="{00000000-0005-0000-0000-0000DE590000}"/>
    <cellStyle name="Separador de milhares 6 5 33 2" xfId="20408" xr:uid="{00000000-0005-0000-0000-0000DF590000}"/>
    <cellStyle name="Separador de milhares 6 5 33 2 2" xfId="29384" xr:uid="{0568B3CF-F186-4555-A111-E5D2329E711F}"/>
    <cellStyle name="Separador de milhares 6 5 33 3" xfId="29383" xr:uid="{BA5FD15C-3A8D-48B3-A8D6-CE0233FA70C5}"/>
    <cellStyle name="Separador de milhares 6 5 34" xfId="20409" xr:uid="{00000000-0005-0000-0000-0000E0590000}"/>
    <cellStyle name="Separador de milhares 6 5 34 2" xfId="20410" xr:uid="{00000000-0005-0000-0000-0000E1590000}"/>
    <cellStyle name="Separador de milhares 6 5 34 2 2" xfId="29386" xr:uid="{B3DAE632-455B-4404-B65F-D2F2A93D2F7A}"/>
    <cellStyle name="Separador de milhares 6 5 34 3" xfId="29385" xr:uid="{6128FEAF-0ADF-4308-B3E7-C2FEE2BAADCC}"/>
    <cellStyle name="Separador de milhares 6 5 35" xfId="20411" xr:uid="{00000000-0005-0000-0000-0000E2590000}"/>
    <cellStyle name="Separador de milhares 6 5 35 2" xfId="29387" xr:uid="{CFBE2CFE-87C1-4D21-BBD7-C850AE0F99F9}"/>
    <cellStyle name="Separador de milhares 6 5 36" xfId="20356" xr:uid="{00000000-0005-0000-0000-0000E3590000}"/>
    <cellStyle name="Separador de milhares 6 5 36 2" xfId="29332" xr:uid="{C2D6A2D5-7426-46F1-AADC-2AB8918AE612}"/>
    <cellStyle name="Separador de milhares 6 5 37" xfId="27214" xr:uid="{00000000-0005-0000-0000-0000E4590000}"/>
    <cellStyle name="Separador de milhares 6 5 37 2" xfId="33056" xr:uid="{4702E6E9-4464-4578-BE51-0F7968FFFB26}"/>
    <cellStyle name="Separador de milhares 6 5 38" xfId="27394" xr:uid="{00000000-0005-0000-0000-0000E5590000}"/>
    <cellStyle name="Separador de milhares 6 5 38 2" xfId="33231" xr:uid="{D0A69284-A6CF-4E36-9D62-08CE7B8DE6AF}"/>
    <cellStyle name="Separador de milhares 6 5 39" xfId="27572" xr:uid="{00000000-0005-0000-0000-0000E6590000}"/>
    <cellStyle name="Separador de milhares 6 5 39 2" xfId="33384" xr:uid="{4D7DCFB9-69D2-4A45-B32F-A24F7F376EA7}"/>
    <cellStyle name="Separador de milhares 6 5 4" xfId="20412" xr:uid="{00000000-0005-0000-0000-0000E7590000}"/>
    <cellStyle name="Separador de milhares 6 5 4 2" xfId="20413" xr:uid="{00000000-0005-0000-0000-0000E8590000}"/>
    <cellStyle name="Separador de milhares 6 5 4 2 2" xfId="29389" xr:uid="{29668A0F-D165-4A5C-BB32-2F30ECA9D3C9}"/>
    <cellStyle name="Separador de milhares 6 5 4 3" xfId="29388" xr:uid="{867D6EBC-B378-421E-8F4E-8B25BDBC62AA}"/>
    <cellStyle name="Separador de milhares 6 5 40" xfId="27723" xr:uid="{00000000-0005-0000-0000-0000E9590000}"/>
    <cellStyle name="Separador de milhares 6 5 40 2" xfId="33534" xr:uid="{3C45682B-6C79-4F94-9F1F-F7CE6C1510AE}"/>
    <cellStyle name="Separador de milhares 6 5 41" xfId="28060" xr:uid="{DFDD5C1D-4074-4C3F-B389-2758EC7748C0}"/>
    <cellStyle name="Separador de milhares 6 5 5" xfId="20414" xr:uid="{00000000-0005-0000-0000-0000EA590000}"/>
    <cellStyle name="Separador de milhares 6 5 5 2" xfId="20415" xr:uid="{00000000-0005-0000-0000-0000EB590000}"/>
    <cellStyle name="Separador de milhares 6 5 5 2 2" xfId="29391" xr:uid="{6CD7B52F-ED53-45C5-8B42-E285BB6521C5}"/>
    <cellStyle name="Separador de milhares 6 5 5 3" xfId="29390" xr:uid="{04C513B5-E849-4AF0-8E61-0FDB03D32E77}"/>
    <cellStyle name="Separador de milhares 6 5 6" xfId="20416" xr:uid="{00000000-0005-0000-0000-0000EC590000}"/>
    <cellStyle name="Separador de milhares 6 5 6 2" xfId="20417" xr:uid="{00000000-0005-0000-0000-0000ED590000}"/>
    <cellStyle name="Separador de milhares 6 5 6 2 2" xfId="29393" xr:uid="{87392B0E-58F5-40AD-BD7A-098EA5CF4FAF}"/>
    <cellStyle name="Separador de milhares 6 5 6 3" xfId="29392" xr:uid="{56109A97-E332-428F-9AF4-281D84DB82F2}"/>
    <cellStyle name="Separador de milhares 6 5 7" xfId="20418" xr:uid="{00000000-0005-0000-0000-0000EE590000}"/>
    <cellStyle name="Separador de milhares 6 5 7 2" xfId="20419" xr:uid="{00000000-0005-0000-0000-0000EF590000}"/>
    <cellStyle name="Separador de milhares 6 5 7 2 2" xfId="29395" xr:uid="{5A349D56-417B-428D-B678-23FEFADB62E6}"/>
    <cellStyle name="Separador de milhares 6 5 7 3" xfId="29394" xr:uid="{9285C094-6D4B-4E8F-A0B3-A1F5AA46D328}"/>
    <cellStyle name="Separador de milhares 6 5 8" xfId="20420" xr:uid="{00000000-0005-0000-0000-0000F0590000}"/>
    <cellStyle name="Separador de milhares 6 5 8 2" xfId="20421" xr:uid="{00000000-0005-0000-0000-0000F1590000}"/>
    <cellStyle name="Separador de milhares 6 5 8 2 2" xfId="29397" xr:uid="{E94CC990-E735-4314-A062-21652CD8145A}"/>
    <cellStyle name="Separador de milhares 6 5 8 3" xfId="29396" xr:uid="{FB893F05-5BD6-4CE4-8697-6E7C4E7D9717}"/>
    <cellStyle name="Separador de milhares 6 5 9" xfId="20422" xr:uid="{00000000-0005-0000-0000-0000F2590000}"/>
    <cellStyle name="Separador de milhares 6 5 9 2" xfId="20423" xr:uid="{00000000-0005-0000-0000-0000F3590000}"/>
    <cellStyle name="Separador de milhares 6 5 9 2 2" xfId="29399" xr:uid="{056FBB87-4BAC-4C07-9643-39EFFCD58B3C}"/>
    <cellStyle name="Separador de milhares 6 5 9 3" xfId="29398" xr:uid="{4AD31A71-8876-4B98-809A-850019728FC9}"/>
    <cellStyle name="Separador de milhares 6 50" xfId="20424" xr:uid="{00000000-0005-0000-0000-0000F4590000}"/>
    <cellStyle name="Separador de milhares 6 50 2" xfId="20425" xr:uid="{00000000-0005-0000-0000-0000F5590000}"/>
    <cellStyle name="Separador de milhares 6 50 2 2" xfId="29401" xr:uid="{5FFCAF07-9987-41AA-AC1D-578FB4F2FB1C}"/>
    <cellStyle name="Separador de milhares 6 50 3" xfId="29400" xr:uid="{FBB173F3-6806-4249-870A-5EE3C2CC9392}"/>
    <cellStyle name="Separador de milhares 6 51" xfId="20426" xr:uid="{00000000-0005-0000-0000-0000F6590000}"/>
    <cellStyle name="Separador de milhares 6 51 2" xfId="29402" xr:uid="{6330349A-A584-4470-97C0-E3BAF96F0774}"/>
    <cellStyle name="Separador de milhares 6 52" xfId="27199" xr:uid="{00000000-0005-0000-0000-0000F7590000}"/>
    <cellStyle name="Separador de milhares 6 52 2" xfId="33041" xr:uid="{C6B8E182-F670-4492-BF0D-8D0C6CD1E42A}"/>
    <cellStyle name="Separador de milhares 6 53" xfId="27379" xr:uid="{00000000-0005-0000-0000-0000F8590000}"/>
    <cellStyle name="Separador de milhares 6 53 2" xfId="33216" xr:uid="{B2723EC4-838D-4931-9609-BA5119897E09}"/>
    <cellStyle name="Separador de milhares 6 54" xfId="27557" xr:uid="{00000000-0005-0000-0000-0000F9590000}"/>
    <cellStyle name="Separador de milhares 6 54 2" xfId="33369" xr:uid="{C79ACEB7-2239-4AD0-9D3C-47BCB658985A}"/>
    <cellStyle name="Separador de milhares 6 55" xfId="27708" xr:uid="{00000000-0005-0000-0000-0000FA590000}"/>
    <cellStyle name="Separador de milhares 6 55 2" xfId="33519" xr:uid="{889450FB-C256-47C3-8B94-FE2BED844DBD}"/>
    <cellStyle name="Separador de milhares 6 56" xfId="28039" xr:uid="{34CDB2EF-C2BC-4C0C-8B4C-9DDCCEF54709}"/>
    <cellStyle name="Separador de milhares 6 6" xfId="829" xr:uid="{00000000-0005-0000-0000-0000FB590000}"/>
    <cellStyle name="Separador de milhares 6 6 10" xfId="27490" xr:uid="{00000000-0005-0000-0000-0000FC590000}"/>
    <cellStyle name="Separador de milhares 6 6 10 2" xfId="33327" xr:uid="{89F5345B-93FC-4838-AF0C-38F8CFA0D5CE}"/>
    <cellStyle name="Separador de milhares 6 6 11" xfId="27659" xr:uid="{00000000-0005-0000-0000-0000FD590000}"/>
    <cellStyle name="Separador de milhares 6 6 11 2" xfId="33470" xr:uid="{239AE2F4-B7B1-4CB6-B7CE-1B7A302D90DD}"/>
    <cellStyle name="Separador de milhares 6 6 12" xfId="27816" xr:uid="{00000000-0005-0000-0000-0000FE590000}"/>
    <cellStyle name="Separador de milhares 6 6 12 2" xfId="33627" xr:uid="{BB80AC0F-F973-4A2B-BD5C-729A8487D7E8}"/>
    <cellStyle name="Separador de milhares 6 6 2" xfId="20428" xr:uid="{00000000-0005-0000-0000-0000FF590000}"/>
    <cellStyle name="Separador de milhares 6 6 2 2" xfId="20429" xr:uid="{00000000-0005-0000-0000-0000005A0000}"/>
    <cellStyle name="Separador de milhares 6 6 2 2 2" xfId="29404" xr:uid="{7DED41FC-A181-4BBF-B851-D47AF17870C7}"/>
    <cellStyle name="Separador de milhares 6 6 2 3" xfId="29403" xr:uid="{38508870-FA70-432A-A492-DD50B4DBABCB}"/>
    <cellStyle name="Separador de milhares 6 6 3" xfId="20430" xr:uid="{00000000-0005-0000-0000-0000015A0000}"/>
    <cellStyle name="Separador de milhares 6 6 3 2" xfId="20431" xr:uid="{00000000-0005-0000-0000-0000025A0000}"/>
    <cellStyle name="Separador de milhares 6 6 3 2 2" xfId="29406" xr:uid="{03684F56-AE16-495B-A2A1-5496F278C11E}"/>
    <cellStyle name="Separador de milhares 6 6 3 3" xfId="29405" xr:uid="{3E9F664D-72A6-4ECC-9A5E-799AECC770D2}"/>
    <cellStyle name="Separador de milhares 6 6 4" xfId="20432" xr:uid="{00000000-0005-0000-0000-0000035A0000}"/>
    <cellStyle name="Separador de milhares 6 6 4 2" xfId="20433" xr:uid="{00000000-0005-0000-0000-0000045A0000}"/>
    <cellStyle name="Separador de milhares 6 6 4 2 2" xfId="29408" xr:uid="{795CF630-12CB-4CDA-9F76-6D004567B5E3}"/>
    <cellStyle name="Separador de milhares 6 6 4 3" xfId="29407" xr:uid="{D878AC68-7DBB-40FE-BC8E-924996034096}"/>
    <cellStyle name="Separador de milhares 6 6 5" xfId="20434" xr:uid="{00000000-0005-0000-0000-0000055A0000}"/>
    <cellStyle name="Separador de milhares 6 6 5 2" xfId="20435" xr:uid="{00000000-0005-0000-0000-0000065A0000}"/>
    <cellStyle name="Separador de milhares 6 6 5 2 2" xfId="29410" xr:uid="{BF22795B-5984-4A48-B794-174FC264A0D1}"/>
    <cellStyle name="Separador de milhares 6 6 5 3" xfId="29409" xr:uid="{86BECBDD-E83C-43A9-93AD-D92C3DAA8277}"/>
    <cellStyle name="Separador de milhares 6 6 6" xfId="20436" xr:uid="{00000000-0005-0000-0000-0000075A0000}"/>
    <cellStyle name="Separador de milhares 6 6 6 2" xfId="29411" xr:uid="{6B676D32-38A2-4359-AFB6-A66E1A1DF2D4}"/>
    <cellStyle name="Separador de milhares 6 6 7" xfId="20427" xr:uid="{00000000-0005-0000-0000-0000085A0000}"/>
    <cellStyle name="Separador de milhares 6 6 8" xfId="27131" xr:uid="{00000000-0005-0000-0000-0000095A0000}"/>
    <cellStyle name="Separador de milhares 6 6 8 2" xfId="32990" xr:uid="{01B5D97D-D6F4-4EAC-A576-FADA82DCD748}"/>
    <cellStyle name="Separador de milhares 6 6 9" xfId="27319" xr:uid="{00000000-0005-0000-0000-00000A5A0000}"/>
    <cellStyle name="Separador de milhares 6 6 9 2" xfId="33156" xr:uid="{332000A1-5292-487F-9E3A-3B86B719EEDC}"/>
    <cellStyle name="Separador de milhares 6 7" xfId="830" xr:uid="{00000000-0005-0000-0000-00000B5A0000}"/>
    <cellStyle name="Separador de milhares 6 7 2" xfId="20438" xr:uid="{00000000-0005-0000-0000-00000C5A0000}"/>
    <cellStyle name="Separador de milhares 6 7 2 2" xfId="20439" xr:uid="{00000000-0005-0000-0000-00000D5A0000}"/>
    <cellStyle name="Separador de milhares 6 7 2 2 2" xfId="29413" xr:uid="{DD20BBE9-4379-4689-8475-3B2E9D5FB9EF}"/>
    <cellStyle name="Separador de milhares 6 7 2 3" xfId="29412" xr:uid="{7392CFC6-FAB3-48C4-A954-DBEA7841CA07}"/>
    <cellStyle name="Separador de milhares 6 7 3" xfId="20440" xr:uid="{00000000-0005-0000-0000-00000E5A0000}"/>
    <cellStyle name="Separador de milhares 6 7 3 2" xfId="20441" xr:uid="{00000000-0005-0000-0000-00000F5A0000}"/>
    <cellStyle name="Separador de milhares 6 7 3 2 2" xfId="29415" xr:uid="{9C5497B4-93CD-4353-B1BF-AAAF9855B5CE}"/>
    <cellStyle name="Separador de milhares 6 7 3 3" xfId="29414" xr:uid="{BAF44E20-6B1E-4DE1-8A67-D44C76A4812F}"/>
    <cellStyle name="Separador de milhares 6 7 4" xfId="20442" xr:uid="{00000000-0005-0000-0000-0000105A0000}"/>
    <cellStyle name="Separador de milhares 6 7 4 2" xfId="20443" xr:uid="{00000000-0005-0000-0000-0000115A0000}"/>
    <cellStyle name="Separador de milhares 6 7 4 2 2" xfId="29417" xr:uid="{FA3F4835-4188-46CC-8124-6BC6B9380A24}"/>
    <cellStyle name="Separador de milhares 6 7 4 3" xfId="29416" xr:uid="{873BC447-35D0-4B3C-9D76-D0F8D976C868}"/>
    <cellStyle name="Separador de milhares 6 7 5" xfId="20444" xr:uid="{00000000-0005-0000-0000-0000125A0000}"/>
    <cellStyle name="Separador de milhares 6 7 5 2" xfId="20445" xr:uid="{00000000-0005-0000-0000-0000135A0000}"/>
    <cellStyle name="Separador de milhares 6 7 5 2 2" xfId="29419" xr:uid="{70444E87-04B8-4783-8659-82BF14A135E9}"/>
    <cellStyle name="Separador de milhares 6 7 5 3" xfId="29418" xr:uid="{31DE0F68-8D7E-47F1-AAF6-880674FB5457}"/>
    <cellStyle name="Separador de milhares 6 7 6" xfId="20446" xr:uid="{00000000-0005-0000-0000-0000145A0000}"/>
    <cellStyle name="Separador de milhares 6 7 6 2" xfId="29420" xr:uid="{6373E685-11B9-4CAF-895C-B369191E226A}"/>
    <cellStyle name="Separador de milhares 6 7 7" xfId="20437" xr:uid="{00000000-0005-0000-0000-0000155A0000}"/>
    <cellStyle name="Separador de milhares 6 7 8" xfId="28062" xr:uid="{99515598-53BD-44A9-AD24-DC61B373852F}"/>
    <cellStyle name="Separador de milhares 6 8" xfId="831" xr:uid="{00000000-0005-0000-0000-0000165A0000}"/>
    <cellStyle name="Separador de milhares 6 8 2" xfId="20448" xr:uid="{00000000-0005-0000-0000-0000175A0000}"/>
    <cellStyle name="Separador de milhares 6 8 2 2" xfId="29421" xr:uid="{54B09A52-A561-4223-86D9-0388341481A2}"/>
    <cellStyle name="Separador de milhares 6 8 3" xfId="20447" xr:uid="{00000000-0005-0000-0000-0000185A0000}"/>
    <cellStyle name="Separador de milhares 6 8 4" xfId="28063" xr:uid="{71755B3B-654C-45C4-86E9-9123CA9EAF92}"/>
    <cellStyle name="Separador de milhares 6 9" xfId="20449" xr:uid="{00000000-0005-0000-0000-0000195A0000}"/>
    <cellStyle name="Separador de milhares 6 9 2" xfId="20450" xr:uid="{00000000-0005-0000-0000-00001A5A0000}"/>
    <cellStyle name="Separador de milhares 6 9 3" xfId="20451" xr:uid="{00000000-0005-0000-0000-00001B5A0000}"/>
    <cellStyle name="Separador de milhares 6 9 4" xfId="20452" xr:uid="{00000000-0005-0000-0000-00001C5A0000}"/>
    <cellStyle name="Separador de milhares 60" xfId="20453" xr:uid="{00000000-0005-0000-0000-00001D5A0000}"/>
    <cellStyle name="Separador de milhares 60 2" xfId="20454" xr:uid="{00000000-0005-0000-0000-00001E5A0000}"/>
    <cellStyle name="Separador de milhares 60 2 2" xfId="29423" xr:uid="{9EEF0E2C-9EEC-4F05-A813-F8BBE47EEE5A}"/>
    <cellStyle name="Separador de milhares 60 3" xfId="29422" xr:uid="{3841F82F-1331-467F-9B83-4BEBE4BC4D0D}"/>
    <cellStyle name="Separador de milhares 61" xfId="20455" xr:uid="{00000000-0005-0000-0000-00001F5A0000}"/>
    <cellStyle name="Separador de milhares 61 2" xfId="29424" xr:uid="{ED8BBF5B-76CF-4B60-9AEB-448B77D8FF4A}"/>
    <cellStyle name="Separador de milhares 62" xfId="20456" xr:uid="{00000000-0005-0000-0000-0000205A0000}"/>
    <cellStyle name="Separador de milhares 62 2" xfId="29425" xr:uid="{33715A31-5D69-4103-9A66-B9E4C98E9F86}"/>
    <cellStyle name="Separador de milhares 63" xfId="20457" xr:uid="{00000000-0005-0000-0000-0000215A0000}"/>
    <cellStyle name="Separador de milhares 63 2" xfId="29426" xr:uid="{480E2F2C-1026-47DE-B0A9-A7E2950D4F07}"/>
    <cellStyle name="Separador de milhares 64" xfId="20458" xr:uid="{00000000-0005-0000-0000-0000225A0000}"/>
    <cellStyle name="Separador de milhares 64 2" xfId="29427" xr:uid="{C3FAC15D-E0F5-4BFD-B06D-32E8BE3AE23C}"/>
    <cellStyle name="Separador de milhares 65" xfId="20459" xr:uid="{00000000-0005-0000-0000-0000235A0000}"/>
    <cellStyle name="Separador de milhares 65 2" xfId="29428" xr:uid="{CB04BA93-687B-4568-A9FF-B51FB710C7CF}"/>
    <cellStyle name="Separador de milhares 66" xfId="20460" xr:uid="{00000000-0005-0000-0000-0000245A0000}"/>
    <cellStyle name="Separador de milhares 66 2" xfId="29429" xr:uid="{1C9D2418-B853-401D-B129-867D1D34D5DA}"/>
    <cellStyle name="Separador de milhares 67" xfId="20461" xr:uid="{00000000-0005-0000-0000-0000255A0000}"/>
    <cellStyle name="Separador de milhares 67 2" xfId="29430" xr:uid="{444D2014-8786-4E7E-90C1-68F5FDE6042E}"/>
    <cellStyle name="Separador de milhares 68" xfId="20462" xr:uid="{00000000-0005-0000-0000-0000265A0000}"/>
    <cellStyle name="Separador de milhares 68 2" xfId="29431" xr:uid="{44287349-9048-4B86-A697-89EC8F7DC7DF}"/>
    <cellStyle name="Separador de milhares 69" xfId="20463" xr:uid="{00000000-0005-0000-0000-0000275A0000}"/>
    <cellStyle name="Separador de milhares 69 2" xfId="29432" xr:uid="{468F4977-8244-443B-9C99-4A0BB61ABAD6}"/>
    <cellStyle name="Separador de milhares 7" xfId="832" xr:uid="{00000000-0005-0000-0000-0000285A0000}"/>
    <cellStyle name="Separador de milhares 7 10" xfId="20464" xr:uid="{00000000-0005-0000-0000-0000295A0000}"/>
    <cellStyle name="Separador de milhares 7 10 10" xfId="20465" xr:uid="{00000000-0005-0000-0000-00002A5A0000}"/>
    <cellStyle name="Separador de milhares 7 10 11" xfId="20466" xr:uid="{00000000-0005-0000-0000-00002B5A0000}"/>
    <cellStyle name="Separador de milhares 7 10 12" xfId="20467" xr:uid="{00000000-0005-0000-0000-00002C5A0000}"/>
    <cellStyle name="Separador de milhares 7 10 13" xfId="20468" xr:uid="{00000000-0005-0000-0000-00002D5A0000}"/>
    <cellStyle name="Separador de milhares 7 10 14" xfId="20469" xr:uid="{00000000-0005-0000-0000-00002E5A0000}"/>
    <cellStyle name="Separador de milhares 7 10 15" xfId="20470" xr:uid="{00000000-0005-0000-0000-00002F5A0000}"/>
    <cellStyle name="Separador de milhares 7 10 16" xfId="20471" xr:uid="{00000000-0005-0000-0000-0000305A0000}"/>
    <cellStyle name="Separador de milhares 7 10 17" xfId="20472" xr:uid="{00000000-0005-0000-0000-0000315A0000}"/>
    <cellStyle name="Separador de milhares 7 10 18" xfId="20473" xr:uid="{00000000-0005-0000-0000-0000325A0000}"/>
    <cellStyle name="Separador de milhares 7 10 19" xfId="20474" xr:uid="{00000000-0005-0000-0000-0000335A0000}"/>
    <cellStyle name="Separador de milhares 7 10 2" xfId="20475" xr:uid="{00000000-0005-0000-0000-0000345A0000}"/>
    <cellStyle name="Separador de milhares 7 10 2 10" xfId="20476" xr:uid="{00000000-0005-0000-0000-0000355A0000}"/>
    <cellStyle name="Separador de milhares 7 10 2 11" xfId="20477" xr:uid="{00000000-0005-0000-0000-0000365A0000}"/>
    <cellStyle name="Separador de milhares 7 10 2 12" xfId="20478" xr:uid="{00000000-0005-0000-0000-0000375A0000}"/>
    <cellStyle name="Separador de milhares 7 10 2 13" xfId="20479" xr:uid="{00000000-0005-0000-0000-0000385A0000}"/>
    <cellStyle name="Separador de milhares 7 10 2 14" xfId="20480" xr:uid="{00000000-0005-0000-0000-0000395A0000}"/>
    <cellStyle name="Separador de milhares 7 10 2 15" xfId="20481" xr:uid="{00000000-0005-0000-0000-00003A5A0000}"/>
    <cellStyle name="Separador de milhares 7 10 2 16" xfId="20482" xr:uid="{00000000-0005-0000-0000-00003B5A0000}"/>
    <cellStyle name="Separador de milhares 7 10 2 17" xfId="20483" xr:uid="{00000000-0005-0000-0000-00003C5A0000}"/>
    <cellStyle name="Separador de milhares 7 10 2 18" xfId="20484" xr:uid="{00000000-0005-0000-0000-00003D5A0000}"/>
    <cellStyle name="Separador de milhares 7 10 2 19" xfId="20485" xr:uid="{00000000-0005-0000-0000-00003E5A0000}"/>
    <cellStyle name="Separador de milhares 7 10 2 2" xfId="20486" xr:uid="{00000000-0005-0000-0000-00003F5A0000}"/>
    <cellStyle name="Separador de milhares 7 10 2 20" xfId="20487" xr:uid="{00000000-0005-0000-0000-0000405A0000}"/>
    <cellStyle name="Separador de milhares 7 10 2 21" xfId="20488" xr:uid="{00000000-0005-0000-0000-0000415A0000}"/>
    <cellStyle name="Separador de milhares 7 10 2 3" xfId="20489" xr:uid="{00000000-0005-0000-0000-0000425A0000}"/>
    <cellStyle name="Separador de milhares 7 10 2 4" xfId="20490" xr:uid="{00000000-0005-0000-0000-0000435A0000}"/>
    <cellStyle name="Separador de milhares 7 10 2 5" xfId="20491" xr:uid="{00000000-0005-0000-0000-0000445A0000}"/>
    <cellStyle name="Separador de milhares 7 10 2 6" xfId="20492" xr:uid="{00000000-0005-0000-0000-0000455A0000}"/>
    <cellStyle name="Separador de milhares 7 10 2 7" xfId="20493" xr:uid="{00000000-0005-0000-0000-0000465A0000}"/>
    <cellStyle name="Separador de milhares 7 10 2 8" xfId="20494" xr:uid="{00000000-0005-0000-0000-0000475A0000}"/>
    <cellStyle name="Separador de milhares 7 10 2 9" xfId="20495" xr:uid="{00000000-0005-0000-0000-0000485A0000}"/>
    <cellStyle name="Separador de milhares 7 10 20" xfId="20496" xr:uid="{00000000-0005-0000-0000-0000495A0000}"/>
    <cellStyle name="Separador de milhares 7 10 21" xfId="20497" xr:uid="{00000000-0005-0000-0000-00004A5A0000}"/>
    <cellStyle name="Separador de milhares 7 10 22" xfId="20498" xr:uid="{00000000-0005-0000-0000-00004B5A0000}"/>
    <cellStyle name="Separador de milhares 7 10 23" xfId="20499" xr:uid="{00000000-0005-0000-0000-00004C5A0000}"/>
    <cellStyle name="Separador de milhares 7 10 24" xfId="20500" xr:uid="{00000000-0005-0000-0000-00004D5A0000}"/>
    <cellStyle name="Separador de milhares 7 10 25" xfId="20501" xr:uid="{00000000-0005-0000-0000-00004E5A0000}"/>
    <cellStyle name="Separador de milhares 7 10 26" xfId="20502" xr:uid="{00000000-0005-0000-0000-00004F5A0000}"/>
    <cellStyle name="Separador de milhares 7 10 27" xfId="20503" xr:uid="{00000000-0005-0000-0000-0000505A0000}"/>
    <cellStyle name="Separador de milhares 7 10 28" xfId="20504" xr:uid="{00000000-0005-0000-0000-0000515A0000}"/>
    <cellStyle name="Separador de milhares 7 10 29" xfId="20505" xr:uid="{00000000-0005-0000-0000-0000525A0000}"/>
    <cellStyle name="Separador de milhares 7 10 3" xfId="20506" xr:uid="{00000000-0005-0000-0000-0000535A0000}"/>
    <cellStyle name="Separador de milhares 7 10 3 2" xfId="20507" xr:uid="{00000000-0005-0000-0000-0000545A0000}"/>
    <cellStyle name="Separador de milhares 7 10 3 2 2" xfId="29433" xr:uid="{2725B09A-698A-4020-A268-B309B4B8979A}"/>
    <cellStyle name="Separador de milhares 7 10 30" xfId="20508" xr:uid="{00000000-0005-0000-0000-0000555A0000}"/>
    <cellStyle name="Separador de milhares 7 10 31" xfId="20509" xr:uid="{00000000-0005-0000-0000-0000565A0000}"/>
    <cellStyle name="Separador de milhares 7 10 32" xfId="20510" xr:uid="{00000000-0005-0000-0000-0000575A0000}"/>
    <cellStyle name="Separador de milhares 7 10 33" xfId="20511" xr:uid="{00000000-0005-0000-0000-0000585A0000}"/>
    <cellStyle name="Separador de milhares 7 10 34" xfId="20512" xr:uid="{00000000-0005-0000-0000-0000595A0000}"/>
    <cellStyle name="Separador de milhares 7 10 4" xfId="20513" xr:uid="{00000000-0005-0000-0000-00005A5A0000}"/>
    <cellStyle name="Separador de milhares 7 10 4 2" xfId="20514" xr:uid="{00000000-0005-0000-0000-00005B5A0000}"/>
    <cellStyle name="Separador de milhares 7 10 4 3" xfId="20515" xr:uid="{00000000-0005-0000-0000-00005C5A0000}"/>
    <cellStyle name="Separador de milhares 7 10 4 4" xfId="20516" xr:uid="{00000000-0005-0000-0000-00005D5A0000}"/>
    <cellStyle name="Separador de milhares 7 10 5" xfId="20517" xr:uid="{00000000-0005-0000-0000-00005E5A0000}"/>
    <cellStyle name="Separador de milhares 7 10 5 2" xfId="20518" xr:uid="{00000000-0005-0000-0000-00005F5A0000}"/>
    <cellStyle name="Separador de milhares 7 10 5 2 2" xfId="29434" xr:uid="{EB8BF208-F92C-4BCB-AD0F-77A48FE8FA26}"/>
    <cellStyle name="Separador de milhares 7 10 6" xfId="20519" xr:uid="{00000000-0005-0000-0000-0000605A0000}"/>
    <cellStyle name="Separador de milhares 7 10 7" xfId="20520" xr:uid="{00000000-0005-0000-0000-0000615A0000}"/>
    <cellStyle name="Separador de milhares 7 10 8" xfId="20521" xr:uid="{00000000-0005-0000-0000-0000625A0000}"/>
    <cellStyle name="Separador de milhares 7 10 9" xfId="20522" xr:uid="{00000000-0005-0000-0000-0000635A0000}"/>
    <cellStyle name="Separador de milhares 7 11" xfId="20523" xr:uid="{00000000-0005-0000-0000-0000645A0000}"/>
    <cellStyle name="Separador de milhares 7 11 2" xfId="20524" xr:uid="{00000000-0005-0000-0000-0000655A0000}"/>
    <cellStyle name="Separador de milhares 7 11 2 2" xfId="29435" xr:uid="{675EB84E-E9E5-427C-B096-FEA0C86F86CD}"/>
    <cellStyle name="Separador de milhares 7 12" xfId="20525" xr:uid="{00000000-0005-0000-0000-0000665A0000}"/>
    <cellStyle name="Separador de milhares 7 12 2" xfId="20526" xr:uid="{00000000-0005-0000-0000-0000675A0000}"/>
    <cellStyle name="Separador de milhares 7 12 2 2" xfId="29436" xr:uid="{344E0332-0E24-42CB-A711-21FB8730ABCA}"/>
    <cellStyle name="Separador de milhares 7 13" xfId="20527" xr:uid="{00000000-0005-0000-0000-0000685A0000}"/>
    <cellStyle name="Separador de milhares 7 13 2" xfId="20528" xr:uid="{00000000-0005-0000-0000-0000695A0000}"/>
    <cellStyle name="Separador de milhares 7 13 2 2" xfId="29437" xr:uid="{255F399E-7EB5-49D0-A497-BA2915176977}"/>
    <cellStyle name="Separador de milhares 7 14" xfId="20529" xr:uid="{00000000-0005-0000-0000-00006A5A0000}"/>
    <cellStyle name="Separador de milhares 7 14 2" xfId="20530" xr:uid="{00000000-0005-0000-0000-00006B5A0000}"/>
    <cellStyle name="Separador de milhares 7 14 2 2" xfId="29438" xr:uid="{DBC6BDA0-A8AA-49BE-92D5-C7CE6F815913}"/>
    <cellStyle name="Separador de milhares 7 15" xfId="20531" xr:uid="{00000000-0005-0000-0000-00006C5A0000}"/>
    <cellStyle name="Separador de milhares 7 15 2" xfId="20532" xr:uid="{00000000-0005-0000-0000-00006D5A0000}"/>
    <cellStyle name="Separador de milhares 7 15 2 2" xfId="29439" xr:uid="{50406CFB-4850-4B1A-93BC-9A8F5B071CD8}"/>
    <cellStyle name="Separador de milhares 7 16" xfId="20533" xr:uid="{00000000-0005-0000-0000-00006E5A0000}"/>
    <cellStyle name="Separador de milhares 7 16 2" xfId="20534" xr:uid="{00000000-0005-0000-0000-00006F5A0000}"/>
    <cellStyle name="Separador de milhares 7 16 2 2" xfId="29440" xr:uid="{9CC3FF11-7810-4544-9FA7-17E488D4154D}"/>
    <cellStyle name="Separador de milhares 7 17" xfId="20535" xr:uid="{00000000-0005-0000-0000-0000705A0000}"/>
    <cellStyle name="Separador de milhares 7 17 2" xfId="20536" xr:uid="{00000000-0005-0000-0000-0000715A0000}"/>
    <cellStyle name="Separador de milhares 7 17 2 2" xfId="29441" xr:uid="{EB2B8133-1467-429F-9BD4-0213D7A2A9DA}"/>
    <cellStyle name="Separador de milhares 7 18" xfId="20537" xr:uid="{00000000-0005-0000-0000-0000725A0000}"/>
    <cellStyle name="Separador de milhares 7 18 2" xfId="20538" xr:uid="{00000000-0005-0000-0000-0000735A0000}"/>
    <cellStyle name="Separador de milhares 7 18 2 2" xfId="29442" xr:uid="{5E1A3692-B8A2-44E2-982F-E4E33C6BA456}"/>
    <cellStyle name="Separador de milhares 7 19" xfId="20539" xr:uid="{00000000-0005-0000-0000-0000745A0000}"/>
    <cellStyle name="Separador de milhares 7 19 2" xfId="20540" xr:uid="{00000000-0005-0000-0000-0000755A0000}"/>
    <cellStyle name="Separador de milhares 7 19 2 2" xfId="29443" xr:uid="{6AB43694-41BA-4AAB-AB6D-7C0D6DD9E4D6}"/>
    <cellStyle name="Separador de milhares 7 2" xfId="833" xr:uid="{00000000-0005-0000-0000-0000765A0000}"/>
    <cellStyle name="Separador de milhares 7 2 10" xfId="20542" xr:uid="{00000000-0005-0000-0000-0000775A0000}"/>
    <cellStyle name="Separador de milhares 7 2 10 2" xfId="20543" xr:uid="{00000000-0005-0000-0000-0000785A0000}"/>
    <cellStyle name="Separador de milhares 7 2 10 2 2" xfId="29445" xr:uid="{D8973FDB-DAAD-4C0F-82AE-7EF6BE6F39A4}"/>
    <cellStyle name="Separador de milhares 7 2 11" xfId="20544" xr:uid="{00000000-0005-0000-0000-0000795A0000}"/>
    <cellStyle name="Separador de milhares 7 2 11 2" xfId="20545" xr:uid="{00000000-0005-0000-0000-00007A5A0000}"/>
    <cellStyle name="Separador de milhares 7 2 11 2 2" xfId="29446" xr:uid="{3667641F-7D99-45DB-99DD-F62BEB2C24AC}"/>
    <cellStyle name="Separador de milhares 7 2 12" xfId="20546" xr:uid="{00000000-0005-0000-0000-00007B5A0000}"/>
    <cellStyle name="Separador de milhares 7 2 12 2" xfId="20547" xr:uid="{00000000-0005-0000-0000-00007C5A0000}"/>
    <cellStyle name="Separador de milhares 7 2 12 2 2" xfId="29447" xr:uid="{6A877967-4915-4F3E-9081-3CCEE585949E}"/>
    <cellStyle name="Separador de milhares 7 2 13" xfId="20548" xr:uid="{00000000-0005-0000-0000-00007D5A0000}"/>
    <cellStyle name="Separador de milhares 7 2 13 2" xfId="20549" xr:uid="{00000000-0005-0000-0000-00007E5A0000}"/>
    <cellStyle name="Separador de milhares 7 2 13 2 2" xfId="29448" xr:uid="{D68B0879-7846-43E6-BBD9-2802CB57ECCF}"/>
    <cellStyle name="Separador de milhares 7 2 14" xfId="20550" xr:uid="{00000000-0005-0000-0000-00007F5A0000}"/>
    <cellStyle name="Separador de milhares 7 2 14 2" xfId="20551" xr:uid="{00000000-0005-0000-0000-0000805A0000}"/>
    <cellStyle name="Separador de milhares 7 2 14 2 2" xfId="29449" xr:uid="{85CC6C79-5723-45DA-9AEB-64BEBD383047}"/>
    <cellStyle name="Separador de milhares 7 2 15" xfId="20552" xr:uid="{00000000-0005-0000-0000-0000815A0000}"/>
    <cellStyle name="Separador de milhares 7 2 15 2" xfId="20553" xr:uid="{00000000-0005-0000-0000-0000825A0000}"/>
    <cellStyle name="Separador de milhares 7 2 15 2 2" xfId="29450" xr:uid="{DCDE0C53-A7D2-4D07-9B8C-ECDB1C849A9A}"/>
    <cellStyle name="Separador de milhares 7 2 16" xfId="20554" xr:uid="{00000000-0005-0000-0000-0000835A0000}"/>
    <cellStyle name="Separador de milhares 7 2 16 2" xfId="20555" xr:uid="{00000000-0005-0000-0000-0000845A0000}"/>
    <cellStyle name="Separador de milhares 7 2 16 2 2" xfId="29451" xr:uid="{78FD509A-8803-4E84-B38D-47E985B95564}"/>
    <cellStyle name="Separador de milhares 7 2 17" xfId="20556" xr:uid="{00000000-0005-0000-0000-0000855A0000}"/>
    <cellStyle name="Separador de milhares 7 2 17 2" xfId="20557" xr:uid="{00000000-0005-0000-0000-0000865A0000}"/>
    <cellStyle name="Separador de milhares 7 2 17 2 2" xfId="29453" xr:uid="{2A53EC9E-CFEB-4034-95E4-5F4B42D474B6}"/>
    <cellStyle name="Separador de milhares 7 2 17 3" xfId="29452" xr:uid="{9BF5261A-E126-41F2-B972-C18CC81751DB}"/>
    <cellStyle name="Separador de milhares 7 2 18" xfId="20558" xr:uid="{00000000-0005-0000-0000-0000875A0000}"/>
    <cellStyle name="Separador de milhares 7 2 18 2" xfId="20559" xr:uid="{00000000-0005-0000-0000-0000885A0000}"/>
    <cellStyle name="Separador de milhares 7 2 18 2 2" xfId="29455" xr:uid="{8D6A9EBC-8DA4-4026-A613-B00EFABD94A7}"/>
    <cellStyle name="Separador de milhares 7 2 18 3" xfId="29454" xr:uid="{DC3204F0-C7A9-42E7-8DBD-9C669A5D2B63}"/>
    <cellStyle name="Separador de milhares 7 2 19" xfId="20560" xr:uid="{00000000-0005-0000-0000-0000895A0000}"/>
    <cellStyle name="Separador de milhares 7 2 19 2" xfId="20561" xr:uid="{00000000-0005-0000-0000-00008A5A0000}"/>
    <cellStyle name="Separador de milhares 7 2 19 2 2" xfId="29457" xr:uid="{6134D5FF-B99C-4CC8-8193-9F954E6CCBF4}"/>
    <cellStyle name="Separador de milhares 7 2 19 3" xfId="29456" xr:uid="{F451043E-5C21-49CA-B2A8-D3D8A354526E}"/>
    <cellStyle name="Separador de milhares 7 2 2" xfId="834" xr:uid="{00000000-0005-0000-0000-00008B5A0000}"/>
    <cellStyle name="Separador de milhares 7 2 2 10" xfId="20563" xr:uid="{00000000-0005-0000-0000-00008C5A0000}"/>
    <cellStyle name="Separador de milhares 7 2 2 10 2" xfId="20564" xr:uid="{00000000-0005-0000-0000-00008D5A0000}"/>
    <cellStyle name="Separador de milhares 7 2 2 10 2 2" xfId="29458" xr:uid="{C1348167-CEE2-4306-BC8F-5D4EDC6CFE41}"/>
    <cellStyle name="Separador de milhares 7 2 2 11" xfId="20565" xr:uid="{00000000-0005-0000-0000-00008E5A0000}"/>
    <cellStyle name="Separador de milhares 7 2 2 11 2" xfId="20566" xr:uid="{00000000-0005-0000-0000-00008F5A0000}"/>
    <cellStyle name="Separador de milhares 7 2 2 11 2 2" xfId="29460" xr:uid="{3BD1314E-C8E8-4A31-9758-941A601F7205}"/>
    <cellStyle name="Separador de milhares 7 2 2 11 3" xfId="29459" xr:uid="{D9B05207-02D1-4960-A5C2-FCE3B0A20A81}"/>
    <cellStyle name="Separador de milhares 7 2 2 12" xfId="20567" xr:uid="{00000000-0005-0000-0000-0000905A0000}"/>
    <cellStyle name="Separador de milhares 7 2 2 12 2" xfId="20568" xr:uid="{00000000-0005-0000-0000-0000915A0000}"/>
    <cellStyle name="Separador de milhares 7 2 2 12 2 2" xfId="29462" xr:uid="{3F4D9C32-2540-4059-B626-C11C89196103}"/>
    <cellStyle name="Separador de milhares 7 2 2 12 3" xfId="29461" xr:uid="{63E99385-AE04-4C61-BC08-833E1C074C1A}"/>
    <cellStyle name="Separador de milhares 7 2 2 13" xfId="20569" xr:uid="{00000000-0005-0000-0000-0000925A0000}"/>
    <cellStyle name="Separador de milhares 7 2 2 13 2" xfId="20570" xr:uid="{00000000-0005-0000-0000-0000935A0000}"/>
    <cellStyle name="Separador de milhares 7 2 2 13 2 2" xfId="29464" xr:uid="{56340E06-CA7A-4328-B77F-D972BD373333}"/>
    <cellStyle name="Separador de milhares 7 2 2 13 3" xfId="29463" xr:uid="{C439B791-3841-4704-AFEE-B07A4477070F}"/>
    <cellStyle name="Separador de milhares 7 2 2 14" xfId="20571" xr:uid="{00000000-0005-0000-0000-0000945A0000}"/>
    <cellStyle name="Separador de milhares 7 2 2 14 2" xfId="20572" xr:uid="{00000000-0005-0000-0000-0000955A0000}"/>
    <cellStyle name="Separador de milhares 7 2 2 14 2 2" xfId="29466" xr:uid="{B51F98FB-DBEE-41BE-B4E4-B6367F424C55}"/>
    <cellStyle name="Separador de milhares 7 2 2 14 3" xfId="29465" xr:uid="{211C6548-661A-4D88-AEE1-ED393618DB61}"/>
    <cellStyle name="Separador de milhares 7 2 2 15" xfId="20573" xr:uid="{00000000-0005-0000-0000-0000965A0000}"/>
    <cellStyle name="Separador de milhares 7 2 2 15 2" xfId="20574" xr:uid="{00000000-0005-0000-0000-0000975A0000}"/>
    <cellStyle name="Separador de milhares 7 2 2 15 2 2" xfId="29468" xr:uid="{6AE03691-BB40-475F-B961-EDA306D9BF16}"/>
    <cellStyle name="Separador de milhares 7 2 2 15 3" xfId="29467" xr:uid="{C50D9774-48AF-46A3-AFA5-C65ED314F83D}"/>
    <cellStyle name="Separador de milhares 7 2 2 16" xfId="20575" xr:uid="{00000000-0005-0000-0000-0000985A0000}"/>
    <cellStyle name="Separador de milhares 7 2 2 16 2" xfId="20576" xr:uid="{00000000-0005-0000-0000-0000995A0000}"/>
    <cellStyle name="Separador de milhares 7 2 2 16 2 2" xfId="29470" xr:uid="{1E3F5BDC-BD2E-4C4F-A323-A98C2F5808AF}"/>
    <cellStyle name="Separador de milhares 7 2 2 16 3" xfId="29469" xr:uid="{606A813E-5C6A-41FE-8A43-98FE2D748628}"/>
    <cellStyle name="Separador de milhares 7 2 2 17" xfId="20577" xr:uid="{00000000-0005-0000-0000-00009A5A0000}"/>
    <cellStyle name="Separador de milhares 7 2 2 17 2" xfId="20578" xr:uid="{00000000-0005-0000-0000-00009B5A0000}"/>
    <cellStyle name="Separador de milhares 7 2 2 17 2 2" xfId="29472" xr:uid="{E93C1403-A020-42B3-9439-598EB1F968EE}"/>
    <cellStyle name="Separador de milhares 7 2 2 17 3" xfId="29471" xr:uid="{1708EE27-1EA4-4ADB-A0C7-CDD51143EE25}"/>
    <cellStyle name="Separador de milhares 7 2 2 18" xfId="20579" xr:uid="{00000000-0005-0000-0000-00009C5A0000}"/>
    <cellStyle name="Separador de milhares 7 2 2 18 2" xfId="20580" xr:uid="{00000000-0005-0000-0000-00009D5A0000}"/>
    <cellStyle name="Separador de milhares 7 2 2 18 2 2" xfId="29474" xr:uid="{8CBADA38-46DA-461B-9EAD-BFD186AC3EB7}"/>
    <cellStyle name="Separador de milhares 7 2 2 18 3" xfId="29473" xr:uid="{DCD2B2FA-35A1-49F7-A6EC-4788AF093058}"/>
    <cellStyle name="Separador de milhares 7 2 2 19" xfId="20581" xr:uid="{00000000-0005-0000-0000-00009E5A0000}"/>
    <cellStyle name="Separador de milhares 7 2 2 19 2" xfId="20582" xr:uid="{00000000-0005-0000-0000-00009F5A0000}"/>
    <cellStyle name="Separador de milhares 7 2 2 19 2 2" xfId="29476" xr:uid="{4599C50B-D54F-4FDD-B90A-C93EA7E3E767}"/>
    <cellStyle name="Separador de milhares 7 2 2 19 3" xfId="29475" xr:uid="{4985CAFA-75B6-447F-98DA-156A541A94DA}"/>
    <cellStyle name="Separador de milhares 7 2 2 2" xfId="835" xr:uid="{00000000-0005-0000-0000-0000A05A0000}"/>
    <cellStyle name="Separador de milhares 7 2 2 2 10" xfId="20584" xr:uid="{00000000-0005-0000-0000-0000A15A0000}"/>
    <cellStyle name="Separador de milhares 7 2 2 2 10 2" xfId="20585" xr:uid="{00000000-0005-0000-0000-0000A25A0000}"/>
    <cellStyle name="Separador de milhares 7 2 2 2 10 2 2" xfId="29478" xr:uid="{0968524C-25CC-4852-A7D2-878E41C1B4BD}"/>
    <cellStyle name="Separador de milhares 7 2 2 2 10 3" xfId="29477" xr:uid="{18F2BE3B-92F1-45E7-9A84-A950B73EF3CE}"/>
    <cellStyle name="Separador de milhares 7 2 2 2 11" xfId="20586" xr:uid="{00000000-0005-0000-0000-0000A35A0000}"/>
    <cellStyle name="Separador de milhares 7 2 2 2 11 2" xfId="20587" xr:uid="{00000000-0005-0000-0000-0000A45A0000}"/>
    <cellStyle name="Separador de milhares 7 2 2 2 11 2 2" xfId="29480" xr:uid="{F96D988C-6EDD-4603-B3C8-4A020EEB68B8}"/>
    <cellStyle name="Separador de milhares 7 2 2 2 11 3" xfId="29479" xr:uid="{64AA3F25-B043-42D8-B8B3-A755E9AB9E18}"/>
    <cellStyle name="Separador de milhares 7 2 2 2 12" xfId="20588" xr:uid="{00000000-0005-0000-0000-0000A55A0000}"/>
    <cellStyle name="Separador de milhares 7 2 2 2 12 2" xfId="20589" xr:uid="{00000000-0005-0000-0000-0000A65A0000}"/>
    <cellStyle name="Separador de milhares 7 2 2 2 12 2 2" xfId="29482" xr:uid="{D6054F23-FF20-4ADA-A8D6-0E61453A7F4B}"/>
    <cellStyle name="Separador de milhares 7 2 2 2 12 3" xfId="29481" xr:uid="{B9FD46DB-7375-4230-B231-7EB06DFC6D5F}"/>
    <cellStyle name="Separador de milhares 7 2 2 2 13" xfId="20590" xr:uid="{00000000-0005-0000-0000-0000A75A0000}"/>
    <cellStyle name="Separador de milhares 7 2 2 2 13 2" xfId="20591" xr:uid="{00000000-0005-0000-0000-0000A85A0000}"/>
    <cellStyle name="Separador de milhares 7 2 2 2 13 2 2" xfId="29484" xr:uid="{2F9F8588-6FC7-4E62-B5F3-72E35F7625B6}"/>
    <cellStyle name="Separador de milhares 7 2 2 2 13 3" xfId="29483" xr:uid="{66EA236E-101A-480E-9BFA-020A239354C3}"/>
    <cellStyle name="Separador de milhares 7 2 2 2 14" xfId="20592" xr:uid="{00000000-0005-0000-0000-0000A95A0000}"/>
    <cellStyle name="Separador de milhares 7 2 2 2 14 2" xfId="20593" xr:uid="{00000000-0005-0000-0000-0000AA5A0000}"/>
    <cellStyle name="Separador de milhares 7 2 2 2 14 2 2" xfId="29486" xr:uid="{FE62AD76-F9F9-4D7A-A858-BF9AB5D87A2E}"/>
    <cellStyle name="Separador de milhares 7 2 2 2 14 3" xfId="29485" xr:uid="{0974B32D-4EFB-49BB-8360-59703F726C46}"/>
    <cellStyle name="Separador de milhares 7 2 2 2 15" xfId="20594" xr:uid="{00000000-0005-0000-0000-0000AB5A0000}"/>
    <cellStyle name="Separador de milhares 7 2 2 2 15 2" xfId="20595" xr:uid="{00000000-0005-0000-0000-0000AC5A0000}"/>
    <cellStyle name="Separador de milhares 7 2 2 2 15 2 2" xfId="29488" xr:uid="{813F0CB2-1640-4403-BB53-5A5D7889E7C3}"/>
    <cellStyle name="Separador de milhares 7 2 2 2 15 3" xfId="29487" xr:uid="{91F29608-49D7-4860-AADB-0986B8021A67}"/>
    <cellStyle name="Separador de milhares 7 2 2 2 16" xfId="20596" xr:uid="{00000000-0005-0000-0000-0000AD5A0000}"/>
    <cellStyle name="Separador de milhares 7 2 2 2 16 2" xfId="20597" xr:uid="{00000000-0005-0000-0000-0000AE5A0000}"/>
    <cellStyle name="Separador de milhares 7 2 2 2 16 2 2" xfId="29490" xr:uid="{79449649-2FBF-4A86-93AE-46BACF26AB1C}"/>
    <cellStyle name="Separador de milhares 7 2 2 2 16 3" xfId="29489" xr:uid="{6A1ABBD3-8472-4264-B591-47DBADAFD8E8}"/>
    <cellStyle name="Separador de milhares 7 2 2 2 17" xfId="20598" xr:uid="{00000000-0005-0000-0000-0000AF5A0000}"/>
    <cellStyle name="Separador de milhares 7 2 2 2 17 2" xfId="20599" xr:uid="{00000000-0005-0000-0000-0000B05A0000}"/>
    <cellStyle name="Separador de milhares 7 2 2 2 17 2 2" xfId="29492" xr:uid="{D9A844B2-0302-4ED1-9E40-5E0B5756E7C7}"/>
    <cellStyle name="Separador de milhares 7 2 2 2 17 3" xfId="29491" xr:uid="{3718CB42-F4EE-4A45-8F3F-450FEC07951B}"/>
    <cellStyle name="Separador de milhares 7 2 2 2 18" xfId="20600" xr:uid="{00000000-0005-0000-0000-0000B15A0000}"/>
    <cellStyle name="Separador de milhares 7 2 2 2 18 2" xfId="20601" xr:uid="{00000000-0005-0000-0000-0000B25A0000}"/>
    <cellStyle name="Separador de milhares 7 2 2 2 18 2 2" xfId="29494" xr:uid="{5AF2332A-9C96-4F35-AF0E-8701A990EFD4}"/>
    <cellStyle name="Separador de milhares 7 2 2 2 18 3" xfId="29493" xr:uid="{A5728894-1711-4D54-AEF0-98921F2FBDF4}"/>
    <cellStyle name="Separador de milhares 7 2 2 2 19" xfId="20602" xr:uid="{00000000-0005-0000-0000-0000B35A0000}"/>
    <cellStyle name="Separador de milhares 7 2 2 2 19 2" xfId="20603" xr:uid="{00000000-0005-0000-0000-0000B45A0000}"/>
    <cellStyle name="Separador de milhares 7 2 2 2 19 2 2" xfId="29496" xr:uid="{A8C3CF56-641C-4480-9BB6-A960D18D93F7}"/>
    <cellStyle name="Separador de milhares 7 2 2 2 19 3" xfId="29495" xr:uid="{FE923E02-954A-4DD2-B697-BDE82DDEAFF9}"/>
    <cellStyle name="Separador de milhares 7 2 2 2 2" xfId="836" xr:uid="{00000000-0005-0000-0000-0000B55A0000}"/>
    <cellStyle name="Separador de milhares 7 2 2 2 2 2" xfId="20605" xr:uid="{00000000-0005-0000-0000-0000B65A0000}"/>
    <cellStyle name="Separador de milhares 7 2 2 2 2 2 2" xfId="29498" xr:uid="{BDBBE06E-EF46-4E7C-B46A-BE97A453435C}"/>
    <cellStyle name="Separador de milhares 7 2 2 2 2 3" xfId="20604" xr:uid="{00000000-0005-0000-0000-0000B75A0000}"/>
    <cellStyle name="Separador de milhares 7 2 2 2 2 3 2" xfId="29497" xr:uid="{D0D504C0-E95A-4C1F-9DED-872FF5755CD4}"/>
    <cellStyle name="Separador de milhares 7 2 2 2 2 4" xfId="28068" xr:uid="{4D51CC19-1188-49BD-8CE1-98E2B979DA41}"/>
    <cellStyle name="Separador de milhares 7 2 2 2 20" xfId="20606" xr:uid="{00000000-0005-0000-0000-0000B85A0000}"/>
    <cellStyle name="Separador de milhares 7 2 2 2 20 2" xfId="20607" xr:uid="{00000000-0005-0000-0000-0000B95A0000}"/>
    <cellStyle name="Separador de milhares 7 2 2 2 20 2 2" xfId="29500" xr:uid="{BBC64D5A-009C-4D48-A022-95C3105D8821}"/>
    <cellStyle name="Separador de milhares 7 2 2 2 20 3" xfId="29499" xr:uid="{E147D5FA-45EE-493C-AA4A-82FD37E2CFBA}"/>
    <cellStyle name="Separador de milhares 7 2 2 2 21" xfId="20608" xr:uid="{00000000-0005-0000-0000-0000BA5A0000}"/>
    <cellStyle name="Separador de milhares 7 2 2 2 21 2" xfId="20609" xr:uid="{00000000-0005-0000-0000-0000BB5A0000}"/>
    <cellStyle name="Separador de milhares 7 2 2 2 21 2 2" xfId="29502" xr:uid="{2C3D13AA-F42F-4326-A620-07AA7CA57958}"/>
    <cellStyle name="Separador de milhares 7 2 2 2 21 3" xfId="29501" xr:uid="{5E16CB43-9E66-4B6F-A11A-353FC79EDA5A}"/>
    <cellStyle name="Separador de milhares 7 2 2 2 22" xfId="20610" xr:uid="{00000000-0005-0000-0000-0000BC5A0000}"/>
    <cellStyle name="Separador de milhares 7 2 2 2 22 2" xfId="20611" xr:uid="{00000000-0005-0000-0000-0000BD5A0000}"/>
    <cellStyle name="Separador de milhares 7 2 2 2 22 2 2" xfId="29504" xr:uid="{C2ABC3BF-AF35-4C87-A302-5AD740156AE7}"/>
    <cellStyle name="Separador de milhares 7 2 2 2 22 3" xfId="29503" xr:uid="{04371E38-1599-4A00-8B5D-E83845220657}"/>
    <cellStyle name="Separador de milhares 7 2 2 2 23" xfId="20612" xr:uid="{00000000-0005-0000-0000-0000BE5A0000}"/>
    <cellStyle name="Separador de milhares 7 2 2 2 23 2" xfId="20613" xr:uid="{00000000-0005-0000-0000-0000BF5A0000}"/>
    <cellStyle name="Separador de milhares 7 2 2 2 23 2 2" xfId="29506" xr:uid="{D8D5977B-F656-4762-BEF1-9E32884F520D}"/>
    <cellStyle name="Separador de milhares 7 2 2 2 23 3" xfId="29505" xr:uid="{01ADF64E-26C1-4655-9BF4-38B94E1D704D}"/>
    <cellStyle name="Separador de milhares 7 2 2 2 24" xfId="20614" xr:uid="{00000000-0005-0000-0000-0000C05A0000}"/>
    <cellStyle name="Separador de milhares 7 2 2 2 24 2" xfId="20615" xr:uid="{00000000-0005-0000-0000-0000C15A0000}"/>
    <cellStyle name="Separador de milhares 7 2 2 2 24 2 2" xfId="29508" xr:uid="{54DE97F2-ABE0-46FE-9030-4D990360D465}"/>
    <cellStyle name="Separador de milhares 7 2 2 2 24 3" xfId="29507" xr:uid="{396788F3-D5F9-4A8B-ADBB-4E975C404DBE}"/>
    <cellStyle name="Separador de milhares 7 2 2 2 25" xfId="20616" xr:uid="{00000000-0005-0000-0000-0000C25A0000}"/>
    <cellStyle name="Separador de milhares 7 2 2 2 25 2" xfId="20617" xr:uid="{00000000-0005-0000-0000-0000C35A0000}"/>
    <cellStyle name="Separador de milhares 7 2 2 2 25 2 2" xfId="29510" xr:uid="{DA2416AA-BF7A-4F63-9EEC-6C719A5C65C9}"/>
    <cellStyle name="Separador de milhares 7 2 2 2 25 3" xfId="29509" xr:uid="{78DD864F-23B1-4645-9002-FF799FF42858}"/>
    <cellStyle name="Separador de milhares 7 2 2 2 26" xfId="20618" xr:uid="{00000000-0005-0000-0000-0000C45A0000}"/>
    <cellStyle name="Separador de milhares 7 2 2 2 26 2" xfId="20619" xr:uid="{00000000-0005-0000-0000-0000C55A0000}"/>
    <cellStyle name="Separador de milhares 7 2 2 2 26 2 2" xfId="29512" xr:uid="{06228436-1CAF-40B0-928D-58F58F6E97A0}"/>
    <cellStyle name="Separador de milhares 7 2 2 2 26 3" xfId="29511" xr:uid="{EC9116B4-1118-4C2D-A92B-C5948CFC9175}"/>
    <cellStyle name="Separador de milhares 7 2 2 2 27" xfId="20620" xr:uid="{00000000-0005-0000-0000-0000C65A0000}"/>
    <cellStyle name="Separador de milhares 7 2 2 2 27 2" xfId="20621" xr:uid="{00000000-0005-0000-0000-0000C75A0000}"/>
    <cellStyle name="Separador de milhares 7 2 2 2 27 2 2" xfId="29514" xr:uid="{21F4F9B6-5FBA-4B9C-9286-58D1FA5C0ECF}"/>
    <cellStyle name="Separador de milhares 7 2 2 2 27 3" xfId="29513" xr:uid="{2B7AC0CE-49FE-4516-AB9D-7D530B2B977D}"/>
    <cellStyle name="Separador de milhares 7 2 2 2 28" xfId="20622" xr:uid="{00000000-0005-0000-0000-0000C85A0000}"/>
    <cellStyle name="Separador de milhares 7 2 2 2 28 2" xfId="20623" xr:uid="{00000000-0005-0000-0000-0000C95A0000}"/>
    <cellStyle name="Separador de milhares 7 2 2 2 28 2 2" xfId="29516" xr:uid="{24C50EA9-AFD0-4239-B24B-7AC2B8209879}"/>
    <cellStyle name="Separador de milhares 7 2 2 2 28 3" xfId="29515" xr:uid="{7CF6E331-2FD0-4F52-9DF4-C08A739109CE}"/>
    <cellStyle name="Separador de milhares 7 2 2 2 29" xfId="20624" xr:uid="{00000000-0005-0000-0000-0000CA5A0000}"/>
    <cellStyle name="Separador de milhares 7 2 2 2 29 2" xfId="20625" xr:uid="{00000000-0005-0000-0000-0000CB5A0000}"/>
    <cellStyle name="Separador de milhares 7 2 2 2 29 2 2" xfId="29518" xr:uid="{0010B176-65DA-41BA-8A2C-70B5399A86D8}"/>
    <cellStyle name="Separador de milhares 7 2 2 2 29 3" xfId="29517" xr:uid="{1C6EF773-4807-4FBF-BA41-6B2A62B7028C}"/>
    <cellStyle name="Separador de milhares 7 2 2 2 3" xfId="20626" xr:uid="{00000000-0005-0000-0000-0000CC5A0000}"/>
    <cellStyle name="Separador de milhares 7 2 2 2 3 2" xfId="20627" xr:uid="{00000000-0005-0000-0000-0000CD5A0000}"/>
    <cellStyle name="Separador de milhares 7 2 2 2 3 2 2" xfId="29520" xr:uid="{C03DC98C-389D-4C45-9845-98D8ECB54FFC}"/>
    <cellStyle name="Separador de milhares 7 2 2 2 3 3" xfId="29519" xr:uid="{170EE115-EA4F-40C1-BD96-472718BA525A}"/>
    <cellStyle name="Separador de milhares 7 2 2 2 30" xfId="20628" xr:uid="{00000000-0005-0000-0000-0000CE5A0000}"/>
    <cellStyle name="Separador de milhares 7 2 2 2 30 2" xfId="20629" xr:uid="{00000000-0005-0000-0000-0000CF5A0000}"/>
    <cellStyle name="Separador de milhares 7 2 2 2 30 2 2" xfId="29522" xr:uid="{D203A267-89CD-41C5-BA42-69F686216E0F}"/>
    <cellStyle name="Separador de milhares 7 2 2 2 30 3" xfId="29521" xr:uid="{C4D99FC3-A346-42D9-8CA3-20B2DF7F669E}"/>
    <cellStyle name="Separador de milhares 7 2 2 2 31" xfId="20630" xr:uid="{00000000-0005-0000-0000-0000D05A0000}"/>
    <cellStyle name="Separador de milhares 7 2 2 2 31 2" xfId="20631" xr:uid="{00000000-0005-0000-0000-0000D15A0000}"/>
    <cellStyle name="Separador de milhares 7 2 2 2 31 2 2" xfId="29524" xr:uid="{63D0BDBD-A35E-42C8-8B99-E3B1A079CD20}"/>
    <cellStyle name="Separador de milhares 7 2 2 2 31 3" xfId="29523" xr:uid="{9E69B4A3-643D-426B-A790-8D61697C5661}"/>
    <cellStyle name="Separador de milhares 7 2 2 2 32" xfId="20632" xr:uid="{00000000-0005-0000-0000-0000D25A0000}"/>
    <cellStyle name="Separador de milhares 7 2 2 2 32 2" xfId="20633" xr:uid="{00000000-0005-0000-0000-0000D35A0000}"/>
    <cellStyle name="Separador de milhares 7 2 2 2 32 2 2" xfId="29526" xr:uid="{ED1516D4-1A87-4D97-9B92-892E9944DFEC}"/>
    <cellStyle name="Separador de milhares 7 2 2 2 32 3" xfId="29525" xr:uid="{ABC33D03-CD2C-4957-A388-D07FAB436847}"/>
    <cellStyle name="Separador de milhares 7 2 2 2 33" xfId="20634" xr:uid="{00000000-0005-0000-0000-0000D45A0000}"/>
    <cellStyle name="Separador de milhares 7 2 2 2 33 2" xfId="20635" xr:uid="{00000000-0005-0000-0000-0000D55A0000}"/>
    <cellStyle name="Separador de milhares 7 2 2 2 33 2 2" xfId="29528" xr:uid="{170EF305-8FCF-468D-8509-686EDEEC47DF}"/>
    <cellStyle name="Separador de milhares 7 2 2 2 33 3" xfId="29527" xr:uid="{39F253FE-CBDF-428E-A4E8-147FBBDF1B14}"/>
    <cellStyle name="Separador de milhares 7 2 2 2 34" xfId="20636" xr:uid="{00000000-0005-0000-0000-0000D65A0000}"/>
    <cellStyle name="Separador de milhares 7 2 2 2 34 2" xfId="20637" xr:uid="{00000000-0005-0000-0000-0000D75A0000}"/>
    <cellStyle name="Separador de milhares 7 2 2 2 34 2 2" xfId="29530" xr:uid="{09308B66-D0AE-44F8-B7DD-1FC197F77E3F}"/>
    <cellStyle name="Separador de milhares 7 2 2 2 34 3" xfId="29529" xr:uid="{A0A0C29C-EB29-4585-BA1D-01CA8B4962D8}"/>
    <cellStyle name="Separador de milhares 7 2 2 2 35" xfId="20638" xr:uid="{00000000-0005-0000-0000-0000D85A0000}"/>
    <cellStyle name="Separador de milhares 7 2 2 2 35 2" xfId="29531" xr:uid="{4AFA09A9-2509-45C5-A123-C4163D50308A}"/>
    <cellStyle name="Separador de milhares 7 2 2 2 36" xfId="20583" xr:uid="{00000000-0005-0000-0000-0000D95A0000}"/>
    <cellStyle name="Separador de milhares 7 2 2 2 37" xfId="28067" xr:uid="{408C0CCA-570D-45C6-87B8-E92156D8BB83}"/>
    <cellStyle name="Separador de milhares 7 2 2 2 4" xfId="20639" xr:uid="{00000000-0005-0000-0000-0000DA5A0000}"/>
    <cellStyle name="Separador de milhares 7 2 2 2 4 2" xfId="20640" xr:uid="{00000000-0005-0000-0000-0000DB5A0000}"/>
    <cellStyle name="Separador de milhares 7 2 2 2 4 2 2" xfId="29533" xr:uid="{8EC8FA9A-5A54-4DDA-9DE5-8D868B064E58}"/>
    <cellStyle name="Separador de milhares 7 2 2 2 4 3" xfId="29532" xr:uid="{4C8EA855-6284-4F55-87CA-002FD72BA665}"/>
    <cellStyle name="Separador de milhares 7 2 2 2 5" xfId="20641" xr:uid="{00000000-0005-0000-0000-0000DC5A0000}"/>
    <cellStyle name="Separador de milhares 7 2 2 2 5 2" xfId="20642" xr:uid="{00000000-0005-0000-0000-0000DD5A0000}"/>
    <cellStyle name="Separador de milhares 7 2 2 2 5 2 2" xfId="29535" xr:uid="{F449ED88-2FA5-4444-B7A7-A979F47BE7E2}"/>
    <cellStyle name="Separador de milhares 7 2 2 2 5 3" xfId="29534" xr:uid="{7F3AE1E0-93A8-4D64-8061-6D96C453880B}"/>
    <cellStyle name="Separador de milhares 7 2 2 2 6" xfId="20643" xr:uid="{00000000-0005-0000-0000-0000DE5A0000}"/>
    <cellStyle name="Separador de milhares 7 2 2 2 6 2" xfId="20644" xr:uid="{00000000-0005-0000-0000-0000DF5A0000}"/>
    <cellStyle name="Separador de milhares 7 2 2 2 6 2 2" xfId="29537" xr:uid="{25133A72-A3A6-4595-884E-D6955FB655E8}"/>
    <cellStyle name="Separador de milhares 7 2 2 2 6 3" xfId="29536" xr:uid="{07E58004-B752-478D-BF55-DFD5DF6A7414}"/>
    <cellStyle name="Separador de milhares 7 2 2 2 7" xfId="20645" xr:uid="{00000000-0005-0000-0000-0000E05A0000}"/>
    <cellStyle name="Separador de milhares 7 2 2 2 7 2" xfId="20646" xr:uid="{00000000-0005-0000-0000-0000E15A0000}"/>
    <cellStyle name="Separador de milhares 7 2 2 2 7 2 2" xfId="29539" xr:uid="{DBDB96E2-DC82-4C6B-9585-391E349C9BB7}"/>
    <cellStyle name="Separador de milhares 7 2 2 2 7 3" xfId="29538" xr:uid="{4A4FC1D8-EBC3-4DC3-89A1-2C501172C8A5}"/>
    <cellStyle name="Separador de milhares 7 2 2 2 8" xfId="20647" xr:uid="{00000000-0005-0000-0000-0000E25A0000}"/>
    <cellStyle name="Separador de milhares 7 2 2 2 8 2" xfId="20648" xr:uid="{00000000-0005-0000-0000-0000E35A0000}"/>
    <cellStyle name="Separador de milhares 7 2 2 2 8 2 2" xfId="29541" xr:uid="{E30E344F-BD42-461A-A962-6A9EDE0ADCB9}"/>
    <cellStyle name="Separador de milhares 7 2 2 2 8 3" xfId="29540" xr:uid="{F671E507-0F95-4DD8-B3C9-7C1F6F9AC9C9}"/>
    <cellStyle name="Separador de milhares 7 2 2 2 9" xfId="20649" xr:uid="{00000000-0005-0000-0000-0000E45A0000}"/>
    <cellStyle name="Separador de milhares 7 2 2 2 9 2" xfId="20650" xr:uid="{00000000-0005-0000-0000-0000E55A0000}"/>
    <cellStyle name="Separador de milhares 7 2 2 2 9 2 2" xfId="29543" xr:uid="{B2D3193E-2B22-4750-9973-8BBC643C68EC}"/>
    <cellStyle name="Separador de milhares 7 2 2 2 9 3" xfId="29542" xr:uid="{CD72AF53-8651-470A-8C90-234561F5D431}"/>
    <cellStyle name="Separador de milhares 7 2 2 20" xfId="20651" xr:uid="{00000000-0005-0000-0000-0000E65A0000}"/>
    <cellStyle name="Separador de milhares 7 2 2 20 2" xfId="20652" xr:uid="{00000000-0005-0000-0000-0000E75A0000}"/>
    <cellStyle name="Separador de milhares 7 2 2 20 2 2" xfId="29545" xr:uid="{802354B8-125C-493A-92C9-B7455836C1B0}"/>
    <cellStyle name="Separador de milhares 7 2 2 20 3" xfId="29544" xr:uid="{E08E170C-6D4D-43FC-A5BB-46CC18F88BF2}"/>
    <cellStyle name="Separador de milhares 7 2 2 21" xfId="20653" xr:uid="{00000000-0005-0000-0000-0000E85A0000}"/>
    <cellStyle name="Separador de milhares 7 2 2 21 2" xfId="20654" xr:uid="{00000000-0005-0000-0000-0000E95A0000}"/>
    <cellStyle name="Separador de milhares 7 2 2 21 2 2" xfId="29547" xr:uid="{B0A63E7F-B6A4-417A-BD4B-CBB79C63DBF5}"/>
    <cellStyle name="Separador de milhares 7 2 2 21 3" xfId="29546" xr:uid="{8E5F9BAB-5797-4F97-82FC-EAE20D9A48F6}"/>
    <cellStyle name="Separador de milhares 7 2 2 22" xfId="20655" xr:uid="{00000000-0005-0000-0000-0000EA5A0000}"/>
    <cellStyle name="Separador de milhares 7 2 2 22 2" xfId="20656" xr:uid="{00000000-0005-0000-0000-0000EB5A0000}"/>
    <cellStyle name="Separador de milhares 7 2 2 22 2 2" xfId="29549" xr:uid="{4B01DF22-B1DE-47F0-84FF-FD32792ED04F}"/>
    <cellStyle name="Separador de milhares 7 2 2 22 3" xfId="29548" xr:uid="{39A5AFAF-92D0-4249-913F-3DB675EB3464}"/>
    <cellStyle name="Separador de milhares 7 2 2 23" xfId="20657" xr:uid="{00000000-0005-0000-0000-0000EC5A0000}"/>
    <cellStyle name="Separador de milhares 7 2 2 23 2" xfId="20658" xr:uid="{00000000-0005-0000-0000-0000ED5A0000}"/>
    <cellStyle name="Separador de milhares 7 2 2 23 2 2" xfId="29551" xr:uid="{76C7B10F-8489-43E2-88EF-8B0298C4FC67}"/>
    <cellStyle name="Separador de milhares 7 2 2 23 3" xfId="29550" xr:uid="{48E16431-7B66-4571-BF5B-929A12EA15DB}"/>
    <cellStyle name="Separador de milhares 7 2 2 24" xfId="20659" xr:uid="{00000000-0005-0000-0000-0000EE5A0000}"/>
    <cellStyle name="Separador de milhares 7 2 2 24 2" xfId="20660" xr:uid="{00000000-0005-0000-0000-0000EF5A0000}"/>
    <cellStyle name="Separador de milhares 7 2 2 24 2 2" xfId="29553" xr:uid="{BB6A421E-9E69-4EBF-9BE5-A4DC96B30866}"/>
    <cellStyle name="Separador de milhares 7 2 2 24 3" xfId="29552" xr:uid="{E79C9A8C-C17E-4591-B47C-EC40801D0131}"/>
    <cellStyle name="Separador de milhares 7 2 2 25" xfId="20661" xr:uid="{00000000-0005-0000-0000-0000F05A0000}"/>
    <cellStyle name="Separador de milhares 7 2 2 25 2" xfId="20662" xr:uid="{00000000-0005-0000-0000-0000F15A0000}"/>
    <cellStyle name="Separador de milhares 7 2 2 25 2 2" xfId="29555" xr:uid="{85E59788-405F-45B7-91F6-50B5A35972CE}"/>
    <cellStyle name="Separador de milhares 7 2 2 25 3" xfId="29554" xr:uid="{1752966B-960A-4964-AC8E-0508BF123C44}"/>
    <cellStyle name="Separador de milhares 7 2 2 26" xfId="20663" xr:uid="{00000000-0005-0000-0000-0000F25A0000}"/>
    <cellStyle name="Separador de milhares 7 2 2 26 2" xfId="20664" xr:uid="{00000000-0005-0000-0000-0000F35A0000}"/>
    <cellStyle name="Separador de milhares 7 2 2 26 2 2" xfId="29557" xr:uid="{4A10D0E1-880D-479A-89BC-69DE2603CAFE}"/>
    <cellStyle name="Separador de milhares 7 2 2 26 3" xfId="29556" xr:uid="{30E52D7B-D7E9-4370-AB20-C205C483C512}"/>
    <cellStyle name="Separador de milhares 7 2 2 27" xfId="20665" xr:uid="{00000000-0005-0000-0000-0000F45A0000}"/>
    <cellStyle name="Separador de milhares 7 2 2 27 2" xfId="20666" xr:uid="{00000000-0005-0000-0000-0000F55A0000}"/>
    <cellStyle name="Separador de milhares 7 2 2 27 2 2" xfId="29559" xr:uid="{802BB717-A967-471A-9071-96773E1C17D7}"/>
    <cellStyle name="Separador de milhares 7 2 2 27 3" xfId="29558" xr:uid="{4093D0CC-B831-443D-B6FC-FF560246C9C1}"/>
    <cellStyle name="Separador de milhares 7 2 2 28" xfId="20667" xr:uid="{00000000-0005-0000-0000-0000F65A0000}"/>
    <cellStyle name="Separador de milhares 7 2 2 28 2" xfId="20668" xr:uid="{00000000-0005-0000-0000-0000F75A0000}"/>
    <cellStyle name="Separador de milhares 7 2 2 28 2 2" xfId="29561" xr:uid="{136D437E-6E10-4F5E-8700-13DC2C85C4EE}"/>
    <cellStyle name="Separador de milhares 7 2 2 28 3" xfId="29560" xr:uid="{12D4766A-91AE-45A2-B473-ECC9DCB3C46A}"/>
    <cellStyle name="Separador de milhares 7 2 2 29" xfId="20669" xr:uid="{00000000-0005-0000-0000-0000F85A0000}"/>
    <cellStyle name="Separador de milhares 7 2 2 29 2" xfId="20670" xr:uid="{00000000-0005-0000-0000-0000F95A0000}"/>
    <cellStyle name="Separador de milhares 7 2 2 29 2 2" xfId="29563" xr:uid="{11196A09-17F6-4849-8A9F-53EDB399BAAE}"/>
    <cellStyle name="Separador de milhares 7 2 2 29 3" xfId="29562" xr:uid="{C2734B7E-AD44-4F89-9BA1-13069A6C7C6C}"/>
    <cellStyle name="Separador de milhares 7 2 2 3" xfId="837" xr:uid="{00000000-0005-0000-0000-0000FA5A0000}"/>
    <cellStyle name="Separador de milhares 7 2 2 3 10" xfId="20672" xr:uid="{00000000-0005-0000-0000-0000FB5A0000}"/>
    <cellStyle name="Separador de milhares 7 2 2 3 10 2" xfId="20673" xr:uid="{00000000-0005-0000-0000-0000FC5A0000}"/>
    <cellStyle name="Separador de milhares 7 2 2 3 10 2 2" xfId="29565" xr:uid="{A44C76E4-ADF9-48F4-88E9-C9CA71147AA6}"/>
    <cellStyle name="Separador de milhares 7 2 2 3 10 3" xfId="29564" xr:uid="{CEC68B47-28AC-4764-8144-117F1AC85AB4}"/>
    <cellStyle name="Separador de milhares 7 2 2 3 11" xfId="20674" xr:uid="{00000000-0005-0000-0000-0000FD5A0000}"/>
    <cellStyle name="Separador de milhares 7 2 2 3 11 2" xfId="20675" xr:uid="{00000000-0005-0000-0000-0000FE5A0000}"/>
    <cellStyle name="Separador de milhares 7 2 2 3 11 2 2" xfId="29567" xr:uid="{A8BA6E3A-4D7A-4BB7-A89E-ABB567753E23}"/>
    <cellStyle name="Separador de milhares 7 2 2 3 11 3" xfId="29566" xr:uid="{CD12E5FB-6074-4210-98C9-BBA6F03CE347}"/>
    <cellStyle name="Separador de milhares 7 2 2 3 12" xfId="20676" xr:uid="{00000000-0005-0000-0000-0000FF5A0000}"/>
    <cellStyle name="Separador de milhares 7 2 2 3 12 2" xfId="20677" xr:uid="{00000000-0005-0000-0000-0000005B0000}"/>
    <cellStyle name="Separador de milhares 7 2 2 3 12 2 2" xfId="29569" xr:uid="{CD8AE262-198D-40BF-9C61-0E2C4E38DD69}"/>
    <cellStyle name="Separador de milhares 7 2 2 3 12 3" xfId="29568" xr:uid="{679E2E48-0560-4976-A790-74648BC6AC90}"/>
    <cellStyle name="Separador de milhares 7 2 2 3 13" xfId="20678" xr:uid="{00000000-0005-0000-0000-0000015B0000}"/>
    <cellStyle name="Separador de milhares 7 2 2 3 13 2" xfId="20679" xr:uid="{00000000-0005-0000-0000-0000025B0000}"/>
    <cellStyle name="Separador de milhares 7 2 2 3 13 2 2" xfId="29571" xr:uid="{45962A7C-9783-4C5C-BD80-CD96D0D665E7}"/>
    <cellStyle name="Separador de milhares 7 2 2 3 13 3" xfId="29570" xr:uid="{581DD10E-472D-45DB-B1E5-41DC199B3AC2}"/>
    <cellStyle name="Separador de milhares 7 2 2 3 14" xfId="20680" xr:uid="{00000000-0005-0000-0000-0000035B0000}"/>
    <cellStyle name="Separador de milhares 7 2 2 3 14 2" xfId="20681" xr:uid="{00000000-0005-0000-0000-0000045B0000}"/>
    <cellStyle name="Separador de milhares 7 2 2 3 14 2 2" xfId="29573" xr:uid="{9D0DAA37-110C-4594-BAA4-41B4351D055C}"/>
    <cellStyle name="Separador de milhares 7 2 2 3 14 3" xfId="29572" xr:uid="{B209265A-E87F-49A7-AD6C-0CC13EE48D77}"/>
    <cellStyle name="Separador de milhares 7 2 2 3 15" xfId="20682" xr:uid="{00000000-0005-0000-0000-0000055B0000}"/>
    <cellStyle name="Separador de milhares 7 2 2 3 15 2" xfId="20683" xr:uid="{00000000-0005-0000-0000-0000065B0000}"/>
    <cellStyle name="Separador de milhares 7 2 2 3 15 2 2" xfId="29575" xr:uid="{9C97C702-F579-43AD-80AB-67C339FC3D46}"/>
    <cellStyle name="Separador de milhares 7 2 2 3 15 3" xfId="29574" xr:uid="{917E8B6A-721C-44BF-AD02-057016A75DF4}"/>
    <cellStyle name="Separador de milhares 7 2 2 3 16" xfId="20684" xr:uid="{00000000-0005-0000-0000-0000075B0000}"/>
    <cellStyle name="Separador de milhares 7 2 2 3 16 2" xfId="20685" xr:uid="{00000000-0005-0000-0000-0000085B0000}"/>
    <cellStyle name="Separador de milhares 7 2 2 3 16 2 2" xfId="29577" xr:uid="{98137865-132F-4CCA-808F-D987C0D5F821}"/>
    <cellStyle name="Separador de milhares 7 2 2 3 16 3" xfId="29576" xr:uid="{4259BE1A-0C08-47CC-97CE-57AF5937D9EA}"/>
    <cellStyle name="Separador de milhares 7 2 2 3 17" xfId="20686" xr:uid="{00000000-0005-0000-0000-0000095B0000}"/>
    <cellStyle name="Separador de milhares 7 2 2 3 17 2" xfId="20687" xr:uid="{00000000-0005-0000-0000-00000A5B0000}"/>
    <cellStyle name="Separador de milhares 7 2 2 3 17 2 2" xfId="29579" xr:uid="{CBB80C31-F2FC-4A18-ACAE-F3A002D22224}"/>
    <cellStyle name="Separador de milhares 7 2 2 3 17 3" xfId="29578" xr:uid="{7016E39E-607A-4FEB-9898-EC07AD0A18E4}"/>
    <cellStyle name="Separador de milhares 7 2 2 3 18" xfId="20688" xr:uid="{00000000-0005-0000-0000-00000B5B0000}"/>
    <cellStyle name="Separador de milhares 7 2 2 3 18 2" xfId="20689" xr:uid="{00000000-0005-0000-0000-00000C5B0000}"/>
    <cellStyle name="Separador de milhares 7 2 2 3 18 2 2" xfId="29581" xr:uid="{63EF096A-E3E0-4C95-831E-11B322528485}"/>
    <cellStyle name="Separador de milhares 7 2 2 3 18 3" xfId="29580" xr:uid="{B2059F1F-062C-46BE-AFFB-B352C693BF87}"/>
    <cellStyle name="Separador de milhares 7 2 2 3 19" xfId="20690" xr:uid="{00000000-0005-0000-0000-00000D5B0000}"/>
    <cellStyle name="Separador de milhares 7 2 2 3 19 2" xfId="20691" xr:uid="{00000000-0005-0000-0000-00000E5B0000}"/>
    <cellStyle name="Separador de milhares 7 2 2 3 19 2 2" xfId="29583" xr:uid="{4579A5C6-4432-4E7A-BA95-5215BD3C70FE}"/>
    <cellStyle name="Separador de milhares 7 2 2 3 19 3" xfId="29582" xr:uid="{117E12F3-B84D-4D4B-85B5-CC13545EC423}"/>
    <cellStyle name="Separador de milhares 7 2 2 3 2" xfId="20692" xr:uid="{00000000-0005-0000-0000-00000F5B0000}"/>
    <cellStyle name="Separador de milhares 7 2 2 3 2 2" xfId="20693" xr:uid="{00000000-0005-0000-0000-0000105B0000}"/>
    <cellStyle name="Separador de milhares 7 2 2 3 2 2 2" xfId="29585" xr:uid="{C601658D-7F69-4664-B092-B97A26750E18}"/>
    <cellStyle name="Separador de milhares 7 2 2 3 2 3" xfId="29584" xr:uid="{CC7B722F-46BE-4A82-95B6-F27F7E6A1B7A}"/>
    <cellStyle name="Separador de milhares 7 2 2 3 20" xfId="20694" xr:uid="{00000000-0005-0000-0000-0000115B0000}"/>
    <cellStyle name="Separador de milhares 7 2 2 3 20 2" xfId="20695" xr:uid="{00000000-0005-0000-0000-0000125B0000}"/>
    <cellStyle name="Separador de milhares 7 2 2 3 20 2 2" xfId="29587" xr:uid="{C7253DE1-2EB1-4F58-A235-5254623F3E0D}"/>
    <cellStyle name="Separador de milhares 7 2 2 3 20 3" xfId="29586" xr:uid="{A6CB4875-FCD6-444C-B025-F03CC1B485D9}"/>
    <cellStyle name="Separador de milhares 7 2 2 3 21" xfId="20696" xr:uid="{00000000-0005-0000-0000-0000135B0000}"/>
    <cellStyle name="Separador de milhares 7 2 2 3 21 2" xfId="20697" xr:uid="{00000000-0005-0000-0000-0000145B0000}"/>
    <cellStyle name="Separador de milhares 7 2 2 3 21 2 2" xfId="29589" xr:uid="{E1235E97-2E63-4172-ADD4-45F5B6FD5107}"/>
    <cellStyle name="Separador de milhares 7 2 2 3 21 3" xfId="29588" xr:uid="{A15AB0BF-E087-4E9E-8BCC-6AB883AA67C2}"/>
    <cellStyle name="Separador de milhares 7 2 2 3 22" xfId="20698" xr:uid="{00000000-0005-0000-0000-0000155B0000}"/>
    <cellStyle name="Separador de milhares 7 2 2 3 22 2" xfId="20699" xr:uid="{00000000-0005-0000-0000-0000165B0000}"/>
    <cellStyle name="Separador de milhares 7 2 2 3 22 2 2" xfId="29591" xr:uid="{BFEA48C5-633F-4C3D-BA6F-5DDED27D3558}"/>
    <cellStyle name="Separador de milhares 7 2 2 3 22 3" xfId="29590" xr:uid="{18CBBD65-BB82-486F-A617-5A47FEC9A5A4}"/>
    <cellStyle name="Separador de milhares 7 2 2 3 23" xfId="20700" xr:uid="{00000000-0005-0000-0000-0000175B0000}"/>
    <cellStyle name="Separador de milhares 7 2 2 3 23 2" xfId="20701" xr:uid="{00000000-0005-0000-0000-0000185B0000}"/>
    <cellStyle name="Separador de milhares 7 2 2 3 23 2 2" xfId="29593" xr:uid="{1F66DA45-5077-4355-9D38-A09BE064E8D3}"/>
    <cellStyle name="Separador de milhares 7 2 2 3 23 3" xfId="29592" xr:uid="{0A09AD3F-A731-4E0E-B7B5-838917A2971D}"/>
    <cellStyle name="Separador de milhares 7 2 2 3 24" xfId="20702" xr:uid="{00000000-0005-0000-0000-0000195B0000}"/>
    <cellStyle name="Separador de milhares 7 2 2 3 24 2" xfId="20703" xr:uid="{00000000-0005-0000-0000-00001A5B0000}"/>
    <cellStyle name="Separador de milhares 7 2 2 3 24 2 2" xfId="29595" xr:uid="{343F120F-CFCE-4684-AF25-98977ED079F8}"/>
    <cellStyle name="Separador de milhares 7 2 2 3 24 3" xfId="29594" xr:uid="{6420CFD0-933A-4623-AD43-A8E223E05672}"/>
    <cellStyle name="Separador de milhares 7 2 2 3 25" xfId="20704" xr:uid="{00000000-0005-0000-0000-00001B5B0000}"/>
    <cellStyle name="Separador de milhares 7 2 2 3 25 2" xfId="20705" xr:uid="{00000000-0005-0000-0000-00001C5B0000}"/>
    <cellStyle name="Separador de milhares 7 2 2 3 25 2 2" xfId="29597" xr:uid="{662F2FEF-3D63-4BA3-9981-D2F52CB6198F}"/>
    <cellStyle name="Separador de milhares 7 2 2 3 25 3" xfId="29596" xr:uid="{BDFFFDB2-B9E6-4F79-9C75-53FEE1FC3D5B}"/>
    <cellStyle name="Separador de milhares 7 2 2 3 26" xfId="20706" xr:uid="{00000000-0005-0000-0000-00001D5B0000}"/>
    <cellStyle name="Separador de milhares 7 2 2 3 26 2" xfId="20707" xr:uid="{00000000-0005-0000-0000-00001E5B0000}"/>
    <cellStyle name="Separador de milhares 7 2 2 3 26 2 2" xfId="29599" xr:uid="{DE3AEBC1-2C05-4083-ACF0-FDD542504121}"/>
    <cellStyle name="Separador de milhares 7 2 2 3 26 3" xfId="29598" xr:uid="{0AEC99D9-C91D-40A8-A959-3E8604A7A01B}"/>
    <cellStyle name="Separador de milhares 7 2 2 3 27" xfId="20708" xr:uid="{00000000-0005-0000-0000-00001F5B0000}"/>
    <cellStyle name="Separador de milhares 7 2 2 3 27 2" xfId="20709" xr:uid="{00000000-0005-0000-0000-0000205B0000}"/>
    <cellStyle name="Separador de milhares 7 2 2 3 27 2 2" xfId="29601" xr:uid="{B301A686-26F1-4BDA-B20D-02410211999C}"/>
    <cellStyle name="Separador de milhares 7 2 2 3 27 3" xfId="29600" xr:uid="{C4ACA983-54E5-405D-9905-AB3C629855BD}"/>
    <cellStyle name="Separador de milhares 7 2 2 3 28" xfId="20710" xr:uid="{00000000-0005-0000-0000-0000215B0000}"/>
    <cellStyle name="Separador de milhares 7 2 2 3 28 2" xfId="20711" xr:uid="{00000000-0005-0000-0000-0000225B0000}"/>
    <cellStyle name="Separador de milhares 7 2 2 3 28 2 2" xfId="29603" xr:uid="{0D1BE83C-7E29-4C8F-925C-A4ECC2CBD4B4}"/>
    <cellStyle name="Separador de milhares 7 2 2 3 28 3" xfId="29602" xr:uid="{653151E3-7DDB-4F55-BB8C-D2B6ED998E85}"/>
    <cellStyle name="Separador de milhares 7 2 2 3 29" xfId="20712" xr:uid="{00000000-0005-0000-0000-0000235B0000}"/>
    <cellStyle name="Separador de milhares 7 2 2 3 29 2" xfId="20713" xr:uid="{00000000-0005-0000-0000-0000245B0000}"/>
    <cellStyle name="Separador de milhares 7 2 2 3 29 2 2" xfId="29605" xr:uid="{DA14EE83-5914-456C-B441-1E3C1FAAFB54}"/>
    <cellStyle name="Separador de milhares 7 2 2 3 29 3" xfId="29604" xr:uid="{0A0EDB0D-E66A-4E42-80A4-22D3BCF5C335}"/>
    <cellStyle name="Separador de milhares 7 2 2 3 3" xfId="20714" xr:uid="{00000000-0005-0000-0000-0000255B0000}"/>
    <cellStyle name="Separador de milhares 7 2 2 3 3 2" xfId="20715" xr:uid="{00000000-0005-0000-0000-0000265B0000}"/>
    <cellStyle name="Separador de milhares 7 2 2 3 3 2 2" xfId="29607" xr:uid="{F9D76A40-8C29-4B0A-9F7E-BC8051587D79}"/>
    <cellStyle name="Separador de milhares 7 2 2 3 3 3" xfId="29606" xr:uid="{C24D80EC-264B-4311-A258-F75C182697FD}"/>
    <cellStyle name="Separador de milhares 7 2 2 3 30" xfId="20716" xr:uid="{00000000-0005-0000-0000-0000275B0000}"/>
    <cellStyle name="Separador de milhares 7 2 2 3 30 2" xfId="20717" xr:uid="{00000000-0005-0000-0000-0000285B0000}"/>
    <cellStyle name="Separador de milhares 7 2 2 3 30 2 2" xfId="29609" xr:uid="{284FF3EA-592B-4684-95F5-8DB6A8BAA62B}"/>
    <cellStyle name="Separador de milhares 7 2 2 3 30 3" xfId="29608" xr:uid="{1B51E278-1193-4C8D-A49F-8781EFA90BE5}"/>
    <cellStyle name="Separador de milhares 7 2 2 3 31" xfId="20718" xr:uid="{00000000-0005-0000-0000-0000295B0000}"/>
    <cellStyle name="Separador de milhares 7 2 2 3 31 2" xfId="20719" xr:uid="{00000000-0005-0000-0000-00002A5B0000}"/>
    <cellStyle name="Separador de milhares 7 2 2 3 31 2 2" xfId="29611" xr:uid="{8E64FD25-29CA-4E2D-92B4-4EA39DB4A3C9}"/>
    <cellStyle name="Separador de milhares 7 2 2 3 31 3" xfId="29610" xr:uid="{EEA319CE-BC46-41DF-840E-65954FCD915D}"/>
    <cellStyle name="Separador de milhares 7 2 2 3 32" xfId="20720" xr:uid="{00000000-0005-0000-0000-00002B5B0000}"/>
    <cellStyle name="Separador de milhares 7 2 2 3 32 2" xfId="20721" xr:uid="{00000000-0005-0000-0000-00002C5B0000}"/>
    <cellStyle name="Separador de milhares 7 2 2 3 32 2 2" xfId="29613" xr:uid="{228900D8-D76C-493C-B120-9FEC786771DE}"/>
    <cellStyle name="Separador de milhares 7 2 2 3 32 3" xfId="29612" xr:uid="{3E9A9249-D8F1-4958-ABAB-3B457561FC70}"/>
    <cellStyle name="Separador de milhares 7 2 2 3 33" xfId="20722" xr:uid="{00000000-0005-0000-0000-00002D5B0000}"/>
    <cellStyle name="Separador de milhares 7 2 2 3 33 2" xfId="20723" xr:uid="{00000000-0005-0000-0000-00002E5B0000}"/>
    <cellStyle name="Separador de milhares 7 2 2 3 33 2 2" xfId="29615" xr:uid="{6D1768A3-B16F-4713-BA14-A219F59B0082}"/>
    <cellStyle name="Separador de milhares 7 2 2 3 33 3" xfId="29614" xr:uid="{363F1BBE-B4AA-47A6-B161-BF4A313408A7}"/>
    <cellStyle name="Separador de milhares 7 2 2 3 34" xfId="20724" xr:uid="{00000000-0005-0000-0000-00002F5B0000}"/>
    <cellStyle name="Separador de milhares 7 2 2 3 34 2" xfId="20725" xr:uid="{00000000-0005-0000-0000-0000305B0000}"/>
    <cellStyle name="Separador de milhares 7 2 2 3 34 2 2" xfId="29617" xr:uid="{365EE205-34E5-4E7D-A01C-9917D9A08A4B}"/>
    <cellStyle name="Separador de milhares 7 2 2 3 34 3" xfId="29616" xr:uid="{348A63B4-6A6B-4182-9E2F-370028D6F1B5}"/>
    <cellStyle name="Separador de milhares 7 2 2 3 35" xfId="20726" xr:uid="{00000000-0005-0000-0000-0000315B0000}"/>
    <cellStyle name="Separador de milhares 7 2 2 3 35 2" xfId="29618" xr:uid="{B3FB2BA7-580E-40D8-BC88-BF10E39A2BE7}"/>
    <cellStyle name="Separador de milhares 7 2 2 3 36" xfId="20671" xr:uid="{00000000-0005-0000-0000-0000325B0000}"/>
    <cellStyle name="Separador de milhares 7 2 2 3 37" xfId="28069" xr:uid="{6FAE5181-D76C-4E88-97E7-8AB786CA15F6}"/>
    <cellStyle name="Separador de milhares 7 2 2 3 4" xfId="20727" xr:uid="{00000000-0005-0000-0000-0000335B0000}"/>
    <cellStyle name="Separador de milhares 7 2 2 3 4 2" xfId="20728" xr:uid="{00000000-0005-0000-0000-0000345B0000}"/>
    <cellStyle name="Separador de milhares 7 2 2 3 4 2 2" xfId="29620" xr:uid="{6D11DAB8-0754-4DC1-A342-1D921E35E584}"/>
    <cellStyle name="Separador de milhares 7 2 2 3 4 3" xfId="29619" xr:uid="{07F27F38-7123-478D-B1CC-CDBC0730C6DE}"/>
    <cellStyle name="Separador de milhares 7 2 2 3 5" xfId="20729" xr:uid="{00000000-0005-0000-0000-0000355B0000}"/>
    <cellStyle name="Separador de milhares 7 2 2 3 5 2" xfId="20730" xr:uid="{00000000-0005-0000-0000-0000365B0000}"/>
    <cellStyle name="Separador de milhares 7 2 2 3 5 2 2" xfId="29622" xr:uid="{61C80D78-C4DB-48B9-9A67-43264F7C942E}"/>
    <cellStyle name="Separador de milhares 7 2 2 3 5 3" xfId="29621" xr:uid="{AE7DA314-AE18-42D2-84C6-57D708B12C42}"/>
    <cellStyle name="Separador de milhares 7 2 2 3 6" xfId="20731" xr:uid="{00000000-0005-0000-0000-0000375B0000}"/>
    <cellStyle name="Separador de milhares 7 2 2 3 6 2" xfId="20732" xr:uid="{00000000-0005-0000-0000-0000385B0000}"/>
    <cellStyle name="Separador de milhares 7 2 2 3 6 2 2" xfId="29624" xr:uid="{7B681631-8746-4525-8012-BD5F683DA001}"/>
    <cellStyle name="Separador de milhares 7 2 2 3 6 3" xfId="29623" xr:uid="{A415519A-BFC4-44CA-BDD3-59BF85462FC7}"/>
    <cellStyle name="Separador de milhares 7 2 2 3 7" xfId="20733" xr:uid="{00000000-0005-0000-0000-0000395B0000}"/>
    <cellStyle name="Separador de milhares 7 2 2 3 7 2" xfId="20734" xr:uid="{00000000-0005-0000-0000-00003A5B0000}"/>
    <cellStyle name="Separador de milhares 7 2 2 3 7 2 2" xfId="29626" xr:uid="{B9F0D6FC-54DE-46F6-BB12-0230DD27B0BD}"/>
    <cellStyle name="Separador de milhares 7 2 2 3 7 3" xfId="29625" xr:uid="{322C3A21-D162-411C-B4D7-34B710F349A6}"/>
    <cellStyle name="Separador de milhares 7 2 2 3 8" xfId="20735" xr:uid="{00000000-0005-0000-0000-00003B5B0000}"/>
    <cellStyle name="Separador de milhares 7 2 2 3 8 2" xfId="20736" xr:uid="{00000000-0005-0000-0000-00003C5B0000}"/>
    <cellStyle name="Separador de milhares 7 2 2 3 8 2 2" xfId="29628" xr:uid="{059B93D5-4763-4E1A-94E6-53082C1AA9AC}"/>
    <cellStyle name="Separador de milhares 7 2 2 3 8 3" xfId="29627" xr:uid="{2B08CE5B-C9CE-4FF2-91D3-666BD3D38FC1}"/>
    <cellStyle name="Separador de milhares 7 2 2 3 9" xfId="20737" xr:uid="{00000000-0005-0000-0000-00003D5B0000}"/>
    <cellStyle name="Separador de milhares 7 2 2 3 9 2" xfId="20738" xr:uid="{00000000-0005-0000-0000-00003E5B0000}"/>
    <cellStyle name="Separador de milhares 7 2 2 3 9 2 2" xfId="29630" xr:uid="{EC2C54AC-BA37-45BC-863B-04D09A005207}"/>
    <cellStyle name="Separador de milhares 7 2 2 3 9 3" xfId="29629" xr:uid="{8E752246-6E5B-4073-A9D6-14C18B445DC7}"/>
    <cellStyle name="Separador de milhares 7 2 2 30" xfId="20739" xr:uid="{00000000-0005-0000-0000-00003F5B0000}"/>
    <cellStyle name="Separador de milhares 7 2 2 30 2" xfId="20740" xr:uid="{00000000-0005-0000-0000-0000405B0000}"/>
    <cellStyle name="Separador de milhares 7 2 2 30 2 2" xfId="29632" xr:uid="{C4FA8445-6475-4118-AE40-9A2E7A82C09C}"/>
    <cellStyle name="Separador de milhares 7 2 2 30 3" xfId="29631" xr:uid="{479D5C1B-51DA-4191-967B-AE1094FFD510}"/>
    <cellStyle name="Separador de milhares 7 2 2 31" xfId="20741" xr:uid="{00000000-0005-0000-0000-0000415B0000}"/>
    <cellStyle name="Separador de milhares 7 2 2 31 2" xfId="20742" xr:uid="{00000000-0005-0000-0000-0000425B0000}"/>
    <cellStyle name="Separador de milhares 7 2 2 31 2 2" xfId="29634" xr:uid="{95DFE32A-C6E1-48A2-A3E6-D2E547A0C3BA}"/>
    <cellStyle name="Separador de milhares 7 2 2 31 3" xfId="29633" xr:uid="{9A49B00B-E65C-4050-A02B-DD484C5321AD}"/>
    <cellStyle name="Separador de milhares 7 2 2 32" xfId="20743" xr:uid="{00000000-0005-0000-0000-0000435B0000}"/>
    <cellStyle name="Separador de milhares 7 2 2 32 2" xfId="20744" xr:uid="{00000000-0005-0000-0000-0000445B0000}"/>
    <cellStyle name="Separador de milhares 7 2 2 32 2 2" xfId="29636" xr:uid="{34230893-1F56-4C45-9540-2345DDFA8DE4}"/>
    <cellStyle name="Separador de milhares 7 2 2 32 3" xfId="29635" xr:uid="{5DA95500-C522-4BD9-B32D-58D66B0EA2A5}"/>
    <cellStyle name="Separador de milhares 7 2 2 33" xfId="20745" xr:uid="{00000000-0005-0000-0000-0000455B0000}"/>
    <cellStyle name="Separador de milhares 7 2 2 33 2" xfId="20746" xr:uid="{00000000-0005-0000-0000-0000465B0000}"/>
    <cellStyle name="Separador de milhares 7 2 2 33 2 2" xfId="29638" xr:uid="{74FDC9CD-692C-4704-A703-66404AC0046E}"/>
    <cellStyle name="Separador de milhares 7 2 2 33 3" xfId="29637" xr:uid="{8F64B999-F5A2-47CA-AAA3-DC0B87392131}"/>
    <cellStyle name="Separador de milhares 7 2 2 34" xfId="20747" xr:uid="{00000000-0005-0000-0000-0000475B0000}"/>
    <cellStyle name="Separador de milhares 7 2 2 34 2" xfId="20748" xr:uid="{00000000-0005-0000-0000-0000485B0000}"/>
    <cellStyle name="Separador de milhares 7 2 2 34 2 2" xfId="29640" xr:uid="{494FFD85-A6F8-4D2E-804E-CEFF2DD0B061}"/>
    <cellStyle name="Separador de milhares 7 2 2 34 3" xfId="29639" xr:uid="{DBDC5675-44C2-4942-B3E0-61AA92368B6D}"/>
    <cellStyle name="Separador de milhares 7 2 2 35" xfId="20749" xr:uid="{00000000-0005-0000-0000-0000495B0000}"/>
    <cellStyle name="Separador de milhares 7 2 2 35 2" xfId="20750" xr:uid="{00000000-0005-0000-0000-00004A5B0000}"/>
    <cellStyle name="Separador de milhares 7 2 2 35 2 2" xfId="29642" xr:uid="{E704BB05-083F-4E8F-9ED7-BCBD70CED4E7}"/>
    <cellStyle name="Separador de milhares 7 2 2 35 3" xfId="29641" xr:uid="{F2E4550F-3904-4E9B-A3AD-29FFC7FA4811}"/>
    <cellStyle name="Separador de milhares 7 2 2 36" xfId="20751" xr:uid="{00000000-0005-0000-0000-00004B5B0000}"/>
    <cellStyle name="Separador de milhares 7 2 2 36 2" xfId="20752" xr:uid="{00000000-0005-0000-0000-00004C5B0000}"/>
    <cellStyle name="Separador de milhares 7 2 2 36 2 2" xfId="29644" xr:uid="{A0854FCA-96A8-4359-844B-FDA4B711BA00}"/>
    <cellStyle name="Separador de milhares 7 2 2 36 3" xfId="29643" xr:uid="{5FFD08A6-1D25-4CFC-818B-158EA9F1DDD5}"/>
    <cellStyle name="Separador de milhares 7 2 2 37" xfId="20753" xr:uid="{00000000-0005-0000-0000-00004D5B0000}"/>
    <cellStyle name="Separador de milhares 7 2 2 37 2" xfId="20754" xr:uid="{00000000-0005-0000-0000-00004E5B0000}"/>
    <cellStyle name="Separador de milhares 7 2 2 37 2 2" xfId="29646" xr:uid="{A91929F4-DDE4-486D-96FA-5E8075D46322}"/>
    <cellStyle name="Separador de milhares 7 2 2 37 3" xfId="29645" xr:uid="{FC0F58B0-736D-4B63-A6F0-4C0649A65793}"/>
    <cellStyle name="Separador de milhares 7 2 2 38" xfId="20755" xr:uid="{00000000-0005-0000-0000-00004F5B0000}"/>
    <cellStyle name="Separador de milhares 7 2 2 38 2" xfId="20756" xr:uid="{00000000-0005-0000-0000-0000505B0000}"/>
    <cellStyle name="Separador de milhares 7 2 2 38 2 2" xfId="29648" xr:uid="{6435D838-EAD0-495F-BCC5-BF67AAB62E3D}"/>
    <cellStyle name="Separador de milhares 7 2 2 38 3" xfId="29647" xr:uid="{0EFCF653-7812-4729-8FFE-6B3284F78372}"/>
    <cellStyle name="Separador de milhares 7 2 2 39" xfId="20757" xr:uid="{00000000-0005-0000-0000-0000515B0000}"/>
    <cellStyle name="Separador de milhares 7 2 2 39 2" xfId="20758" xr:uid="{00000000-0005-0000-0000-0000525B0000}"/>
    <cellStyle name="Separador de milhares 7 2 2 39 2 2" xfId="29650" xr:uid="{2B8E31D8-0883-46C4-9FE2-490078AE3B64}"/>
    <cellStyle name="Separador de milhares 7 2 2 39 3" xfId="29649" xr:uid="{E0708B14-1E53-461A-8D48-10A7D003351D}"/>
    <cellStyle name="Separador de milhares 7 2 2 4" xfId="20759" xr:uid="{00000000-0005-0000-0000-0000535B0000}"/>
    <cellStyle name="Separador de milhares 7 2 2 4 2" xfId="20760" xr:uid="{00000000-0005-0000-0000-0000545B0000}"/>
    <cellStyle name="Separador de milhares 7 2 2 4 2 2" xfId="20761" xr:uid="{00000000-0005-0000-0000-0000555B0000}"/>
    <cellStyle name="Separador de milhares 7 2 2 4 2 2 2" xfId="29652" xr:uid="{CC8BBC73-7675-44DB-9AC7-2BEFA57CBDCC}"/>
    <cellStyle name="Separador de milhares 7 2 2 4 2 3" xfId="29651" xr:uid="{F1F5A785-A626-4FE2-84E4-5C2A6263B5DD}"/>
    <cellStyle name="Separador de milhares 7 2 2 4 3" xfId="20762" xr:uid="{00000000-0005-0000-0000-0000565B0000}"/>
    <cellStyle name="Separador de milhares 7 2 2 4 3 2" xfId="20763" xr:uid="{00000000-0005-0000-0000-0000575B0000}"/>
    <cellStyle name="Separador de milhares 7 2 2 4 3 2 2" xfId="29654" xr:uid="{4C479D47-334E-4C60-A734-1E4442DE9F5C}"/>
    <cellStyle name="Separador de milhares 7 2 2 4 3 3" xfId="29653" xr:uid="{5DF3DC11-9498-4E6F-97DA-D58A6C457894}"/>
    <cellStyle name="Separador de milhares 7 2 2 4 4" xfId="20764" xr:uid="{00000000-0005-0000-0000-0000585B0000}"/>
    <cellStyle name="Separador de milhares 7 2 2 4 4 2" xfId="20765" xr:uid="{00000000-0005-0000-0000-0000595B0000}"/>
    <cellStyle name="Separador de milhares 7 2 2 4 4 2 2" xfId="29656" xr:uid="{0208B0AC-EE44-48AF-8847-7834C8CB6103}"/>
    <cellStyle name="Separador de milhares 7 2 2 4 4 3" xfId="29655" xr:uid="{4EDC9153-0108-4F8F-A492-738BFF4B7D03}"/>
    <cellStyle name="Separador de milhares 7 2 2 4 5" xfId="20766" xr:uid="{00000000-0005-0000-0000-00005A5B0000}"/>
    <cellStyle name="Separador de milhares 7 2 2 4 5 2" xfId="20767" xr:uid="{00000000-0005-0000-0000-00005B5B0000}"/>
    <cellStyle name="Separador de milhares 7 2 2 4 5 2 2" xfId="29658" xr:uid="{D40F702C-BB08-4CB8-AF34-2E499665D09D}"/>
    <cellStyle name="Separador de milhares 7 2 2 4 5 3" xfId="29657" xr:uid="{531F437B-4604-47CC-A015-6DCCD62FEC51}"/>
    <cellStyle name="Separador de milhares 7 2 2 4 6" xfId="20768" xr:uid="{00000000-0005-0000-0000-00005C5B0000}"/>
    <cellStyle name="Separador de milhares 7 2 2 4 6 2" xfId="29659" xr:uid="{260C87DA-FF6A-4BBA-8A4B-F21B3EC2F755}"/>
    <cellStyle name="Separador de milhares 7 2 2 40" xfId="20769" xr:uid="{00000000-0005-0000-0000-00005D5B0000}"/>
    <cellStyle name="Separador de milhares 7 2 2 40 2" xfId="20770" xr:uid="{00000000-0005-0000-0000-00005E5B0000}"/>
    <cellStyle name="Separador de milhares 7 2 2 40 2 2" xfId="29661" xr:uid="{D7D2BAD2-3F9A-473C-919F-B1764646519A}"/>
    <cellStyle name="Separador de milhares 7 2 2 40 3" xfId="29660" xr:uid="{482F8677-45C5-4497-8F9C-EB64E1DBABA0}"/>
    <cellStyle name="Separador de milhares 7 2 2 41" xfId="20771" xr:uid="{00000000-0005-0000-0000-00005F5B0000}"/>
    <cellStyle name="Separador de milhares 7 2 2 41 2" xfId="20772" xr:uid="{00000000-0005-0000-0000-0000605B0000}"/>
    <cellStyle name="Separador de milhares 7 2 2 41 2 2" xfId="29663" xr:uid="{1ADFD5BC-8766-49A5-B706-FA6FED00E93B}"/>
    <cellStyle name="Separador de milhares 7 2 2 41 3" xfId="29662" xr:uid="{93FA65C0-C059-4EB2-AF57-935B28563EBD}"/>
    <cellStyle name="Separador de milhares 7 2 2 42" xfId="20773" xr:uid="{00000000-0005-0000-0000-0000615B0000}"/>
    <cellStyle name="Separador de milhares 7 2 2 42 2" xfId="20774" xr:uid="{00000000-0005-0000-0000-0000625B0000}"/>
    <cellStyle name="Separador de milhares 7 2 2 42 2 2" xfId="29665" xr:uid="{05CE7600-A491-4560-ADFE-A8A8BCC2317D}"/>
    <cellStyle name="Separador de milhares 7 2 2 42 3" xfId="29664" xr:uid="{C1369615-77E8-4CE3-AB2E-D70D42FA09B9}"/>
    <cellStyle name="Separador de milhares 7 2 2 43" xfId="20775" xr:uid="{00000000-0005-0000-0000-0000635B0000}"/>
    <cellStyle name="Separador de milhares 7 2 2 43 2" xfId="20776" xr:uid="{00000000-0005-0000-0000-0000645B0000}"/>
    <cellStyle name="Separador de milhares 7 2 2 43 2 2" xfId="29667" xr:uid="{5D92EDA1-4828-45B5-91B7-4B068426C3BD}"/>
    <cellStyle name="Separador de milhares 7 2 2 43 3" xfId="29666" xr:uid="{EB5021BB-F540-4205-B934-9A23572878E7}"/>
    <cellStyle name="Separador de milhares 7 2 2 44" xfId="20777" xr:uid="{00000000-0005-0000-0000-0000655B0000}"/>
    <cellStyle name="Separador de milhares 7 2 2 44 2" xfId="20778" xr:uid="{00000000-0005-0000-0000-0000665B0000}"/>
    <cellStyle name="Separador de milhares 7 2 2 44 2 2" xfId="29669" xr:uid="{64A61CC0-59C5-4423-B2B9-AE3D6CCBB71F}"/>
    <cellStyle name="Separador de milhares 7 2 2 44 3" xfId="29668" xr:uid="{AAB3B025-F21C-4311-8A22-F4166A666FC9}"/>
    <cellStyle name="Separador de milhares 7 2 2 45" xfId="20779" xr:uid="{00000000-0005-0000-0000-0000675B0000}"/>
    <cellStyle name="Separador de milhares 7 2 2 45 2" xfId="20780" xr:uid="{00000000-0005-0000-0000-0000685B0000}"/>
    <cellStyle name="Separador de milhares 7 2 2 45 2 2" xfId="29671" xr:uid="{C1E5F7E7-3BD7-4525-A857-DF3A16857FB9}"/>
    <cellStyle name="Separador de milhares 7 2 2 45 3" xfId="29670" xr:uid="{6BEDD78A-8179-4FD9-B8DB-55459CB74104}"/>
    <cellStyle name="Separador de milhares 7 2 2 46" xfId="20781" xr:uid="{00000000-0005-0000-0000-0000695B0000}"/>
    <cellStyle name="Separador de milhares 7 2 2 46 2" xfId="20782" xr:uid="{00000000-0005-0000-0000-00006A5B0000}"/>
    <cellStyle name="Separador de milhares 7 2 2 46 2 2" xfId="29673" xr:uid="{E55C76FA-01B1-4E9A-A2D9-8B2660B11C93}"/>
    <cellStyle name="Separador de milhares 7 2 2 46 3" xfId="29672" xr:uid="{CA54674B-7E57-4B55-A1A0-BEA9508CEF13}"/>
    <cellStyle name="Separador de milhares 7 2 2 47" xfId="20783" xr:uid="{00000000-0005-0000-0000-00006B5B0000}"/>
    <cellStyle name="Separador de milhares 7 2 2 47 2" xfId="29674" xr:uid="{EA7D56E5-6DCF-4973-B8F1-F89D9E6F324F}"/>
    <cellStyle name="Separador de milhares 7 2 2 48" xfId="20562" xr:uid="{00000000-0005-0000-0000-00006C5B0000}"/>
    <cellStyle name="Separador de milhares 7 2 2 49" xfId="28066" xr:uid="{9FBF098C-5EE5-48B2-AD75-1CD9454A703E}"/>
    <cellStyle name="Separador de milhares 7 2 2 5" xfId="20784" xr:uid="{00000000-0005-0000-0000-00006D5B0000}"/>
    <cellStyle name="Separador de milhares 7 2 2 5 2" xfId="20785" xr:uid="{00000000-0005-0000-0000-00006E5B0000}"/>
    <cellStyle name="Separador de milhares 7 2 2 5 2 2" xfId="29675" xr:uid="{C7A0D325-3D7E-4B6A-AA07-3AB09557B8E3}"/>
    <cellStyle name="Separador de milhares 7 2 2 6" xfId="20786" xr:uid="{00000000-0005-0000-0000-00006F5B0000}"/>
    <cellStyle name="Separador de milhares 7 2 2 6 2" xfId="20787" xr:uid="{00000000-0005-0000-0000-0000705B0000}"/>
    <cellStyle name="Separador de milhares 7 2 2 6 2 2" xfId="29676" xr:uid="{48C2DCE7-1567-45DC-9081-34244DAA674C}"/>
    <cellStyle name="Separador de milhares 7 2 2 7" xfId="20788" xr:uid="{00000000-0005-0000-0000-0000715B0000}"/>
    <cellStyle name="Separador de milhares 7 2 2 7 2" xfId="20789" xr:uid="{00000000-0005-0000-0000-0000725B0000}"/>
    <cellStyle name="Separador de milhares 7 2 2 7 2 2" xfId="29677" xr:uid="{42AACE1B-68C3-4359-8ADA-51DF748D4285}"/>
    <cellStyle name="Separador de milhares 7 2 2 8" xfId="20790" xr:uid="{00000000-0005-0000-0000-0000735B0000}"/>
    <cellStyle name="Separador de milhares 7 2 2 8 2" xfId="20791" xr:uid="{00000000-0005-0000-0000-0000745B0000}"/>
    <cellStyle name="Separador de milhares 7 2 2 8 2 2" xfId="29678" xr:uid="{66F84AF0-2778-4938-86E1-FF956B6A60AA}"/>
    <cellStyle name="Separador de milhares 7 2 2 9" xfId="20792" xr:uid="{00000000-0005-0000-0000-0000755B0000}"/>
    <cellStyle name="Separador de milhares 7 2 2 9 2" xfId="20793" xr:uid="{00000000-0005-0000-0000-0000765B0000}"/>
    <cellStyle name="Separador de milhares 7 2 2 9 2 2" xfId="29679" xr:uid="{2142E902-4106-4322-92B7-1933254192F9}"/>
    <cellStyle name="Separador de milhares 7 2 20" xfId="20794" xr:uid="{00000000-0005-0000-0000-0000775B0000}"/>
    <cellStyle name="Separador de milhares 7 2 20 2" xfId="20795" xr:uid="{00000000-0005-0000-0000-0000785B0000}"/>
    <cellStyle name="Separador de milhares 7 2 20 2 2" xfId="29681" xr:uid="{906BAA16-BD5B-486A-86B0-0E3B2800DD0C}"/>
    <cellStyle name="Separador de milhares 7 2 20 3" xfId="29680" xr:uid="{A394AD10-FAC7-4795-B96C-66C3687DD8BF}"/>
    <cellStyle name="Separador de milhares 7 2 21" xfId="20796" xr:uid="{00000000-0005-0000-0000-0000795B0000}"/>
    <cellStyle name="Separador de milhares 7 2 21 2" xfId="20797" xr:uid="{00000000-0005-0000-0000-00007A5B0000}"/>
    <cellStyle name="Separador de milhares 7 2 21 2 2" xfId="29683" xr:uid="{A4319487-0704-4B76-A42D-B95E55661AFC}"/>
    <cellStyle name="Separador de milhares 7 2 21 3" xfId="29682" xr:uid="{1BC75B58-66C7-4C3C-A3FB-FEA601A4E787}"/>
    <cellStyle name="Separador de milhares 7 2 22" xfId="20798" xr:uid="{00000000-0005-0000-0000-00007B5B0000}"/>
    <cellStyle name="Separador de milhares 7 2 22 2" xfId="20799" xr:uid="{00000000-0005-0000-0000-00007C5B0000}"/>
    <cellStyle name="Separador de milhares 7 2 22 2 2" xfId="29685" xr:uid="{293856B5-CFCF-4A1D-9CE3-95DE2342888B}"/>
    <cellStyle name="Separador de milhares 7 2 22 3" xfId="29684" xr:uid="{AA1D230F-FEDB-43B8-9C30-4FB45C50EB05}"/>
    <cellStyle name="Separador de milhares 7 2 23" xfId="20800" xr:uid="{00000000-0005-0000-0000-00007D5B0000}"/>
    <cellStyle name="Separador de milhares 7 2 23 2" xfId="20801" xr:uid="{00000000-0005-0000-0000-00007E5B0000}"/>
    <cellStyle name="Separador de milhares 7 2 23 2 2" xfId="29687" xr:uid="{BE8476FA-9403-4588-B94C-D20E741EB2B5}"/>
    <cellStyle name="Separador de milhares 7 2 23 3" xfId="29686" xr:uid="{BB6F934C-E580-4BFF-B699-05DFDF505705}"/>
    <cellStyle name="Separador de milhares 7 2 24" xfId="20802" xr:uid="{00000000-0005-0000-0000-00007F5B0000}"/>
    <cellStyle name="Separador de milhares 7 2 24 2" xfId="20803" xr:uid="{00000000-0005-0000-0000-0000805B0000}"/>
    <cellStyle name="Separador de milhares 7 2 24 2 2" xfId="29689" xr:uid="{3DC3743E-7BE1-404B-B958-16A4EEB972C7}"/>
    <cellStyle name="Separador de milhares 7 2 24 3" xfId="29688" xr:uid="{283BF111-D23E-4C19-9273-06E1A8ACE46B}"/>
    <cellStyle name="Separador de milhares 7 2 25" xfId="20804" xr:uid="{00000000-0005-0000-0000-0000815B0000}"/>
    <cellStyle name="Separador de milhares 7 2 25 2" xfId="20805" xr:uid="{00000000-0005-0000-0000-0000825B0000}"/>
    <cellStyle name="Separador de milhares 7 2 25 2 2" xfId="29691" xr:uid="{0D1273A8-B460-471A-B755-4A21B88AEE99}"/>
    <cellStyle name="Separador de milhares 7 2 25 3" xfId="29690" xr:uid="{AF7BDAE5-0093-4DF2-BF8C-40ADEB944BF9}"/>
    <cellStyle name="Separador de milhares 7 2 26" xfId="20806" xr:uid="{00000000-0005-0000-0000-0000835B0000}"/>
    <cellStyle name="Separador de milhares 7 2 26 2" xfId="20807" xr:uid="{00000000-0005-0000-0000-0000845B0000}"/>
    <cellStyle name="Separador de milhares 7 2 26 2 2" xfId="29693" xr:uid="{550810CE-5647-4B25-8BB1-ECA576331032}"/>
    <cellStyle name="Separador de milhares 7 2 26 3" xfId="29692" xr:uid="{BD39AC31-58AE-40D9-9EF5-AB32DED820B6}"/>
    <cellStyle name="Separador de milhares 7 2 27" xfId="20808" xr:uid="{00000000-0005-0000-0000-0000855B0000}"/>
    <cellStyle name="Separador de milhares 7 2 27 2" xfId="20809" xr:uid="{00000000-0005-0000-0000-0000865B0000}"/>
    <cellStyle name="Separador de milhares 7 2 27 2 2" xfId="29695" xr:uid="{6EB9D0A0-599E-488E-84FA-F567167D8379}"/>
    <cellStyle name="Separador de milhares 7 2 27 3" xfId="29694" xr:uid="{4778E78B-845B-42CC-A0D5-2B81D0C3345F}"/>
    <cellStyle name="Separador de milhares 7 2 28" xfId="20810" xr:uid="{00000000-0005-0000-0000-0000875B0000}"/>
    <cellStyle name="Separador de milhares 7 2 28 2" xfId="20811" xr:uid="{00000000-0005-0000-0000-0000885B0000}"/>
    <cellStyle name="Separador de milhares 7 2 28 2 2" xfId="29697" xr:uid="{CFD5C107-3DF9-463C-B685-383D89355A01}"/>
    <cellStyle name="Separador de milhares 7 2 28 3" xfId="29696" xr:uid="{0E503EF8-0A23-4D03-985D-828AE472D474}"/>
    <cellStyle name="Separador de milhares 7 2 29" xfId="20812" xr:uid="{00000000-0005-0000-0000-0000895B0000}"/>
    <cellStyle name="Separador de milhares 7 2 29 2" xfId="20813" xr:uid="{00000000-0005-0000-0000-00008A5B0000}"/>
    <cellStyle name="Separador de milhares 7 2 29 2 2" xfId="29699" xr:uid="{3E7C7AB1-D8FF-4494-908B-980FF8DDEC94}"/>
    <cellStyle name="Separador de milhares 7 2 29 3" xfId="29698" xr:uid="{41D14D18-45A6-493A-99B5-4AD58E4DE7A1}"/>
    <cellStyle name="Separador de milhares 7 2 3" xfId="838" xr:uid="{00000000-0005-0000-0000-00008B5B0000}"/>
    <cellStyle name="Separador de milhares 7 2 3 10" xfId="20815" xr:uid="{00000000-0005-0000-0000-00008C5B0000}"/>
    <cellStyle name="Separador de milhares 7 2 3 10 2" xfId="20816" xr:uid="{00000000-0005-0000-0000-00008D5B0000}"/>
    <cellStyle name="Separador de milhares 7 2 3 10 2 2" xfId="29700" xr:uid="{B380F4F3-BD7A-4E22-A8F0-EDA9A07778D7}"/>
    <cellStyle name="Separador de milhares 7 2 3 11" xfId="20817" xr:uid="{00000000-0005-0000-0000-00008E5B0000}"/>
    <cellStyle name="Separador de milhares 7 2 3 11 2" xfId="20818" xr:uid="{00000000-0005-0000-0000-00008F5B0000}"/>
    <cellStyle name="Separador de milhares 7 2 3 11 2 2" xfId="29702" xr:uid="{292398F5-D8C0-41D5-9AA2-ABD37A27F926}"/>
    <cellStyle name="Separador de milhares 7 2 3 11 3" xfId="29701" xr:uid="{6D8750C9-CE7E-4F5A-90C6-1D838B6C152C}"/>
    <cellStyle name="Separador de milhares 7 2 3 12" xfId="20819" xr:uid="{00000000-0005-0000-0000-0000905B0000}"/>
    <cellStyle name="Separador de milhares 7 2 3 12 2" xfId="20820" xr:uid="{00000000-0005-0000-0000-0000915B0000}"/>
    <cellStyle name="Separador de milhares 7 2 3 12 2 2" xfId="29704" xr:uid="{165EC05A-4CCD-44CD-AB3F-566FA73E03CA}"/>
    <cellStyle name="Separador de milhares 7 2 3 12 3" xfId="29703" xr:uid="{0517B3F1-DA30-4128-B5D8-8F8089C3DB5B}"/>
    <cellStyle name="Separador de milhares 7 2 3 13" xfId="20821" xr:uid="{00000000-0005-0000-0000-0000925B0000}"/>
    <cellStyle name="Separador de milhares 7 2 3 13 2" xfId="20822" xr:uid="{00000000-0005-0000-0000-0000935B0000}"/>
    <cellStyle name="Separador de milhares 7 2 3 13 2 2" xfId="29706" xr:uid="{8DC9DAE6-D1B0-49F3-9445-8B43F893C686}"/>
    <cellStyle name="Separador de milhares 7 2 3 13 3" xfId="29705" xr:uid="{4BAEC37F-733D-4535-929E-B5732C810059}"/>
    <cellStyle name="Separador de milhares 7 2 3 14" xfId="20823" xr:uid="{00000000-0005-0000-0000-0000945B0000}"/>
    <cellStyle name="Separador de milhares 7 2 3 14 2" xfId="20824" xr:uid="{00000000-0005-0000-0000-0000955B0000}"/>
    <cellStyle name="Separador de milhares 7 2 3 14 2 2" xfId="29708" xr:uid="{5C23163D-99B8-4C8B-A66C-D6251CDA98F8}"/>
    <cellStyle name="Separador de milhares 7 2 3 14 3" xfId="29707" xr:uid="{853C6CD2-C126-4515-A652-30DC2CDBAB31}"/>
    <cellStyle name="Separador de milhares 7 2 3 15" xfId="20825" xr:uid="{00000000-0005-0000-0000-0000965B0000}"/>
    <cellStyle name="Separador de milhares 7 2 3 15 2" xfId="20826" xr:uid="{00000000-0005-0000-0000-0000975B0000}"/>
    <cellStyle name="Separador de milhares 7 2 3 15 2 2" xfId="29710" xr:uid="{536FEBC9-72C0-4F2E-883A-736CFBC2C7CA}"/>
    <cellStyle name="Separador de milhares 7 2 3 15 3" xfId="29709" xr:uid="{E77A2A18-409F-4B81-A0EF-198567989F09}"/>
    <cellStyle name="Separador de milhares 7 2 3 16" xfId="20827" xr:uid="{00000000-0005-0000-0000-0000985B0000}"/>
    <cellStyle name="Separador de milhares 7 2 3 16 2" xfId="20828" xr:uid="{00000000-0005-0000-0000-0000995B0000}"/>
    <cellStyle name="Separador de milhares 7 2 3 16 2 2" xfId="29712" xr:uid="{E476A8D2-5D7C-4C71-9257-E7A43F72E63A}"/>
    <cellStyle name="Separador de milhares 7 2 3 16 3" xfId="29711" xr:uid="{23DA4724-A55F-40E8-B76D-C11A1656F1E4}"/>
    <cellStyle name="Separador de milhares 7 2 3 17" xfId="20829" xr:uid="{00000000-0005-0000-0000-00009A5B0000}"/>
    <cellStyle name="Separador de milhares 7 2 3 17 2" xfId="20830" xr:uid="{00000000-0005-0000-0000-00009B5B0000}"/>
    <cellStyle name="Separador de milhares 7 2 3 17 2 2" xfId="29714" xr:uid="{6C7E8366-644C-43EB-8BF3-471514364344}"/>
    <cellStyle name="Separador de milhares 7 2 3 17 3" xfId="29713" xr:uid="{EB9C01D2-03F9-4F0C-AE0F-025A36E3F362}"/>
    <cellStyle name="Separador de milhares 7 2 3 18" xfId="20831" xr:uid="{00000000-0005-0000-0000-00009C5B0000}"/>
    <cellStyle name="Separador de milhares 7 2 3 18 2" xfId="20832" xr:uid="{00000000-0005-0000-0000-00009D5B0000}"/>
    <cellStyle name="Separador de milhares 7 2 3 18 2 2" xfId="29716" xr:uid="{8AFBF628-7592-4046-A365-86BA75F24F8E}"/>
    <cellStyle name="Separador de milhares 7 2 3 18 3" xfId="29715" xr:uid="{FCAA8313-4305-4330-BAB2-7CCED98A58E4}"/>
    <cellStyle name="Separador de milhares 7 2 3 19" xfId="20833" xr:uid="{00000000-0005-0000-0000-00009E5B0000}"/>
    <cellStyle name="Separador de milhares 7 2 3 19 2" xfId="20834" xr:uid="{00000000-0005-0000-0000-00009F5B0000}"/>
    <cellStyle name="Separador de milhares 7 2 3 19 2 2" xfId="29718" xr:uid="{675430A6-33B0-4187-A7FF-3A80C12F7E31}"/>
    <cellStyle name="Separador de milhares 7 2 3 19 3" xfId="29717" xr:uid="{E5718C13-2F92-4311-8388-2CCF96066F6B}"/>
    <cellStyle name="Separador de milhares 7 2 3 2" xfId="839" xr:uid="{00000000-0005-0000-0000-0000A05B0000}"/>
    <cellStyle name="Separador de milhares 7 2 3 2 10" xfId="20836" xr:uid="{00000000-0005-0000-0000-0000A15B0000}"/>
    <cellStyle name="Separador de milhares 7 2 3 2 10 2" xfId="20837" xr:uid="{00000000-0005-0000-0000-0000A25B0000}"/>
    <cellStyle name="Separador de milhares 7 2 3 2 10 2 2" xfId="29720" xr:uid="{7C46341E-9B90-4959-827E-18E17AB134C0}"/>
    <cellStyle name="Separador de milhares 7 2 3 2 10 3" xfId="29719" xr:uid="{9D8C81C9-0067-4AE2-AF62-7FEBF21D3F8F}"/>
    <cellStyle name="Separador de milhares 7 2 3 2 11" xfId="20838" xr:uid="{00000000-0005-0000-0000-0000A35B0000}"/>
    <cellStyle name="Separador de milhares 7 2 3 2 11 2" xfId="20839" xr:uid="{00000000-0005-0000-0000-0000A45B0000}"/>
    <cellStyle name="Separador de milhares 7 2 3 2 11 2 2" xfId="29722" xr:uid="{A1A3D813-6CB9-4AF2-94C9-932DF4AF747C}"/>
    <cellStyle name="Separador de milhares 7 2 3 2 11 3" xfId="29721" xr:uid="{9A73D618-7DDC-4AD1-A9E5-80C4C2A8CEF5}"/>
    <cellStyle name="Separador de milhares 7 2 3 2 12" xfId="20840" xr:uid="{00000000-0005-0000-0000-0000A55B0000}"/>
    <cellStyle name="Separador de milhares 7 2 3 2 12 2" xfId="20841" xr:uid="{00000000-0005-0000-0000-0000A65B0000}"/>
    <cellStyle name="Separador de milhares 7 2 3 2 12 2 2" xfId="29724" xr:uid="{A75655E7-94E4-464D-ADAB-E8D715986C8C}"/>
    <cellStyle name="Separador de milhares 7 2 3 2 12 3" xfId="29723" xr:uid="{4E059BEF-966B-4266-BC3E-2B42C3C53761}"/>
    <cellStyle name="Separador de milhares 7 2 3 2 13" xfId="20842" xr:uid="{00000000-0005-0000-0000-0000A75B0000}"/>
    <cellStyle name="Separador de milhares 7 2 3 2 13 2" xfId="20843" xr:uid="{00000000-0005-0000-0000-0000A85B0000}"/>
    <cellStyle name="Separador de milhares 7 2 3 2 13 2 2" xfId="29726" xr:uid="{053FB947-0F94-40B1-91CE-C93C314D9171}"/>
    <cellStyle name="Separador de milhares 7 2 3 2 13 3" xfId="29725" xr:uid="{44565D1B-03DB-4B2C-AB0C-6371BA6591AD}"/>
    <cellStyle name="Separador de milhares 7 2 3 2 14" xfId="20844" xr:uid="{00000000-0005-0000-0000-0000A95B0000}"/>
    <cellStyle name="Separador de milhares 7 2 3 2 14 2" xfId="20845" xr:uid="{00000000-0005-0000-0000-0000AA5B0000}"/>
    <cellStyle name="Separador de milhares 7 2 3 2 14 2 2" xfId="29728" xr:uid="{15B5CABB-EA3C-482E-BA11-CD4DB26D116F}"/>
    <cellStyle name="Separador de milhares 7 2 3 2 14 3" xfId="29727" xr:uid="{D3093DB8-5157-4D5F-B8CB-7420609287F9}"/>
    <cellStyle name="Separador de milhares 7 2 3 2 15" xfId="20846" xr:uid="{00000000-0005-0000-0000-0000AB5B0000}"/>
    <cellStyle name="Separador de milhares 7 2 3 2 15 2" xfId="20847" xr:uid="{00000000-0005-0000-0000-0000AC5B0000}"/>
    <cellStyle name="Separador de milhares 7 2 3 2 15 2 2" xfId="29730" xr:uid="{DE10F943-80A7-484D-87BC-8BCDC91C5B11}"/>
    <cellStyle name="Separador de milhares 7 2 3 2 15 3" xfId="29729" xr:uid="{A059C25A-9D6F-4AD4-B16D-D99AB3A6E7AD}"/>
    <cellStyle name="Separador de milhares 7 2 3 2 16" xfId="20848" xr:uid="{00000000-0005-0000-0000-0000AD5B0000}"/>
    <cellStyle name="Separador de milhares 7 2 3 2 16 2" xfId="20849" xr:uid="{00000000-0005-0000-0000-0000AE5B0000}"/>
    <cellStyle name="Separador de milhares 7 2 3 2 16 2 2" xfId="29732" xr:uid="{7168EE1F-99E2-4C90-AEDE-87CA04F9A545}"/>
    <cellStyle name="Separador de milhares 7 2 3 2 16 3" xfId="29731" xr:uid="{60059A5B-18C5-4C67-A130-BEFEF7E66BC4}"/>
    <cellStyle name="Separador de milhares 7 2 3 2 17" xfId="20850" xr:uid="{00000000-0005-0000-0000-0000AF5B0000}"/>
    <cellStyle name="Separador de milhares 7 2 3 2 17 2" xfId="20851" xr:uid="{00000000-0005-0000-0000-0000B05B0000}"/>
    <cellStyle name="Separador de milhares 7 2 3 2 17 2 2" xfId="29734" xr:uid="{2D2AC572-6D65-4234-BC6D-9E2FAAC18A92}"/>
    <cellStyle name="Separador de milhares 7 2 3 2 17 3" xfId="29733" xr:uid="{ADF32911-BCAB-46F8-B484-693829DE60C6}"/>
    <cellStyle name="Separador de milhares 7 2 3 2 18" xfId="20852" xr:uid="{00000000-0005-0000-0000-0000B15B0000}"/>
    <cellStyle name="Separador de milhares 7 2 3 2 18 2" xfId="20853" xr:uid="{00000000-0005-0000-0000-0000B25B0000}"/>
    <cellStyle name="Separador de milhares 7 2 3 2 18 2 2" xfId="29736" xr:uid="{88A67469-4DE5-43A7-9B8E-D978D814D765}"/>
    <cellStyle name="Separador de milhares 7 2 3 2 18 3" xfId="29735" xr:uid="{629D1FBE-AAFC-4458-9959-272E272DE459}"/>
    <cellStyle name="Separador de milhares 7 2 3 2 19" xfId="20854" xr:uid="{00000000-0005-0000-0000-0000B35B0000}"/>
    <cellStyle name="Separador de milhares 7 2 3 2 19 2" xfId="20855" xr:uid="{00000000-0005-0000-0000-0000B45B0000}"/>
    <cellStyle name="Separador de milhares 7 2 3 2 19 2 2" xfId="29738" xr:uid="{807E749C-0DC1-4B63-B0CC-F7BE11A9D25A}"/>
    <cellStyle name="Separador de milhares 7 2 3 2 19 3" xfId="29737" xr:uid="{917053EE-7ACC-4073-AB38-F8FC8F390F76}"/>
    <cellStyle name="Separador de milhares 7 2 3 2 2" xfId="20856" xr:uid="{00000000-0005-0000-0000-0000B55B0000}"/>
    <cellStyle name="Separador de milhares 7 2 3 2 2 2" xfId="20857" xr:uid="{00000000-0005-0000-0000-0000B65B0000}"/>
    <cellStyle name="Separador de milhares 7 2 3 2 2 2 2" xfId="29740" xr:uid="{BFEEEAD3-E628-4288-AF32-B96718FD5B93}"/>
    <cellStyle name="Separador de milhares 7 2 3 2 2 3" xfId="29739" xr:uid="{0F4BCF88-D296-4D0B-9153-7F8B0F287ADC}"/>
    <cellStyle name="Separador de milhares 7 2 3 2 20" xfId="20858" xr:uid="{00000000-0005-0000-0000-0000B75B0000}"/>
    <cellStyle name="Separador de milhares 7 2 3 2 20 2" xfId="20859" xr:uid="{00000000-0005-0000-0000-0000B85B0000}"/>
    <cellStyle name="Separador de milhares 7 2 3 2 20 2 2" xfId="29742" xr:uid="{1C736A65-08CE-4DF8-B974-DB7AD534994A}"/>
    <cellStyle name="Separador de milhares 7 2 3 2 20 3" xfId="29741" xr:uid="{CB4988DF-50DA-4F5D-AFFD-D624B3C21DC8}"/>
    <cellStyle name="Separador de milhares 7 2 3 2 21" xfId="20860" xr:uid="{00000000-0005-0000-0000-0000B95B0000}"/>
    <cellStyle name="Separador de milhares 7 2 3 2 21 2" xfId="20861" xr:uid="{00000000-0005-0000-0000-0000BA5B0000}"/>
    <cellStyle name="Separador de milhares 7 2 3 2 21 2 2" xfId="29744" xr:uid="{4D015B9D-FFD0-4728-A892-3165DE5E3A5A}"/>
    <cellStyle name="Separador de milhares 7 2 3 2 21 3" xfId="29743" xr:uid="{A46865A1-0F04-4130-84FC-25A5B126452C}"/>
    <cellStyle name="Separador de milhares 7 2 3 2 22" xfId="20862" xr:uid="{00000000-0005-0000-0000-0000BB5B0000}"/>
    <cellStyle name="Separador de milhares 7 2 3 2 22 2" xfId="20863" xr:uid="{00000000-0005-0000-0000-0000BC5B0000}"/>
    <cellStyle name="Separador de milhares 7 2 3 2 22 2 2" xfId="29746" xr:uid="{5E2252AD-B0D6-46AB-85B5-BD6CA2380643}"/>
    <cellStyle name="Separador de milhares 7 2 3 2 22 3" xfId="29745" xr:uid="{EAEC9CA0-614A-4CA3-9F0B-7CA9114900DC}"/>
    <cellStyle name="Separador de milhares 7 2 3 2 23" xfId="20864" xr:uid="{00000000-0005-0000-0000-0000BD5B0000}"/>
    <cellStyle name="Separador de milhares 7 2 3 2 23 2" xfId="20865" xr:uid="{00000000-0005-0000-0000-0000BE5B0000}"/>
    <cellStyle name="Separador de milhares 7 2 3 2 23 2 2" xfId="29748" xr:uid="{821FEDB4-6225-46A0-851E-2AE65AEC86EE}"/>
    <cellStyle name="Separador de milhares 7 2 3 2 23 3" xfId="29747" xr:uid="{21C6B3BE-814F-4A48-B27B-EC0729125357}"/>
    <cellStyle name="Separador de milhares 7 2 3 2 24" xfId="20866" xr:uid="{00000000-0005-0000-0000-0000BF5B0000}"/>
    <cellStyle name="Separador de milhares 7 2 3 2 24 2" xfId="20867" xr:uid="{00000000-0005-0000-0000-0000C05B0000}"/>
    <cellStyle name="Separador de milhares 7 2 3 2 24 2 2" xfId="29750" xr:uid="{9C256C4C-2F50-42AC-B18B-07F2187BC5EC}"/>
    <cellStyle name="Separador de milhares 7 2 3 2 24 3" xfId="29749" xr:uid="{B43C90EC-008A-4960-8A7C-8CC1FDC704B3}"/>
    <cellStyle name="Separador de milhares 7 2 3 2 25" xfId="20868" xr:uid="{00000000-0005-0000-0000-0000C15B0000}"/>
    <cellStyle name="Separador de milhares 7 2 3 2 25 2" xfId="20869" xr:uid="{00000000-0005-0000-0000-0000C25B0000}"/>
    <cellStyle name="Separador de milhares 7 2 3 2 25 2 2" xfId="29752" xr:uid="{B4A9B0DC-2E4F-4C2D-A394-766759DE26FD}"/>
    <cellStyle name="Separador de milhares 7 2 3 2 25 3" xfId="29751" xr:uid="{C6F1D6B7-5CA5-43BE-9321-B9BE3EA9FF3A}"/>
    <cellStyle name="Separador de milhares 7 2 3 2 26" xfId="20870" xr:uid="{00000000-0005-0000-0000-0000C35B0000}"/>
    <cellStyle name="Separador de milhares 7 2 3 2 26 2" xfId="20871" xr:uid="{00000000-0005-0000-0000-0000C45B0000}"/>
    <cellStyle name="Separador de milhares 7 2 3 2 26 2 2" xfId="29754" xr:uid="{369FDA45-F617-4DB9-BAF8-EE917DAA3230}"/>
    <cellStyle name="Separador de milhares 7 2 3 2 26 3" xfId="29753" xr:uid="{86B7E706-9534-40EA-BAA1-2E75F055386E}"/>
    <cellStyle name="Separador de milhares 7 2 3 2 27" xfId="20872" xr:uid="{00000000-0005-0000-0000-0000C55B0000}"/>
    <cellStyle name="Separador de milhares 7 2 3 2 27 2" xfId="20873" xr:uid="{00000000-0005-0000-0000-0000C65B0000}"/>
    <cellStyle name="Separador de milhares 7 2 3 2 27 2 2" xfId="29756" xr:uid="{ED05DB60-F38C-4DC7-8CA1-FE09EAA70966}"/>
    <cellStyle name="Separador de milhares 7 2 3 2 27 3" xfId="29755" xr:uid="{BA8A195A-A728-4835-A380-5CCE2FF4E60C}"/>
    <cellStyle name="Separador de milhares 7 2 3 2 28" xfId="20874" xr:uid="{00000000-0005-0000-0000-0000C75B0000}"/>
    <cellStyle name="Separador de milhares 7 2 3 2 28 2" xfId="20875" xr:uid="{00000000-0005-0000-0000-0000C85B0000}"/>
    <cellStyle name="Separador de milhares 7 2 3 2 28 2 2" xfId="29758" xr:uid="{05A60A8C-CBB8-4C52-AAA5-4DA40F554F54}"/>
    <cellStyle name="Separador de milhares 7 2 3 2 28 3" xfId="29757" xr:uid="{FDB3FDC6-0BC2-42AD-8ED7-2D676AAFF1FE}"/>
    <cellStyle name="Separador de milhares 7 2 3 2 29" xfId="20876" xr:uid="{00000000-0005-0000-0000-0000C95B0000}"/>
    <cellStyle name="Separador de milhares 7 2 3 2 29 2" xfId="20877" xr:uid="{00000000-0005-0000-0000-0000CA5B0000}"/>
    <cellStyle name="Separador de milhares 7 2 3 2 29 2 2" xfId="29760" xr:uid="{B56A4776-118A-480F-8278-11D8157D202D}"/>
    <cellStyle name="Separador de milhares 7 2 3 2 29 3" xfId="29759" xr:uid="{09113DC8-6E53-420A-BED6-C79E9B7460E5}"/>
    <cellStyle name="Separador de milhares 7 2 3 2 3" xfId="20878" xr:uid="{00000000-0005-0000-0000-0000CB5B0000}"/>
    <cellStyle name="Separador de milhares 7 2 3 2 3 2" xfId="20879" xr:uid="{00000000-0005-0000-0000-0000CC5B0000}"/>
    <cellStyle name="Separador de milhares 7 2 3 2 3 2 2" xfId="29762" xr:uid="{FDA0FF7F-FD94-48C1-85CB-682F04718E80}"/>
    <cellStyle name="Separador de milhares 7 2 3 2 3 3" xfId="29761" xr:uid="{4D723F37-2028-4D5F-A1E4-A6DF43918498}"/>
    <cellStyle name="Separador de milhares 7 2 3 2 30" xfId="20880" xr:uid="{00000000-0005-0000-0000-0000CD5B0000}"/>
    <cellStyle name="Separador de milhares 7 2 3 2 30 2" xfId="20881" xr:uid="{00000000-0005-0000-0000-0000CE5B0000}"/>
    <cellStyle name="Separador de milhares 7 2 3 2 30 2 2" xfId="29764" xr:uid="{24A65648-5435-457E-A1BE-9B164FBEA654}"/>
    <cellStyle name="Separador de milhares 7 2 3 2 30 3" xfId="29763" xr:uid="{44687E60-3BEB-460D-87D1-1B83770FBAC8}"/>
    <cellStyle name="Separador de milhares 7 2 3 2 31" xfId="20882" xr:uid="{00000000-0005-0000-0000-0000CF5B0000}"/>
    <cellStyle name="Separador de milhares 7 2 3 2 31 2" xfId="20883" xr:uid="{00000000-0005-0000-0000-0000D05B0000}"/>
    <cellStyle name="Separador de milhares 7 2 3 2 31 2 2" xfId="29766" xr:uid="{08CAC1D1-FDFE-48D8-B19E-087C266505EB}"/>
    <cellStyle name="Separador de milhares 7 2 3 2 31 3" xfId="29765" xr:uid="{6A0C976F-A46D-49C0-8AC1-7CA0850E9B39}"/>
    <cellStyle name="Separador de milhares 7 2 3 2 32" xfId="20884" xr:uid="{00000000-0005-0000-0000-0000D15B0000}"/>
    <cellStyle name="Separador de milhares 7 2 3 2 32 2" xfId="20885" xr:uid="{00000000-0005-0000-0000-0000D25B0000}"/>
    <cellStyle name="Separador de milhares 7 2 3 2 32 2 2" xfId="29768" xr:uid="{069DAECE-25C6-47FC-BE19-77BF6714D7BD}"/>
    <cellStyle name="Separador de milhares 7 2 3 2 32 3" xfId="29767" xr:uid="{65FDF035-5F00-4060-A7F9-20397493DD73}"/>
    <cellStyle name="Separador de milhares 7 2 3 2 33" xfId="20886" xr:uid="{00000000-0005-0000-0000-0000D35B0000}"/>
    <cellStyle name="Separador de milhares 7 2 3 2 33 2" xfId="20887" xr:uid="{00000000-0005-0000-0000-0000D45B0000}"/>
    <cellStyle name="Separador de milhares 7 2 3 2 33 2 2" xfId="29770" xr:uid="{E3B2F694-5149-4D93-9532-A9C3AD0BC84E}"/>
    <cellStyle name="Separador de milhares 7 2 3 2 33 3" xfId="29769" xr:uid="{7CC60555-5F1C-448C-9570-DC57FF4D6CBB}"/>
    <cellStyle name="Separador de milhares 7 2 3 2 34" xfId="20888" xr:uid="{00000000-0005-0000-0000-0000D55B0000}"/>
    <cellStyle name="Separador de milhares 7 2 3 2 34 2" xfId="20889" xr:uid="{00000000-0005-0000-0000-0000D65B0000}"/>
    <cellStyle name="Separador de milhares 7 2 3 2 34 2 2" xfId="29772" xr:uid="{5EBA1006-B719-4CA3-AA16-CC96F146798A}"/>
    <cellStyle name="Separador de milhares 7 2 3 2 34 3" xfId="29771" xr:uid="{668FF623-B514-4CF2-87C9-A7AC44901FC1}"/>
    <cellStyle name="Separador de milhares 7 2 3 2 35" xfId="20890" xr:uid="{00000000-0005-0000-0000-0000D75B0000}"/>
    <cellStyle name="Separador de milhares 7 2 3 2 35 2" xfId="29773" xr:uid="{D1DABFBE-79B4-4E0E-8A71-8709BC69015B}"/>
    <cellStyle name="Separador de milhares 7 2 3 2 36" xfId="20835" xr:uid="{00000000-0005-0000-0000-0000D85B0000}"/>
    <cellStyle name="Separador de milhares 7 2 3 2 37" xfId="28071" xr:uid="{2D3417DA-4C34-4C8A-B9AE-7731A10783F5}"/>
    <cellStyle name="Separador de milhares 7 2 3 2 4" xfId="20891" xr:uid="{00000000-0005-0000-0000-0000D95B0000}"/>
    <cellStyle name="Separador de milhares 7 2 3 2 4 2" xfId="20892" xr:uid="{00000000-0005-0000-0000-0000DA5B0000}"/>
    <cellStyle name="Separador de milhares 7 2 3 2 4 2 2" xfId="29775" xr:uid="{75ADCFFF-52BA-4F9F-B5D1-8FB5AAB45955}"/>
    <cellStyle name="Separador de milhares 7 2 3 2 4 3" xfId="29774" xr:uid="{34C12B32-4F00-4A96-84CE-E312C1EE464D}"/>
    <cellStyle name="Separador de milhares 7 2 3 2 5" xfId="20893" xr:uid="{00000000-0005-0000-0000-0000DB5B0000}"/>
    <cellStyle name="Separador de milhares 7 2 3 2 5 2" xfId="20894" xr:uid="{00000000-0005-0000-0000-0000DC5B0000}"/>
    <cellStyle name="Separador de milhares 7 2 3 2 5 2 2" xfId="29777" xr:uid="{E16E8AB0-D81F-4513-98E9-CA3146C744BA}"/>
    <cellStyle name="Separador de milhares 7 2 3 2 5 3" xfId="29776" xr:uid="{829B13C5-B3B0-49F9-8FA3-E1BB4C133B71}"/>
    <cellStyle name="Separador de milhares 7 2 3 2 6" xfId="20895" xr:uid="{00000000-0005-0000-0000-0000DD5B0000}"/>
    <cellStyle name="Separador de milhares 7 2 3 2 6 2" xfId="20896" xr:uid="{00000000-0005-0000-0000-0000DE5B0000}"/>
    <cellStyle name="Separador de milhares 7 2 3 2 6 2 2" xfId="29779" xr:uid="{6EA5D2B2-A19A-4C91-A68D-83AC4DA946AB}"/>
    <cellStyle name="Separador de milhares 7 2 3 2 6 3" xfId="29778" xr:uid="{5EFD73ED-1694-4F43-ABF6-0A71F8CEE9E2}"/>
    <cellStyle name="Separador de milhares 7 2 3 2 7" xfId="20897" xr:uid="{00000000-0005-0000-0000-0000DF5B0000}"/>
    <cellStyle name="Separador de milhares 7 2 3 2 7 2" xfId="20898" xr:uid="{00000000-0005-0000-0000-0000E05B0000}"/>
    <cellStyle name="Separador de milhares 7 2 3 2 7 2 2" xfId="29781" xr:uid="{618EC08A-AE6F-450F-88E3-16F47810A676}"/>
    <cellStyle name="Separador de milhares 7 2 3 2 7 3" xfId="29780" xr:uid="{4D184823-AEE8-49FD-B62D-457A27C72877}"/>
    <cellStyle name="Separador de milhares 7 2 3 2 8" xfId="20899" xr:uid="{00000000-0005-0000-0000-0000E15B0000}"/>
    <cellStyle name="Separador de milhares 7 2 3 2 8 2" xfId="20900" xr:uid="{00000000-0005-0000-0000-0000E25B0000}"/>
    <cellStyle name="Separador de milhares 7 2 3 2 8 2 2" xfId="29783" xr:uid="{BB0241B7-D2CC-483B-8D88-449170120FDA}"/>
    <cellStyle name="Separador de milhares 7 2 3 2 8 3" xfId="29782" xr:uid="{FE9F0CB9-32DD-4D2A-BA44-382611C2E87F}"/>
    <cellStyle name="Separador de milhares 7 2 3 2 9" xfId="20901" xr:uid="{00000000-0005-0000-0000-0000E35B0000}"/>
    <cellStyle name="Separador de milhares 7 2 3 2 9 2" xfId="20902" xr:uid="{00000000-0005-0000-0000-0000E45B0000}"/>
    <cellStyle name="Separador de milhares 7 2 3 2 9 2 2" xfId="29785" xr:uid="{72D0FC06-3396-4FA5-AE83-AB4D9701F9A5}"/>
    <cellStyle name="Separador de milhares 7 2 3 2 9 3" xfId="29784" xr:uid="{0A01ED40-2A6C-48F2-8652-6D06639727A0}"/>
    <cellStyle name="Separador de milhares 7 2 3 20" xfId="20903" xr:uid="{00000000-0005-0000-0000-0000E55B0000}"/>
    <cellStyle name="Separador de milhares 7 2 3 20 2" xfId="20904" xr:uid="{00000000-0005-0000-0000-0000E65B0000}"/>
    <cellStyle name="Separador de milhares 7 2 3 20 2 2" xfId="29787" xr:uid="{117AC59E-2177-4B97-B120-9D78A5EFBB2A}"/>
    <cellStyle name="Separador de milhares 7 2 3 20 3" xfId="29786" xr:uid="{EA34D401-DC6A-4FAE-8C88-B06DAEE365AF}"/>
    <cellStyle name="Separador de milhares 7 2 3 21" xfId="20905" xr:uid="{00000000-0005-0000-0000-0000E75B0000}"/>
    <cellStyle name="Separador de milhares 7 2 3 21 2" xfId="20906" xr:uid="{00000000-0005-0000-0000-0000E85B0000}"/>
    <cellStyle name="Separador de milhares 7 2 3 21 2 2" xfId="29789" xr:uid="{9E9CE36D-8C0F-4E29-9379-B30865C2DD05}"/>
    <cellStyle name="Separador de milhares 7 2 3 21 3" xfId="29788" xr:uid="{D2FB35D3-6BFB-44FA-889A-5382A130FC71}"/>
    <cellStyle name="Separador de milhares 7 2 3 22" xfId="20907" xr:uid="{00000000-0005-0000-0000-0000E95B0000}"/>
    <cellStyle name="Separador de milhares 7 2 3 22 2" xfId="20908" xr:uid="{00000000-0005-0000-0000-0000EA5B0000}"/>
    <cellStyle name="Separador de milhares 7 2 3 22 2 2" xfId="29791" xr:uid="{7EF57BAB-6688-4086-97E0-ED6E0FF6E707}"/>
    <cellStyle name="Separador de milhares 7 2 3 22 3" xfId="29790" xr:uid="{880CA893-D3A4-47EB-A63D-A7CD9144AC49}"/>
    <cellStyle name="Separador de milhares 7 2 3 23" xfId="20909" xr:uid="{00000000-0005-0000-0000-0000EB5B0000}"/>
    <cellStyle name="Separador de milhares 7 2 3 23 2" xfId="20910" xr:uid="{00000000-0005-0000-0000-0000EC5B0000}"/>
    <cellStyle name="Separador de milhares 7 2 3 23 2 2" xfId="29793" xr:uid="{50731F6A-463E-4996-8888-3911278A7F5A}"/>
    <cellStyle name="Separador de milhares 7 2 3 23 3" xfId="29792" xr:uid="{16D2D3FA-940D-4143-8B8F-2F02754156FB}"/>
    <cellStyle name="Separador de milhares 7 2 3 24" xfId="20911" xr:uid="{00000000-0005-0000-0000-0000ED5B0000}"/>
    <cellStyle name="Separador de milhares 7 2 3 24 2" xfId="20912" xr:uid="{00000000-0005-0000-0000-0000EE5B0000}"/>
    <cellStyle name="Separador de milhares 7 2 3 24 2 2" xfId="29795" xr:uid="{CD0ACECC-9453-49CA-9FB6-00DAB3128C86}"/>
    <cellStyle name="Separador de milhares 7 2 3 24 3" xfId="29794" xr:uid="{E44C7B68-82A8-458B-BF23-654BA2F90EEE}"/>
    <cellStyle name="Separador de milhares 7 2 3 25" xfId="20913" xr:uid="{00000000-0005-0000-0000-0000EF5B0000}"/>
    <cellStyle name="Separador de milhares 7 2 3 25 2" xfId="20914" xr:uid="{00000000-0005-0000-0000-0000F05B0000}"/>
    <cellStyle name="Separador de milhares 7 2 3 25 2 2" xfId="29797" xr:uid="{93F8C28E-6CCD-4521-BA38-7317236E716A}"/>
    <cellStyle name="Separador de milhares 7 2 3 25 3" xfId="29796" xr:uid="{72D9E323-0196-46FB-89C7-50345E7183CE}"/>
    <cellStyle name="Separador de milhares 7 2 3 26" xfId="20915" xr:uid="{00000000-0005-0000-0000-0000F15B0000}"/>
    <cellStyle name="Separador de milhares 7 2 3 26 2" xfId="20916" xr:uid="{00000000-0005-0000-0000-0000F25B0000}"/>
    <cellStyle name="Separador de milhares 7 2 3 26 2 2" xfId="29799" xr:uid="{39A32A10-BA8A-4828-997C-BBCB8F0FBE87}"/>
    <cellStyle name="Separador de milhares 7 2 3 26 3" xfId="29798" xr:uid="{4CC20AE2-06E2-4CA1-9E42-6EE08F207DDF}"/>
    <cellStyle name="Separador de milhares 7 2 3 27" xfId="20917" xr:uid="{00000000-0005-0000-0000-0000F35B0000}"/>
    <cellStyle name="Separador de milhares 7 2 3 27 2" xfId="20918" xr:uid="{00000000-0005-0000-0000-0000F45B0000}"/>
    <cellStyle name="Separador de milhares 7 2 3 27 2 2" xfId="29801" xr:uid="{6F4BF7CB-02CF-4E93-AD03-92FF43F1F9D9}"/>
    <cellStyle name="Separador de milhares 7 2 3 27 3" xfId="29800" xr:uid="{8BB79300-15F8-4AC5-8BE6-23EEF3AC6BFF}"/>
    <cellStyle name="Separador de milhares 7 2 3 28" xfId="20919" xr:uid="{00000000-0005-0000-0000-0000F55B0000}"/>
    <cellStyle name="Separador de milhares 7 2 3 28 2" xfId="20920" xr:uid="{00000000-0005-0000-0000-0000F65B0000}"/>
    <cellStyle name="Separador de milhares 7 2 3 28 2 2" xfId="29803" xr:uid="{BE0380DB-2E9F-4493-BBEF-F272A34EB7F6}"/>
    <cellStyle name="Separador de milhares 7 2 3 28 3" xfId="29802" xr:uid="{50F1CA43-CE0A-4E7C-BD4E-6A17A4F90ADE}"/>
    <cellStyle name="Separador de milhares 7 2 3 29" xfId="20921" xr:uid="{00000000-0005-0000-0000-0000F75B0000}"/>
    <cellStyle name="Separador de milhares 7 2 3 29 2" xfId="20922" xr:uid="{00000000-0005-0000-0000-0000F85B0000}"/>
    <cellStyle name="Separador de milhares 7 2 3 29 2 2" xfId="29805" xr:uid="{BEFAD5CF-C3C9-4F1C-80FB-5A3465F152CE}"/>
    <cellStyle name="Separador de milhares 7 2 3 29 3" xfId="29804" xr:uid="{8D33D45F-CEAE-483D-B18A-B6855B489376}"/>
    <cellStyle name="Separador de milhares 7 2 3 3" xfId="20923" xr:uid="{00000000-0005-0000-0000-0000F95B0000}"/>
    <cellStyle name="Separador de milhares 7 2 3 3 10" xfId="20924" xr:uid="{00000000-0005-0000-0000-0000FA5B0000}"/>
    <cellStyle name="Separador de milhares 7 2 3 3 10 2" xfId="20925" xr:uid="{00000000-0005-0000-0000-0000FB5B0000}"/>
    <cellStyle name="Separador de milhares 7 2 3 3 10 2 2" xfId="29807" xr:uid="{A5A4F8D1-6D01-43A6-AF8D-C6492BB4E7B1}"/>
    <cellStyle name="Separador de milhares 7 2 3 3 10 3" xfId="29806" xr:uid="{AB28E906-B123-44C7-A369-6F657D8FA825}"/>
    <cellStyle name="Separador de milhares 7 2 3 3 11" xfId="20926" xr:uid="{00000000-0005-0000-0000-0000FC5B0000}"/>
    <cellStyle name="Separador de milhares 7 2 3 3 11 2" xfId="20927" xr:uid="{00000000-0005-0000-0000-0000FD5B0000}"/>
    <cellStyle name="Separador de milhares 7 2 3 3 11 2 2" xfId="29809" xr:uid="{24904C02-EB74-4CFD-AD37-983E48D4196D}"/>
    <cellStyle name="Separador de milhares 7 2 3 3 11 3" xfId="29808" xr:uid="{2BF5ED00-808A-4E48-8FAF-7E5A05B36DA4}"/>
    <cellStyle name="Separador de milhares 7 2 3 3 12" xfId="20928" xr:uid="{00000000-0005-0000-0000-0000FE5B0000}"/>
    <cellStyle name="Separador de milhares 7 2 3 3 12 2" xfId="20929" xr:uid="{00000000-0005-0000-0000-0000FF5B0000}"/>
    <cellStyle name="Separador de milhares 7 2 3 3 12 2 2" xfId="29811" xr:uid="{2BA690D1-CEA8-40BE-8423-013692D01835}"/>
    <cellStyle name="Separador de milhares 7 2 3 3 12 3" xfId="29810" xr:uid="{D515A3E1-82FA-41A0-BF61-828AF0A9EB7B}"/>
    <cellStyle name="Separador de milhares 7 2 3 3 13" xfId="20930" xr:uid="{00000000-0005-0000-0000-0000005C0000}"/>
    <cellStyle name="Separador de milhares 7 2 3 3 13 2" xfId="20931" xr:uid="{00000000-0005-0000-0000-0000015C0000}"/>
    <cellStyle name="Separador de milhares 7 2 3 3 13 2 2" xfId="29813" xr:uid="{A8399AD6-A05F-4895-8DE4-6C90B36EEDB9}"/>
    <cellStyle name="Separador de milhares 7 2 3 3 13 3" xfId="29812" xr:uid="{9F1F55C0-4F8D-4055-999C-DADBDCB3F5C2}"/>
    <cellStyle name="Separador de milhares 7 2 3 3 14" xfId="20932" xr:uid="{00000000-0005-0000-0000-0000025C0000}"/>
    <cellStyle name="Separador de milhares 7 2 3 3 14 2" xfId="20933" xr:uid="{00000000-0005-0000-0000-0000035C0000}"/>
    <cellStyle name="Separador de milhares 7 2 3 3 14 2 2" xfId="29815" xr:uid="{7D2E8A88-0F5F-4D64-8939-C0BA2353035A}"/>
    <cellStyle name="Separador de milhares 7 2 3 3 14 3" xfId="29814" xr:uid="{FB8DEA92-BDBB-4A30-859F-F0F97D60FF5D}"/>
    <cellStyle name="Separador de milhares 7 2 3 3 15" xfId="20934" xr:uid="{00000000-0005-0000-0000-0000045C0000}"/>
    <cellStyle name="Separador de milhares 7 2 3 3 15 2" xfId="20935" xr:uid="{00000000-0005-0000-0000-0000055C0000}"/>
    <cellStyle name="Separador de milhares 7 2 3 3 15 2 2" xfId="29817" xr:uid="{6C0C2E8C-7988-4399-907A-FEE16FB9758A}"/>
    <cellStyle name="Separador de milhares 7 2 3 3 15 3" xfId="29816" xr:uid="{63C85044-F110-4464-8714-BAA4F35BF6F4}"/>
    <cellStyle name="Separador de milhares 7 2 3 3 16" xfId="20936" xr:uid="{00000000-0005-0000-0000-0000065C0000}"/>
    <cellStyle name="Separador de milhares 7 2 3 3 16 2" xfId="20937" xr:uid="{00000000-0005-0000-0000-0000075C0000}"/>
    <cellStyle name="Separador de milhares 7 2 3 3 16 2 2" xfId="29819" xr:uid="{3FE8B163-49F1-4098-88A9-9EAA335F1319}"/>
    <cellStyle name="Separador de milhares 7 2 3 3 16 3" xfId="29818" xr:uid="{95625FE9-DA3D-4E33-9551-A7A5C025EF77}"/>
    <cellStyle name="Separador de milhares 7 2 3 3 17" xfId="20938" xr:uid="{00000000-0005-0000-0000-0000085C0000}"/>
    <cellStyle name="Separador de milhares 7 2 3 3 17 2" xfId="20939" xr:uid="{00000000-0005-0000-0000-0000095C0000}"/>
    <cellStyle name="Separador de milhares 7 2 3 3 17 2 2" xfId="29821" xr:uid="{3F42D8A8-DA1E-448D-9699-091C4D9BD77D}"/>
    <cellStyle name="Separador de milhares 7 2 3 3 17 3" xfId="29820" xr:uid="{00DC0EAF-6FAA-4668-8682-F87F200A0842}"/>
    <cellStyle name="Separador de milhares 7 2 3 3 18" xfId="20940" xr:uid="{00000000-0005-0000-0000-00000A5C0000}"/>
    <cellStyle name="Separador de milhares 7 2 3 3 18 2" xfId="20941" xr:uid="{00000000-0005-0000-0000-00000B5C0000}"/>
    <cellStyle name="Separador de milhares 7 2 3 3 18 2 2" xfId="29823" xr:uid="{D6D4AD3E-03E5-4CDE-BC48-0FF700BC0DBA}"/>
    <cellStyle name="Separador de milhares 7 2 3 3 18 3" xfId="29822" xr:uid="{9B19CF4A-6FCD-483D-B177-4491C56944A5}"/>
    <cellStyle name="Separador de milhares 7 2 3 3 19" xfId="20942" xr:uid="{00000000-0005-0000-0000-00000C5C0000}"/>
    <cellStyle name="Separador de milhares 7 2 3 3 19 2" xfId="20943" xr:uid="{00000000-0005-0000-0000-00000D5C0000}"/>
    <cellStyle name="Separador de milhares 7 2 3 3 19 2 2" xfId="29825" xr:uid="{84609E4A-8606-4219-9DEF-679599AEB062}"/>
    <cellStyle name="Separador de milhares 7 2 3 3 19 3" xfId="29824" xr:uid="{7DE929BF-983F-4F49-9378-24139B47EC23}"/>
    <cellStyle name="Separador de milhares 7 2 3 3 2" xfId="20944" xr:uid="{00000000-0005-0000-0000-00000E5C0000}"/>
    <cellStyle name="Separador de milhares 7 2 3 3 2 2" xfId="20945" xr:uid="{00000000-0005-0000-0000-00000F5C0000}"/>
    <cellStyle name="Separador de milhares 7 2 3 3 2 2 2" xfId="29827" xr:uid="{8A484ADB-7F94-4AED-B794-D5B4A0BC8325}"/>
    <cellStyle name="Separador de milhares 7 2 3 3 2 3" xfId="29826" xr:uid="{2679D034-41EA-4867-A372-FC8260CADB44}"/>
    <cellStyle name="Separador de milhares 7 2 3 3 20" xfId="20946" xr:uid="{00000000-0005-0000-0000-0000105C0000}"/>
    <cellStyle name="Separador de milhares 7 2 3 3 20 2" xfId="20947" xr:uid="{00000000-0005-0000-0000-0000115C0000}"/>
    <cellStyle name="Separador de milhares 7 2 3 3 20 2 2" xfId="29829" xr:uid="{EB3ADD10-525C-4E01-A1EE-94BDB869DE37}"/>
    <cellStyle name="Separador de milhares 7 2 3 3 20 3" xfId="29828" xr:uid="{FA918435-9C49-4676-BDE0-DB9A3BE31152}"/>
    <cellStyle name="Separador de milhares 7 2 3 3 21" xfId="20948" xr:uid="{00000000-0005-0000-0000-0000125C0000}"/>
    <cellStyle name="Separador de milhares 7 2 3 3 21 2" xfId="20949" xr:uid="{00000000-0005-0000-0000-0000135C0000}"/>
    <cellStyle name="Separador de milhares 7 2 3 3 21 2 2" xfId="29831" xr:uid="{E63E8B25-60BD-4860-9ED9-19FFE00432E2}"/>
    <cellStyle name="Separador de milhares 7 2 3 3 21 3" xfId="29830" xr:uid="{E29B72D2-A9BD-4DB6-8431-DFAB45D07F19}"/>
    <cellStyle name="Separador de milhares 7 2 3 3 22" xfId="20950" xr:uid="{00000000-0005-0000-0000-0000145C0000}"/>
    <cellStyle name="Separador de milhares 7 2 3 3 22 2" xfId="20951" xr:uid="{00000000-0005-0000-0000-0000155C0000}"/>
    <cellStyle name="Separador de milhares 7 2 3 3 22 2 2" xfId="29833" xr:uid="{115B15DC-1ED0-48E3-B4DA-1DEEA73B5D10}"/>
    <cellStyle name="Separador de milhares 7 2 3 3 22 3" xfId="29832" xr:uid="{BBCCBBA5-8E48-4236-80B5-4BDEBB518C40}"/>
    <cellStyle name="Separador de milhares 7 2 3 3 23" xfId="20952" xr:uid="{00000000-0005-0000-0000-0000165C0000}"/>
    <cellStyle name="Separador de milhares 7 2 3 3 23 2" xfId="20953" xr:uid="{00000000-0005-0000-0000-0000175C0000}"/>
    <cellStyle name="Separador de milhares 7 2 3 3 23 2 2" xfId="29835" xr:uid="{49C14CCC-E08F-4F5D-AA46-F3195E3A53E4}"/>
    <cellStyle name="Separador de milhares 7 2 3 3 23 3" xfId="29834" xr:uid="{84B3F481-C86C-43E8-BCA1-78CC189986C5}"/>
    <cellStyle name="Separador de milhares 7 2 3 3 24" xfId="20954" xr:uid="{00000000-0005-0000-0000-0000185C0000}"/>
    <cellStyle name="Separador de milhares 7 2 3 3 24 2" xfId="20955" xr:uid="{00000000-0005-0000-0000-0000195C0000}"/>
    <cellStyle name="Separador de milhares 7 2 3 3 24 2 2" xfId="29837" xr:uid="{CE446116-B19C-42AC-84C5-92F77E4E7088}"/>
    <cellStyle name="Separador de milhares 7 2 3 3 24 3" xfId="29836" xr:uid="{07FD4913-44C3-44CF-BCD6-C7C6C4971D97}"/>
    <cellStyle name="Separador de milhares 7 2 3 3 25" xfId="20956" xr:uid="{00000000-0005-0000-0000-00001A5C0000}"/>
    <cellStyle name="Separador de milhares 7 2 3 3 25 2" xfId="20957" xr:uid="{00000000-0005-0000-0000-00001B5C0000}"/>
    <cellStyle name="Separador de milhares 7 2 3 3 25 2 2" xfId="29839" xr:uid="{B3E0A452-3C02-42EE-B177-C8B46F2F4208}"/>
    <cellStyle name="Separador de milhares 7 2 3 3 25 3" xfId="29838" xr:uid="{40A14554-16EE-4349-962C-2FCEFA86A365}"/>
    <cellStyle name="Separador de milhares 7 2 3 3 26" xfId="20958" xr:uid="{00000000-0005-0000-0000-00001C5C0000}"/>
    <cellStyle name="Separador de milhares 7 2 3 3 26 2" xfId="20959" xr:uid="{00000000-0005-0000-0000-00001D5C0000}"/>
    <cellStyle name="Separador de milhares 7 2 3 3 26 2 2" xfId="29841" xr:uid="{377A806F-1A73-4D16-95C0-0740813905C9}"/>
    <cellStyle name="Separador de milhares 7 2 3 3 26 3" xfId="29840" xr:uid="{07C41E6E-F3A1-40BF-8746-7D46D11DDE0E}"/>
    <cellStyle name="Separador de milhares 7 2 3 3 27" xfId="20960" xr:uid="{00000000-0005-0000-0000-00001E5C0000}"/>
    <cellStyle name="Separador de milhares 7 2 3 3 27 2" xfId="20961" xr:uid="{00000000-0005-0000-0000-00001F5C0000}"/>
    <cellStyle name="Separador de milhares 7 2 3 3 27 2 2" xfId="29843" xr:uid="{167E93DB-8AAC-4EEF-873C-E7B08D74DDD1}"/>
    <cellStyle name="Separador de milhares 7 2 3 3 27 3" xfId="29842" xr:uid="{51C2BE35-BC6C-4F64-B7A0-732D9ABD23EF}"/>
    <cellStyle name="Separador de milhares 7 2 3 3 28" xfId="20962" xr:uid="{00000000-0005-0000-0000-0000205C0000}"/>
    <cellStyle name="Separador de milhares 7 2 3 3 28 2" xfId="20963" xr:uid="{00000000-0005-0000-0000-0000215C0000}"/>
    <cellStyle name="Separador de milhares 7 2 3 3 28 2 2" xfId="29845" xr:uid="{A855B4C0-0A74-4066-AA01-B50605F42659}"/>
    <cellStyle name="Separador de milhares 7 2 3 3 28 3" xfId="29844" xr:uid="{485D37B2-77A8-41C0-B0D2-E177C042C263}"/>
    <cellStyle name="Separador de milhares 7 2 3 3 29" xfId="20964" xr:uid="{00000000-0005-0000-0000-0000225C0000}"/>
    <cellStyle name="Separador de milhares 7 2 3 3 29 2" xfId="20965" xr:uid="{00000000-0005-0000-0000-0000235C0000}"/>
    <cellStyle name="Separador de milhares 7 2 3 3 29 2 2" xfId="29847" xr:uid="{E4400A19-B6A4-42D9-B9EB-D819AC25FDAA}"/>
    <cellStyle name="Separador de milhares 7 2 3 3 29 3" xfId="29846" xr:uid="{967322C6-B4E1-4089-AD3C-42926627C606}"/>
    <cellStyle name="Separador de milhares 7 2 3 3 3" xfId="20966" xr:uid="{00000000-0005-0000-0000-0000245C0000}"/>
    <cellStyle name="Separador de milhares 7 2 3 3 3 2" xfId="20967" xr:uid="{00000000-0005-0000-0000-0000255C0000}"/>
    <cellStyle name="Separador de milhares 7 2 3 3 3 2 2" xfId="29849" xr:uid="{9E65DE8D-173A-40CC-A800-6199D512AC7F}"/>
    <cellStyle name="Separador de milhares 7 2 3 3 3 3" xfId="29848" xr:uid="{28689FDD-2393-41B8-BD80-014D50C71572}"/>
    <cellStyle name="Separador de milhares 7 2 3 3 30" xfId="20968" xr:uid="{00000000-0005-0000-0000-0000265C0000}"/>
    <cellStyle name="Separador de milhares 7 2 3 3 30 2" xfId="20969" xr:uid="{00000000-0005-0000-0000-0000275C0000}"/>
    <cellStyle name="Separador de milhares 7 2 3 3 30 2 2" xfId="29851" xr:uid="{86FF2CD0-926E-4618-B4C7-408A715AF1D9}"/>
    <cellStyle name="Separador de milhares 7 2 3 3 30 3" xfId="29850" xr:uid="{C23E6AE1-84A4-48BA-8FB7-D790978BDFF9}"/>
    <cellStyle name="Separador de milhares 7 2 3 3 31" xfId="20970" xr:uid="{00000000-0005-0000-0000-0000285C0000}"/>
    <cellStyle name="Separador de milhares 7 2 3 3 31 2" xfId="20971" xr:uid="{00000000-0005-0000-0000-0000295C0000}"/>
    <cellStyle name="Separador de milhares 7 2 3 3 31 2 2" xfId="29853" xr:uid="{DF457CC8-CECF-49E7-9DF9-47A0CDD7C2D8}"/>
    <cellStyle name="Separador de milhares 7 2 3 3 31 3" xfId="29852" xr:uid="{28468505-DD05-4FC9-B7D1-A444FA267D5A}"/>
    <cellStyle name="Separador de milhares 7 2 3 3 32" xfId="20972" xr:uid="{00000000-0005-0000-0000-00002A5C0000}"/>
    <cellStyle name="Separador de milhares 7 2 3 3 32 2" xfId="20973" xr:uid="{00000000-0005-0000-0000-00002B5C0000}"/>
    <cellStyle name="Separador de milhares 7 2 3 3 32 2 2" xfId="29855" xr:uid="{BC9ABB89-025A-42C2-8288-459A84F6658D}"/>
    <cellStyle name="Separador de milhares 7 2 3 3 32 3" xfId="29854" xr:uid="{2C01B7A2-C1F2-4ADF-906A-842D598A3640}"/>
    <cellStyle name="Separador de milhares 7 2 3 3 33" xfId="20974" xr:uid="{00000000-0005-0000-0000-00002C5C0000}"/>
    <cellStyle name="Separador de milhares 7 2 3 3 33 2" xfId="20975" xr:uid="{00000000-0005-0000-0000-00002D5C0000}"/>
    <cellStyle name="Separador de milhares 7 2 3 3 33 2 2" xfId="29857" xr:uid="{7A406164-E19C-4EA5-8ECF-03477A2968C5}"/>
    <cellStyle name="Separador de milhares 7 2 3 3 33 3" xfId="29856" xr:uid="{A66B2B0B-2D8C-4CCA-A12A-FCD738287829}"/>
    <cellStyle name="Separador de milhares 7 2 3 3 34" xfId="20976" xr:uid="{00000000-0005-0000-0000-00002E5C0000}"/>
    <cellStyle name="Separador de milhares 7 2 3 3 34 2" xfId="20977" xr:uid="{00000000-0005-0000-0000-00002F5C0000}"/>
    <cellStyle name="Separador de milhares 7 2 3 3 34 2 2" xfId="29859" xr:uid="{1615B30A-AC3E-4DFD-83A6-59F471547E96}"/>
    <cellStyle name="Separador de milhares 7 2 3 3 34 3" xfId="29858" xr:uid="{A542A8AC-F0E5-4653-B344-087204BA1524}"/>
    <cellStyle name="Separador de milhares 7 2 3 3 35" xfId="20978" xr:uid="{00000000-0005-0000-0000-0000305C0000}"/>
    <cellStyle name="Separador de milhares 7 2 3 3 35 2" xfId="29860" xr:uid="{79F138E4-AC43-4028-9AA1-DCE8A57276A1}"/>
    <cellStyle name="Separador de milhares 7 2 3 3 4" xfId="20979" xr:uid="{00000000-0005-0000-0000-0000315C0000}"/>
    <cellStyle name="Separador de milhares 7 2 3 3 4 2" xfId="20980" xr:uid="{00000000-0005-0000-0000-0000325C0000}"/>
    <cellStyle name="Separador de milhares 7 2 3 3 4 2 2" xfId="29862" xr:uid="{A558BC37-7CF9-4592-809C-208DE6D3AD1F}"/>
    <cellStyle name="Separador de milhares 7 2 3 3 4 3" xfId="29861" xr:uid="{F7339425-26C8-4980-9F05-A84424875A0A}"/>
    <cellStyle name="Separador de milhares 7 2 3 3 5" xfId="20981" xr:uid="{00000000-0005-0000-0000-0000335C0000}"/>
    <cellStyle name="Separador de milhares 7 2 3 3 5 2" xfId="20982" xr:uid="{00000000-0005-0000-0000-0000345C0000}"/>
    <cellStyle name="Separador de milhares 7 2 3 3 5 2 2" xfId="29864" xr:uid="{37665525-D569-4F51-A45B-D388F24BD78C}"/>
    <cellStyle name="Separador de milhares 7 2 3 3 5 3" xfId="29863" xr:uid="{0FF527D6-A0F7-4E4A-8F9D-81F403594CA7}"/>
    <cellStyle name="Separador de milhares 7 2 3 3 6" xfId="20983" xr:uid="{00000000-0005-0000-0000-0000355C0000}"/>
    <cellStyle name="Separador de milhares 7 2 3 3 6 2" xfId="20984" xr:uid="{00000000-0005-0000-0000-0000365C0000}"/>
    <cellStyle name="Separador de milhares 7 2 3 3 6 2 2" xfId="29866" xr:uid="{5F9724A0-D7A0-4CAE-A2E1-60714542CE91}"/>
    <cellStyle name="Separador de milhares 7 2 3 3 6 3" xfId="29865" xr:uid="{B1A71775-876B-457E-9070-D2D98CC68366}"/>
    <cellStyle name="Separador de milhares 7 2 3 3 7" xfId="20985" xr:uid="{00000000-0005-0000-0000-0000375C0000}"/>
    <cellStyle name="Separador de milhares 7 2 3 3 7 2" xfId="20986" xr:uid="{00000000-0005-0000-0000-0000385C0000}"/>
    <cellStyle name="Separador de milhares 7 2 3 3 7 2 2" xfId="29868" xr:uid="{0A70781C-2C98-441B-992B-45A48F043A9A}"/>
    <cellStyle name="Separador de milhares 7 2 3 3 7 3" xfId="29867" xr:uid="{3372E8CA-DF9D-4FA1-858F-D9A9B555634A}"/>
    <cellStyle name="Separador de milhares 7 2 3 3 8" xfId="20987" xr:uid="{00000000-0005-0000-0000-0000395C0000}"/>
    <cellStyle name="Separador de milhares 7 2 3 3 8 2" xfId="20988" xr:uid="{00000000-0005-0000-0000-00003A5C0000}"/>
    <cellStyle name="Separador de milhares 7 2 3 3 8 2 2" xfId="29870" xr:uid="{7794D548-2710-49AA-AED2-76A73FF90DFA}"/>
    <cellStyle name="Separador de milhares 7 2 3 3 8 3" xfId="29869" xr:uid="{AB5480B8-04AC-44AF-A5F8-F69635BD556B}"/>
    <cellStyle name="Separador de milhares 7 2 3 3 9" xfId="20989" xr:uid="{00000000-0005-0000-0000-00003B5C0000}"/>
    <cellStyle name="Separador de milhares 7 2 3 3 9 2" xfId="20990" xr:uid="{00000000-0005-0000-0000-00003C5C0000}"/>
    <cellStyle name="Separador de milhares 7 2 3 3 9 2 2" xfId="29872" xr:uid="{451D359B-2A41-4E7F-91BC-C07B33E08754}"/>
    <cellStyle name="Separador de milhares 7 2 3 3 9 3" xfId="29871" xr:uid="{90686736-CBD6-40DE-9144-F2B8EC1C7780}"/>
    <cellStyle name="Separador de milhares 7 2 3 30" xfId="20991" xr:uid="{00000000-0005-0000-0000-00003D5C0000}"/>
    <cellStyle name="Separador de milhares 7 2 3 30 2" xfId="20992" xr:uid="{00000000-0005-0000-0000-00003E5C0000}"/>
    <cellStyle name="Separador de milhares 7 2 3 30 2 2" xfId="29874" xr:uid="{74F4B4B4-7345-4A5A-B69A-6476EC18CA62}"/>
    <cellStyle name="Separador de milhares 7 2 3 30 3" xfId="29873" xr:uid="{6F539BE8-2019-4F5F-A73D-0682DA1112EB}"/>
    <cellStyle name="Separador de milhares 7 2 3 31" xfId="20993" xr:uid="{00000000-0005-0000-0000-00003F5C0000}"/>
    <cellStyle name="Separador de milhares 7 2 3 31 2" xfId="20994" xr:uid="{00000000-0005-0000-0000-0000405C0000}"/>
    <cellStyle name="Separador de milhares 7 2 3 31 2 2" xfId="29876" xr:uid="{69D74D6C-6CC4-435F-AC8D-BA09AC99CE61}"/>
    <cellStyle name="Separador de milhares 7 2 3 31 3" xfId="29875" xr:uid="{BF58AD7A-2A68-4B49-824C-FCB1DAE9874B}"/>
    <cellStyle name="Separador de milhares 7 2 3 32" xfId="20995" xr:uid="{00000000-0005-0000-0000-0000415C0000}"/>
    <cellStyle name="Separador de milhares 7 2 3 32 2" xfId="20996" xr:uid="{00000000-0005-0000-0000-0000425C0000}"/>
    <cellStyle name="Separador de milhares 7 2 3 32 2 2" xfId="29878" xr:uid="{12FE03F0-56C7-47DF-8096-38BBE8F91E2C}"/>
    <cellStyle name="Separador de milhares 7 2 3 32 3" xfId="29877" xr:uid="{D0BD632A-CC39-4AB8-8113-350035E6E641}"/>
    <cellStyle name="Separador de milhares 7 2 3 33" xfId="20997" xr:uid="{00000000-0005-0000-0000-0000435C0000}"/>
    <cellStyle name="Separador de milhares 7 2 3 33 2" xfId="20998" xr:uid="{00000000-0005-0000-0000-0000445C0000}"/>
    <cellStyle name="Separador de milhares 7 2 3 33 2 2" xfId="29880" xr:uid="{4A68ABFC-D463-49D7-8596-7C9D3477908D}"/>
    <cellStyle name="Separador de milhares 7 2 3 33 3" xfId="29879" xr:uid="{4EE28D71-306B-49EA-97B4-1E211052D4EE}"/>
    <cellStyle name="Separador de milhares 7 2 3 34" xfId="20999" xr:uid="{00000000-0005-0000-0000-0000455C0000}"/>
    <cellStyle name="Separador de milhares 7 2 3 34 2" xfId="21000" xr:uid="{00000000-0005-0000-0000-0000465C0000}"/>
    <cellStyle name="Separador de milhares 7 2 3 34 2 2" xfId="29882" xr:uid="{972A8606-93F5-4BEC-972D-C9352CC9F6D1}"/>
    <cellStyle name="Separador de milhares 7 2 3 34 3" xfId="29881" xr:uid="{6D5B61ED-0533-4B04-97EE-74F1856C5BD5}"/>
    <cellStyle name="Separador de milhares 7 2 3 35" xfId="21001" xr:uid="{00000000-0005-0000-0000-0000475C0000}"/>
    <cellStyle name="Separador de milhares 7 2 3 35 2" xfId="21002" xr:uid="{00000000-0005-0000-0000-0000485C0000}"/>
    <cellStyle name="Separador de milhares 7 2 3 35 2 2" xfId="29884" xr:uid="{F96E28DB-D82D-4EA7-8A84-626EC10F6407}"/>
    <cellStyle name="Separador de milhares 7 2 3 35 3" xfId="29883" xr:uid="{6C1577C3-1173-465F-9F5F-965231D695FA}"/>
    <cellStyle name="Separador de milhares 7 2 3 36" xfId="21003" xr:uid="{00000000-0005-0000-0000-0000495C0000}"/>
    <cellStyle name="Separador de milhares 7 2 3 36 2" xfId="21004" xr:uid="{00000000-0005-0000-0000-00004A5C0000}"/>
    <cellStyle name="Separador de milhares 7 2 3 36 2 2" xfId="29886" xr:uid="{4A6A5E67-0A2F-4A99-91EF-503030066E94}"/>
    <cellStyle name="Separador de milhares 7 2 3 36 3" xfId="29885" xr:uid="{25A36A87-CC5B-42B4-BBB0-256D1FE58BCA}"/>
    <cellStyle name="Separador de milhares 7 2 3 37" xfId="21005" xr:uid="{00000000-0005-0000-0000-00004B5C0000}"/>
    <cellStyle name="Separador de milhares 7 2 3 37 2" xfId="21006" xr:uid="{00000000-0005-0000-0000-00004C5C0000}"/>
    <cellStyle name="Separador de milhares 7 2 3 37 2 2" xfId="29888" xr:uid="{643C01B5-46E9-4B32-8F4B-D6589AE4AA47}"/>
    <cellStyle name="Separador de milhares 7 2 3 37 3" xfId="29887" xr:uid="{91D41D17-EB41-40EA-9364-165118EA7421}"/>
    <cellStyle name="Separador de milhares 7 2 3 38" xfId="21007" xr:uid="{00000000-0005-0000-0000-00004D5C0000}"/>
    <cellStyle name="Separador de milhares 7 2 3 38 2" xfId="21008" xr:uid="{00000000-0005-0000-0000-00004E5C0000}"/>
    <cellStyle name="Separador de milhares 7 2 3 38 2 2" xfId="29890" xr:uid="{513214AB-62B9-42F9-819B-EB64DCCB2CEC}"/>
    <cellStyle name="Separador de milhares 7 2 3 38 3" xfId="29889" xr:uid="{DF356BC4-3D7B-4E29-BE3F-5494D043EA74}"/>
    <cellStyle name="Separador de milhares 7 2 3 39" xfId="21009" xr:uid="{00000000-0005-0000-0000-00004F5C0000}"/>
    <cellStyle name="Separador de milhares 7 2 3 39 2" xfId="21010" xr:uid="{00000000-0005-0000-0000-0000505C0000}"/>
    <cellStyle name="Separador de milhares 7 2 3 39 2 2" xfId="29892" xr:uid="{647FA72E-8763-4755-BBF3-854E08811B3E}"/>
    <cellStyle name="Separador de milhares 7 2 3 39 3" xfId="29891" xr:uid="{872A6328-1FE3-4A69-85BD-82A33515C0AB}"/>
    <cellStyle name="Separador de milhares 7 2 3 4" xfId="21011" xr:uid="{00000000-0005-0000-0000-0000515C0000}"/>
    <cellStyle name="Separador de milhares 7 2 3 4 2" xfId="21012" xr:uid="{00000000-0005-0000-0000-0000525C0000}"/>
    <cellStyle name="Separador de milhares 7 2 3 4 2 2" xfId="21013" xr:uid="{00000000-0005-0000-0000-0000535C0000}"/>
    <cellStyle name="Separador de milhares 7 2 3 4 2 2 2" xfId="29894" xr:uid="{755EF7F9-EA32-47F7-8C4D-667D2FAD1BB8}"/>
    <cellStyle name="Separador de milhares 7 2 3 4 2 3" xfId="29893" xr:uid="{5C6AF5FC-78B5-4CD6-9F41-71686656D41A}"/>
    <cellStyle name="Separador de milhares 7 2 3 4 3" xfId="21014" xr:uid="{00000000-0005-0000-0000-0000545C0000}"/>
    <cellStyle name="Separador de milhares 7 2 3 4 3 2" xfId="21015" xr:uid="{00000000-0005-0000-0000-0000555C0000}"/>
    <cellStyle name="Separador de milhares 7 2 3 4 3 2 2" xfId="29896" xr:uid="{BE05ACB8-1156-4578-9B7E-D5F6DED49E2D}"/>
    <cellStyle name="Separador de milhares 7 2 3 4 3 3" xfId="29895" xr:uid="{0C7F5EF4-C023-46D4-9147-6501519D443F}"/>
    <cellStyle name="Separador de milhares 7 2 3 4 4" xfId="21016" xr:uid="{00000000-0005-0000-0000-0000565C0000}"/>
    <cellStyle name="Separador de milhares 7 2 3 4 4 2" xfId="21017" xr:uid="{00000000-0005-0000-0000-0000575C0000}"/>
    <cellStyle name="Separador de milhares 7 2 3 4 4 2 2" xfId="29898" xr:uid="{EEBCC94D-DE56-44C7-B9EA-6AF9A216013A}"/>
    <cellStyle name="Separador de milhares 7 2 3 4 4 3" xfId="29897" xr:uid="{B4DD4FB2-0D70-4053-BA0E-5E24EA54BFD5}"/>
    <cellStyle name="Separador de milhares 7 2 3 4 5" xfId="21018" xr:uid="{00000000-0005-0000-0000-0000585C0000}"/>
    <cellStyle name="Separador de milhares 7 2 3 4 5 2" xfId="21019" xr:uid="{00000000-0005-0000-0000-0000595C0000}"/>
    <cellStyle name="Separador de milhares 7 2 3 4 5 2 2" xfId="29900" xr:uid="{23CB6D11-23A3-40EB-A877-30D97DC74754}"/>
    <cellStyle name="Separador de milhares 7 2 3 4 5 3" xfId="29899" xr:uid="{657B362C-FEC7-472F-A7AD-2434148D6378}"/>
    <cellStyle name="Separador de milhares 7 2 3 4 6" xfId="21020" xr:uid="{00000000-0005-0000-0000-00005A5C0000}"/>
    <cellStyle name="Separador de milhares 7 2 3 4 6 2" xfId="29901" xr:uid="{0B3BF380-E6ED-4469-ACEC-75689281C55B}"/>
    <cellStyle name="Separador de milhares 7 2 3 40" xfId="21021" xr:uid="{00000000-0005-0000-0000-00005B5C0000}"/>
    <cellStyle name="Separador de milhares 7 2 3 40 2" xfId="21022" xr:uid="{00000000-0005-0000-0000-00005C5C0000}"/>
    <cellStyle name="Separador de milhares 7 2 3 40 2 2" xfId="29903" xr:uid="{C364D58F-25A0-4EA5-A971-2C14D5231861}"/>
    <cellStyle name="Separador de milhares 7 2 3 40 3" xfId="29902" xr:uid="{54B90BE8-3DF5-47B6-BF63-11DE0828EEEE}"/>
    <cellStyle name="Separador de milhares 7 2 3 41" xfId="21023" xr:uid="{00000000-0005-0000-0000-00005D5C0000}"/>
    <cellStyle name="Separador de milhares 7 2 3 41 2" xfId="21024" xr:uid="{00000000-0005-0000-0000-00005E5C0000}"/>
    <cellStyle name="Separador de milhares 7 2 3 41 2 2" xfId="29905" xr:uid="{A0C7F6D3-4412-4F60-B408-E014773CBB86}"/>
    <cellStyle name="Separador de milhares 7 2 3 41 3" xfId="29904" xr:uid="{7A105461-5634-497B-A840-83AE99CC0F34}"/>
    <cellStyle name="Separador de milhares 7 2 3 42" xfId="21025" xr:uid="{00000000-0005-0000-0000-00005F5C0000}"/>
    <cellStyle name="Separador de milhares 7 2 3 42 2" xfId="21026" xr:uid="{00000000-0005-0000-0000-0000605C0000}"/>
    <cellStyle name="Separador de milhares 7 2 3 42 2 2" xfId="29907" xr:uid="{D3F15576-492B-425C-A1F3-5B27676CEE67}"/>
    <cellStyle name="Separador de milhares 7 2 3 42 3" xfId="29906" xr:uid="{907974AE-0703-4BCC-A438-EDC5D9690C1D}"/>
    <cellStyle name="Separador de milhares 7 2 3 43" xfId="21027" xr:uid="{00000000-0005-0000-0000-0000615C0000}"/>
    <cellStyle name="Separador de milhares 7 2 3 43 2" xfId="21028" xr:uid="{00000000-0005-0000-0000-0000625C0000}"/>
    <cellStyle name="Separador de milhares 7 2 3 43 2 2" xfId="29909" xr:uid="{90D6E54C-CD56-4BBB-93A5-923B6E4FF5B8}"/>
    <cellStyle name="Separador de milhares 7 2 3 43 3" xfId="29908" xr:uid="{07235E74-EC81-4B61-9D55-16F6F4D7E431}"/>
    <cellStyle name="Separador de milhares 7 2 3 44" xfId="21029" xr:uid="{00000000-0005-0000-0000-0000635C0000}"/>
    <cellStyle name="Separador de milhares 7 2 3 44 2" xfId="21030" xr:uid="{00000000-0005-0000-0000-0000645C0000}"/>
    <cellStyle name="Separador de milhares 7 2 3 44 2 2" xfId="29911" xr:uid="{AAADD864-17B8-4088-AAAC-2340BA1D8CF9}"/>
    <cellStyle name="Separador de milhares 7 2 3 44 3" xfId="29910" xr:uid="{139EEC7D-5868-450A-8DB6-95883B407043}"/>
    <cellStyle name="Separador de milhares 7 2 3 45" xfId="21031" xr:uid="{00000000-0005-0000-0000-0000655C0000}"/>
    <cellStyle name="Separador de milhares 7 2 3 45 2" xfId="21032" xr:uid="{00000000-0005-0000-0000-0000665C0000}"/>
    <cellStyle name="Separador de milhares 7 2 3 45 2 2" xfId="29913" xr:uid="{BEEB9CEC-D81D-443C-9C79-AE045D9148BB}"/>
    <cellStyle name="Separador de milhares 7 2 3 45 3" xfId="29912" xr:uid="{BC62C2FC-5335-46C7-A0A0-1766AB8B8EF9}"/>
    <cellStyle name="Separador de milhares 7 2 3 46" xfId="21033" xr:uid="{00000000-0005-0000-0000-0000675C0000}"/>
    <cellStyle name="Separador de milhares 7 2 3 46 2" xfId="21034" xr:uid="{00000000-0005-0000-0000-0000685C0000}"/>
    <cellStyle name="Separador de milhares 7 2 3 46 2 2" xfId="29915" xr:uid="{823E5BD3-2ED2-445E-9B9A-4338265CDF31}"/>
    <cellStyle name="Separador de milhares 7 2 3 46 3" xfId="29914" xr:uid="{C78DA030-CFC7-4AA5-AA6C-ABB5831D0058}"/>
    <cellStyle name="Separador de milhares 7 2 3 47" xfId="21035" xr:uid="{00000000-0005-0000-0000-0000695C0000}"/>
    <cellStyle name="Separador de milhares 7 2 3 47 2" xfId="29916" xr:uid="{68C27D2B-6B95-4193-B7C2-929E039D5438}"/>
    <cellStyle name="Separador de milhares 7 2 3 48" xfId="20814" xr:uid="{00000000-0005-0000-0000-00006A5C0000}"/>
    <cellStyle name="Separador de milhares 7 2 3 49" xfId="28070" xr:uid="{FFD44C4C-4DCB-4EF3-9E37-4DB14EA7DF58}"/>
    <cellStyle name="Separador de milhares 7 2 3 5" xfId="21036" xr:uid="{00000000-0005-0000-0000-00006B5C0000}"/>
    <cellStyle name="Separador de milhares 7 2 3 5 2" xfId="21037" xr:uid="{00000000-0005-0000-0000-00006C5C0000}"/>
    <cellStyle name="Separador de milhares 7 2 3 5 2 2" xfId="29917" xr:uid="{27ABAF18-03F8-4875-8B36-60DC5626E30E}"/>
    <cellStyle name="Separador de milhares 7 2 3 6" xfId="21038" xr:uid="{00000000-0005-0000-0000-00006D5C0000}"/>
    <cellStyle name="Separador de milhares 7 2 3 6 2" xfId="21039" xr:uid="{00000000-0005-0000-0000-00006E5C0000}"/>
    <cellStyle name="Separador de milhares 7 2 3 6 2 2" xfId="29918" xr:uid="{43149506-B52B-4983-963C-CA5469B11170}"/>
    <cellStyle name="Separador de milhares 7 2 3 7" xfId="21040" xr:uid="{00000000-0005-0000-0000-00006F5C0000}"/>
    <cellStyle name="Separador de milhares 7 2 3 7 2" xfId="21041" xr:uid="{00000000-0005-0000-0000-0000705C0000}"/>
    <cellStyle name="Separador de milhares 7 2 3 7 2 2" xfId="29919" xr:uid="{EE16DEE9-B7D5-4A56-A25A-5FDB225147EE}"/>
    <cellStyle name="Separador de milhares 7 2 3 8" xfId="21042" xr:uid="{00000000-0005-0000-0000-0000715C0000}"/>
    <cellStyle name="Separador de milhares 7 2 3 8 2" xfId="21043" xr:uid="{00000000-0005-0000-0000-0000725C0000}"/>
    <cellStyle name="Separador de milhares 7 2 3 8 2 2" xfId="29920" xr:uid="{F5851546-3DE1-461B-95F3-13F67861A8A3}"/>
    <cellStyle name="Separador de milhares 7 2 3 9" xfId="21044" xr:uid="{00000000-0005-0000-0000-0000735C0000}"/>
    <cellStyle name="Separador de milhares 7 2 3 9 2" xfId="21045" xr:uid="{00000000-0005-0000-0000-0000745C0000}"/>
    <cellStyle name="Separador de milhares 7 2 3 9 2 2" xfId="29921" xr:uid="{3F9A1A5A-D4EC-4B3A-9D4D-33B61DEA2BFE}"/>
    <cellStyle name="Separador de milhares 7 2 30" xfId="21046" xr:uid="{00000000-0005-0000-0000-0000755C0000}"/>
    <cellStyle name="Separador de milhares 7 2 30 2" xfId="21047" xr:uid="{00000000-0005-0000-0000-0000765C0000}"/>
    <cellStyle name="Separador de milhares 7 2 30 2 2" xfId="29923" xr:uid="{6708570F-751B-4285-A8BD-C4459596FCC3}"/>
    <cellStyle name="Separador de milhares 7 2 30 3" xfId="29922" xr:uid="{00EB1A8F-3309-4622-86E6-C9BAD9945F6C}"/>
    <cellStyle name="Separador de milhares 7 2 31" xfId="21048" xr:uid="{00000000-0005-0000-0000-0000775C0000}"/>
    <cellStyle name="Separador de milhares 7 2 31 2" xfId="21049" xr:uid="{00000000-0005-0000-0000-0000785C0000}"/>
    <cellStyle name="Separador de milhares 7 2 31 2 2" xfId="29925" xr:uid="{BD09C9BC-38C7-49DF-95F4-9964E3566581}"/>
    <cellStyle name="Separador de milhares 7 2 31 3" xfId="29924" xr:uid="{5E8A7702-6182-45A1-84A1-4A6DE5837334}"/>
    <cellStyle name="Separador de milhares 7 2 32" xfId="21050" xr:uid="{00000000-0005-0000-0000-0000795C0000}"/>
    <cellStyle name="Separador de milhares 7 2 32 2" xfId="21051" xr:uid="{00000000-0005-0000-0000-00007A5C0000}"/>
    <cellStyle name="Separador de milhares 7 2 32 2 2" xfId="29927" xr:uid="{BD493969-D8CC-462C-9345-DD8083D998CE}"/>
    <cellStyle name="Separador de milhares 7 2 32 3" xfId="29926" xr:uid="{2E801C35-5EA9-40FA-9DD3-B09BE8DF4F48}"/>
    <cellStyle name="Separador de milhares 7 2 33" xfId="21052" xr:uid="{00000000-0005-0000-0000-00007B5C0000}"/>
    <cellStyle name="Separador de milhares 7 2 33 2" xfId="21053" xr:uid="{00000000-0005-0000-0000-00007C5C0000}"/>
    <cellStyle name="Separador de milhares 7 2 33 2 2" xfId="29929" xr:uid="{BE917703-AEE6-42A6-A22F-8E962A840E41}"/>
    <cellStyle name="Separador de milhares 7 2 33 3" xfId="29928" xr:uid="{3B93166E-7462-431B-887E-E71190C4E250}"/>
    <cellStyle name="Separador de milhares 7 2 34" xfId="21054" xr:uid="{00000000-0005-0000-0000-00007D5C0000}"/>
    <cellStyle name="Separador de milhares 7 2 34 2" xfId="21055" xr:uid="{00000000-0005-0000-0000-00007E5C0000}"/>
    <cellStyle name="Separador de milhares 7 2 34 2 2" xfId="29931" xr:uid="{D1A783A7-706A-4901-95C5-D88243AE0555}"/>
    <cellStyle name="Separador de milhares 7 2 34 3" xfId="29930" xr:uid="{A67FD82C-CEF7-4AD6-9E6C-F2133EB85B3C}"/>
    <cellStyle name="Separador de milhares 7 2 35" xfId="21056" xr:uid="{00000000-0005-0000-0000-00007F5C0000}"/>
    <cellStyle name="Separador de milhares 7 2 35 2" xfId="21057" xr:uid="{00000000-0005-0000-0000-0000805C0000}"/>
    <cellStyle name="Separador de milhares 7 2 35 2 2" xfId="29933" xr:uid="{C841ADB9-6122-4C60-B46E-E1878C2EF24E}"/>
    <cellStyle name="Separador de milhares 7 2 35 3" xfId="29932" xr:uid="{095E4DBB-E02B-413A-87D0-637568C7C721}"/>
    <cellStyle name="Separador de milhares 7 2 36" xfId="21058" xr:uid="{00000000-0005-0000-0000-0000815C0000}"/>
    <cellStyle name="Separador de milhares 7 2 36 2" xfId="21059" xr:uid="{00000000-0005-0000-0000-0000825C0000}"/>
    <cellStyle name="Separador de milhares 7 2 36 2 2" xfId="29935" xr:uid="{FB183A9D-E6BE-48E0-BEDE-17F6E625E843}"/>
    <cellStyle name="Separador de milhares 7 2 36 3" xfId="29934" xr:uid="{BC6677B6-3803-435F-A4CE-E4626ED4E237}"/>
    <cellStyle name="Separador de milhares 7 2 37" xfId="21060" xr:uid="{00000000-0005-0000-0000-0000835C0000}"/>
    <cellStyle name="Separador de milhares 7 2 37 2" xfId="21061" xr:uid="{00000000-0005-0000-0000-0000845C0000}"/>
    <cellStyle name="Separador de milhares 7 2 37 2 2" xfId="29937" xr:uid="{B89FF5C1-CA8B-459F-A4BE-107885D64BF0}"/>
    <cellStyle name="Separador de milhares 7 2 37 3" xfId="29936" xr:uid="{67405E91-6A09-4834-8B8F-0EE860ADC2EE}"/>
    <cellStyle name="Separador de milhares 7 2 38" xfId="21062" xr:uid="{00000000-0005-0000-0000-0000855C0000}"/>
    <cellStyle name="Separador de milhares 7 2 38 2" xfId="21063" xr:uid="{00000000-0005-0000-0000-0000865C0000}"/>
    <cellStyle name="Separador de milhares 7 2 38 2 2" xfId="29939" xr:uid="{93446057-2D12-48F0-B816-DDFC6A491F74}"/>
    <cellStyle name="Separador de milhares 7 2 38 3" xfId="29938" xr:uid="{60B5C195-76E1-40E5-B7AF-12F5D5221DD0}"/>
    <cellStyle name="Separador de milhares 7 2 39" xfId="21064" xr:uid="{00000000-0005-0000-0000-0000875C0000}"/>
    <cellStyle name="Separador de milhares 7 2 39 2" xfId="21065" xr:uid="{00000000-0005-0000-0000-0000885C0000}"/>
    <cellStyle name="Separador de milhares 7 2 39 2 2" xfId="29941" xr:uid="{BCDD7D49-6ADD-4DA5-AEE1-DB5F4CE7DD82}"/>
    <cellStyle name="Separador de milhares 7 2 39 3" xfId="29940" xr:uid="{3F734404-0377-4ABA-8661-E864956D213C}"/>
    <cellStyle name="Separador de milhares 7 2 4" xfId="840" xr:uid="{00000000-0005-0000-0000-0000895C0000}"/>
    <cellStyle name="Separador de milhares 7 2 4 10" xfId="21067" xr:uid="{00000000-0005-0000-0000-00008A5C0000}"/>
    <cellStyle name="Separador de milhares 7 2 4 10 2" xfId="21068" xr:uid="{00000000-0005-0000-0000-00008B5C0000}"/>
    <cellStyle name="Separador de milhares 7 2 4 10 2 2" xfId="29943" xr:uid="{814A6E5C-BB30-4A1F-BB9B-2C1F27CE58D3}"/>
    <cellStyle name="Separador de milhares 7 2 4 10 3" xfId="29942" xr:uid="{BDB7B00D-C9E8-4F4D-B434-EB9A8DAF559A}"/>
    <cellStyle name="Separador de milhares 7 2 4 11" xfId="21069" xr:uid="{00000000-0005-0000-0000-00008C5C0000}"/>
    <cellStyle name="Separador de milhares 7 2 4 11 2" xfId="21070" xr:uid="{00000000-0005-0000-0000-00008D5C0000}"/>
    <cellStyle name="Separador de milhares 7 2 4 11 2 2" xfId="29945" xr:uid="{111E7432-A6A4-4F17-A25C-9DD1098B8F14}"/>
    <cellStyle name="Separador de milhares 7 2 4 11 3" xfId="29944" xr:uid="{1D93F0A3-DF01-4E46-AC92-955033282995}"/>
    <cellStyle name="Separador de milhares 7 2 4 12" xfId="21071" xr:uid="{00000000-0005-0000-0000-00008E5C0000}"/>
    <cellStyle name="Separador de milhares 7 2 4 12 2" xfId="21072" xr:uid="{00000000-0005-0000-0000-00008F5C0000}"/>
    <cellStyle name="Separador de milhares 7 2 4 12 2 2" xfId="29947" xr:uid="{72529449-3F91-4981-81EC-BC94B156606C}"/>
    <cellStyle name="Separador de milhares 7 2 4 12 3" xfId="29946" xr:uid="{95BF823A-49B0-4A02-B4C7-0E9C7CA3E6E7}"/>
    <cellStyle name="Separador de milhares 7 2 4 13" xfId="21073" xr:uid="{00000000-0005-0000-0000-0000905C0000}"/>
    <cellStyle name="Separador de milhares 7 2 4 13 2" xfId="21074" xr:uid="{00000000-0005-0000-0000-0000915C0000}"/>
    <cellStyle name="Separador de milhares 7 2 4 13 2 2" xfId="29949" xr:uid="{C728DFA8-DA13-4735-9ACA-BE9ADD28CF1B}"/>
    <cellStyle name="Separador de milhares 7 2 4 13 3" xfId="29948" xr:uid="{26C1E566-A219-499E-8CEB-5E9D92F680FD}"/>
    <cellStyle name="Separador de milhares 7 2 4 14" xfId="21075" xr:uid="{00000000-0005-0000-0000-0000925C0000}"/>
    <cellStyle name="Separador de milhares 7 2 4 14 2" xfId="21076" xr:uid="{00000000-0005-0000-0000-0000935C0000}"/>
    <cellStyle name="Separador de milhares 7 2 4 14 2 2" xfId="29951" xr:uid="{38DBC58E-F312-4156-B914-187DB0090D04}"/>
    <cellStyle name="Separador de milhares 7 2 4 14 3" xfId="29950" xr:uid="{20A5C5BD-348D-4F86-AE5A-D072B7BA3151}"/>
    <cellStyle name="Separador de milhares 7 2 4 15" xfId="21077" xr:uid="{00000000-0005-0000-0000-0000945C0000}"/>
    <cellStyle name="Separador de milhares 7 2 4 15 2" xfId="21078" xr:uid="{00000000-0005-0000-0000-0000955C0000}"/>
    <cellStyle name="Separador de milhares 7 2 4 15 2 2" xfId="29953" xr:uid="{AA22C073-0634-47FA-95F3-BB33C3060727}"/>
    <cellStyle name="Separador de milhares 7 2 4 15 3" xfId="29952" xr:uid="{520F5A8C-28DC-4274-8F59-DBEC6FA83E3A}"/>
    <cellStyle name="Separador de milhares 7 2 4 16" xfId="21079" xr:uid="{00000000-0005-0000-0000-0000965C0000}"/>
    <cellStyle name="Separador de milhares 7 2 4 16 2" xfId="21080" xr:uid="{00000000-0005-0000-0000-0000975C0000}"/>
    <cellStyle name="Separador de milhares 7 2 4 16 2 2" xfId="29955" xr:uid="{87CA14E8-BC79-48DD-A711-6679CE0FF482}"/>
    <cellStyle name="Separador de milhares 7 2 4 16 3" xfId="29954" xr:uid="{BFEA8043-76D1-4617-8035-BAA8B19E321D}"/>
    <cellStyle name="Separador de milhares 7 2 4 17" xfId="21081" xr:uid="{00000000-0005-0000-0000-0000985C0000}"/>
    <cellStyle name="Separador de milhares 7 2 4 17 2" xfId="21082" xr:uid="{00000000-0005-0000-0000-0000995C0000}"/>
    <cellStyle name="Separador de milhares 7 2 4 17 2 2" xfId="29957" xr:uid="{2E3AA280-7681-45B9-AECE-5AA09B4CA4AF}"/>
    <cellStyle name="Separador de milhares 7 2 4 17 3" xfId="29956" xr:uid="{A5CD3D69-0994-461D-A5A8-06552CBFAD23}"/>
    <cellStyle name="Separador de milhares 7 2 4 18" xfId="21083" xr:uid="{00000000-0005-0000-0000-00009A5C0000}"/>
    <cellStyle name="Separador de milhares 7 2 4 18 2" xfId="21084" xr:uid="{00000000-0005-0000-0000-00009B5C0000}"/>
    <cellStyle name="Separador de milhares 7 2 4 18 2 2" xfId="29959" xr:uid="{9C045731-110A-43C9-881C-17B5672C984B}"/>
    <cellStyle name="Separador de milhares 7 2 4 18 3" xfId="29958" xr:uid="{4C8036C7-61FF-42AD-A5C9-DE4A935584EB}"/>
    <cellStyle name="Separador de milhares 7 2 4 19" xfId="21085" xr:uid="{00000000-0005-0000-0000-00009C5C0000}"/>
    <cellStyle name="Separador de milhares 7 2 4 19 2" xfId="21086" xr:uid="{00000000-0005-0000-0000-00009D5C0000}"/>
    <cellStyle name="Separador de milhares 7 2 4 19 2 2" xfId="29961" xr:uid="{F9AD7AD3-EE6A-4A54-944A-8AD3B34DA343}"/>
    <cellStyle name="Separador de milhares 7 2 4 19 3" xfId="29960" xr:uid="{6BB90F25-2F5B-4BC7-B927-C27F8D73C397}"/>
    <cellStyle name="Separador de milhares 7 2 4 2" xfId="21087" xr:uid="{00000000-0005-0000-0000-00009E5C0000}"/>
    <cellStyle name="Separador de milhares 7 2 4 2 2" xfId="21088" xr:uid="{00000000-0005-0000-0000-00009F5C0000}"/>
    <cellStyle name="Separador de milhares 7 2 4 2 2 2" xfId="21089" xr:uid="{00000000-0005-0000-0000-0000A05C0000}"/>
    <cellStyle name="Separador de milhares 7 2 4 2 2 2 2" xfId="29963" xr:uid="{FBFB81CC-BB7F-4A55-AAEA-0E1183A885BF}"/>
    <cellStyle name="Separador de milhares 7 2 4 2 2 3" xfId="29962" xr:uid="{72F4B81D-E94B-432B-86EA-B7D3CAE389AF}"/>
    <cellStyle name="Separador de milhares 7 2 4 2 3" xfId="21090" xr:uid="{00000000-0005-0000-0000-0000A15C0000}"/>
    <cellStyle name="Separador de milhares 7 2 4 2 3 2" xfId="21091" xr:uid="{00000000-0005-0000-0000-0000A25C0000}"/>
    <cellStyle name="Separador de milhares 7 2 4 2 3 2 2" xfId="29965" xr:uid="{1E7DA280-9F27-4C25-9477-D021F8D95F18}"/>
    <cellStyle name="Separador de milhares 7 2 4 2 3 3" xfId="29964" xr:uid="{58D418B5-8820-4BB1-85C1-850C75BC510A}"/>
    <cellStyle name="Separador de milhares 7 2 4 2 4" xfId="21092" xr:uid="{00000000-0005-0000-0000-0000A35C0000}"/>
    <cellStyle name="Separador de milhares 7 2 4 2 4 2" xfId="21093" xr:uid="{00000000-0005-0000-0000-0000A45C0000}"/>
    <cellStyle name="Separador de milhares 7 2 4 2 4 2 2" xfId="29967" xr:uid="{15F4FFA7-91ED-4AE0-9176-86A508CE168C}"/>
    <cellStyle name="Separador de milhares 7 2 4 2 4 3" xfId="29966" xr:uid="{39FD5E1C-4B91-4C53-9C17-38F70D712138}"/>
    <cellStyle name="Separador de milhares 7 2 4 2 5" xfId="21094" xr:uid="{00000000-0005-0000-0000-0000A55C0000}"/>
    <cellStyle name="Separador de milhares 7 2 4 2 5 2" xfId="21095" xr:uid="{00000000-0005-0000-0000-0000A65C0000}"/>
    <cellStyle name="Separador de milhares 7 2 4 2 5 2 2" xfId="29969" xr:uid="{34DBF17B-AD70-4555-9218-4BDE57F3FD01}"/>
    <cellStyle name="Separador de milhares 7 2 4 2 5 3" xfId="29968" xr:uid="{326C9BF8-9AE9-44C4-A6AB-B7E03A0C8267}"/>
    <cellStyle name="Separador de milhares 7 2 4 2 6" xfId="21096" xr:uid="{00000000-0005-0000-0000-0000A75C0000}"/>
    <cellStyle name="Separador de milhares 7 2 4 2 6 2" xfId="29970" xr:uid="{C44CE393-B013-4F7F-B01A-003C1A5445DE}"/>
    <cellStyle name="Separador de milhares 7 2 4 20" xfId="21097" xr:uid="{00000000-0005-0000-0000-0000A85C0000}"/>
    <cellStyle name="Separador de milhares 7 2 4 20 2" xfId="21098" xr:uid="{00000000-0005-0000-0000-0000A95C0000}"/>
    <cellStyle name="Separador de milhares 7 2 4 20 2 2" xfId="29972" xr:uid="{D3B23DDB-F7F2-4B6C-A6E7-8F618606DB97}"/>
    <cellStyle name="Separador de milhares 7 2 4 20 3" xfId="29971" xr:uid="{86F4F405-B3FD-4164-8263-0690FA8AFCDB}"/>
    <cellStyle name="Separador de milhares 7 2 4 21" xfId="21099" xr:uid="{00000000-0005-0000-0000-0000AA5C0000}"/>
    <cellStyle name="Separador de milhares 7 2 4 21 2" xfId="21100" xr:uid="{00000000-0005-0000-0000-0000AB5C0000}"/>
    <cellStyle name="Separador de milhares 7 2 4 21 2 2" xfId="29974" xr:uid="{79AD8C04-98B6-4036-8B6A-93D4C502AC46}"/>
    <cellStyle name="Separador de milhares 7 2 4 21 3" xfId="29973" xr:uid="{0A1061FF-A5BA-4F29-B939-51A9EE762FA4}"/>
    <cellStyle name="Separador de milhares 7 2 4 22" xfId="21101" xr:uid="{00000000-0005-0000-0000-0000AC5C0000}"/>
    <cellStyle name="Separador de milhares 7 2 4 22 2" xfId="21102" xr:uid="{00000000-0005-0000-0000-0000AD5C0000}"/>
    <cellStyle name="Separador de milhares 7 2 4 22 2 2" xfId="29976" xr:uid="{33763394-2665-4B17-8D21-AD662306643C}"/>
    <cellStyle name="Separador de milhares 7 2 4 22 3" xfId="29975" xr:uid="{8459DDA8-A655-467D-BB7B-AD2EC890FEB4}"/>
    <cellStyle name="Separador de milhares 7 2 4 23" xfId="21103" xr:uid="{00000000-0005-0000-0000-0000AE5C0000}"/>
    <cellStyle name="Separador de milhares 7 2 4 23 2" xfId="21104" xr:uid="{00000000-0005-0000-0000-0000AF5C0000}"/>
    <cellStyle name="Separador de milhares 7 2 4 23 2 2" xfId="29978" xr:uid="{AAD33011-8598-4C8A-9575-2FA292483549}"/>
    <cellStyle name="Separador de milhares 7 2 4 23 3" xfId="29977" xr:uid="{E358CC71-0CD0-4CA0-A4CC-1AD1D04279A3}"/>
    <cellStyle name="Separador de milhares 7 2 4 24" xfId="21105" xr:uid="{00000000-0005-0000-0000-0000B05C0000}"/>
    <cellStyle name="Separador de milhares 7 2 4 24 2" xfId="21106" xr:uid="{00000000-0005-0000-0000-0000B15C0000}"/>
    <cellStyle name="Separador de milhares 7 2 4 24 2 2" xfId="29980" xr:uid="{F587EF75-2D2F-4094-9656-DBFC65C8CAEA}"/>
    <cellStyle name="Separador de milhares 7 2 4 24 3" xfId="29979" xr:uid="{14C50AB2-48C1-4AC8-BF7C-5F43C637FDD5}"/>
    <cellStyle name="Separador de milhares 7 2 4 25" xfId="21107" xr:uid="{00000000-0005-0000-0000-0000B25C0000}"/>
    <cellStyle name="Separador de milhares 7 2 4 25 2" xfId="21108" xr:uid="{00000000-0005-0000-0000-0000B35C0000}"/>
    <cellStyle name="Separador de milhares 7 2 4 25 2 2" xfId="29982" xr:uid="{518BC5D3-E426-46B9-8B73-F7A04E876EFC}"/>
    <cellStyle name="Separador de milhares 7 2 4 25 3" xfId="29981" xr:uid="{AE443D94-FDC0-48D4-AC50-9ADB275EB407}"/>
    <cellStyle name="Separador de milhares 7 2 4 26" xfId="21109" xr:uid="{00000000-0005-0000-0000-0000B45C0000}"/>
    <cellStyle name="Separador de milhares 7 2 4 26 2" xfId="21110" xr:uid="{00000000-0005-0000-0000-0000B55C0000}"/>
    <cellStyle name="Separador de milhares 7 2 4 26 2 2" xfId="29984" xr:uid="{91DF2F5D-707D-4BAB-BF21-F119D6075D14}"/>
    <cellStyle name="Separador de milhares 7 2 4 26 3" xfId="29983" xr:uid="{EB0F8693-B515-4398-BE85-8DC23F066CE1}"/>
    <cellStyle name="Separador de milhares 7 2 4 27" xfId="21111" xr:uid="{00000000-0005-0000-0000-0000B65C0000}"/>
    <cellStyle name="Separador de milhares 7 2 4 27 2" xfId="21112" xr:uid="{00000000-0005-0000-0000-0000B75C0000}"/>
    <cellStyle name="Separador de milhares 7 2 4 27 2 2" xfId="29986" xr:uid="{31EB2273-FBFB-4714-8A60-F1DE2532981A}"/>
    <cellStyle name="Separador de milhares 7 2 4 27 3" xfId="29985" xr:uid="{90563A5D-B3E6-474B-A268-6D2054339E83}"/>
    <cellStyle name="Separador de milhares 7 2 4 28" xfId="21113" xr:uid="{00000000-0005-0000-0000-0000B85C0000}"/>
    <cellStyle name="Separador de milhares 7 2 4 28 2" xfId="21114" xr:uid="{00000000-0005-0000-0000-0000B95C0000}"/>
    <cellStyle name="Separador de milhares 7 2 4 28 2 2" xfId="29988" xr:uid="{E1CD64B6-15E1-4034-897C-F8325F96FAE3}"/>
    <cellStyle name="Separador de milhares 7 2 4 28 3" xfId="29987" xr:uid="{75D63A41-CED5-4073-9FE7-094D751BD1FC}"/>
    <cellStyle name="Separador de milhares 7 2 4 29" xfId="21115" xr:uid="{00000000-0005-0000-0000-0000BA5C0000}"/>
    <cellStyle name="Separador de milhares 7 2 4 29 2" xfId="21116" xr:uid="{00000000-0005-0000-0000-0000BB5C0000}"/>
    <cellStyle name="Separador de milhares 7 2 4 29 2 2" xfId="29990" xr:uid="{899FD8F2-E9F4-4BE7-8EDC-D8ABB2271798}"/>
    <cellStyle name="Separador de milhares 7 2 4 29 3" xfId="29989" xr:uid="{5E577DFB-DC97-410A-BB3D-2661D15B1362}"/>
    <cellStyle name="Separador de milhares 7 2 4 3" xfId="21117" xr:uid="{00000000-0005-0000-0000-0000BC5C0000}"/>
    <cellStyle name="Separador de milhares 7 2 4 3 2" xfId="21118" xr:uid="{00000000-0005-0000-0000-0000BD5C0000}"/>
    <cellStyle name="Separador de milhares 7 2 4 3 2 2" xfId="21119" xr:uid="{00000000-0005-0000-0000-0000BE5C0000}"/>
    <cellStyle name="Separador de milhares 7 2 4 3 2 2 2" xfId="29992" xr:uid="{FB1948C7-7C78-465C-9EEC-1BFF4899B1BE}"/>
    <cellStyle name="Separador de milhares 7 2 4 3 2 3" xfId="29991" xr:uid="{7D4D6092-FB1B-4F5C-9F13-3681E253B8B4}"/>
    <cellStyle name="Separador de milhares 7 2 4 3 3" xfId="21120" xr:uid="{00000000-0005-0000-0000-0000BF5C0000}"/>
    <cellStyle name="Separador de milhares 7 2 4 3 3 2" xfId="21121" xr:uid="{00000000-0005-0000-0000-0000C05C0000}"/>
    <cellStyle name="Separador de milhares 7 2 4 3 3 2 2" xfId="29994" xr:uid="{08A55D5A-ABF2-4C38-A3AD-1411756CDFF8}"/>
    <cellStyle name="Separador de milhares 7 2 4 3 3 3" xfId="29993" xr:uid="{97AD440D-C9FF-4479-8650-5549B35B53FA}"/>
    <cellStyle name="Separador de milhares 7 2 4 3 4" xfId="21122" xr:uid="{00000000-0005-0000-0000-0000C15C0000}"/>
    <cellStyle name="Separador de milhares 7 2 4 3 4 2" xfId="21123" xr:uid="{00000000-0005-0000-0000-0000C25C0000}"/>
    <cellStyle name="Separador de milhares 7 2 4 3 4 2 2" xfId="29996" xr:uid="{FC7CC4D2-3738-4C4B-A8C6-19263CA19066}"/>
    <cellStyle name="Separador de milhares 7 2 4 3 4 3" xfId="29995" xr:uid="{B59F32D1-95F3-4A69-8170-FB86A6525D0F}"/>
    <cellStyle name="Separador de milhares 7 2 4 3 5" xfId="21124" xr:uid="{00000000-0005-0000-0000-0000C35C0000}"/>
    <cellStyle name="Separador de milhares 7 2 4 3 5 2" xfId="21125" xr:uid="{00000000-0005-0000-0000-0000C45C0000}"/>
    <cellStyle name="Separador de milhares 7 2 4 3 5 2 2" xfId="29998" xr:uid="{58A22BD8-320B-46AC-B981-9ED83DD292E4}"/>
    <cellStyle name="Separador de milhares 7 2 4 3 5 3" xfId="29997" xr:uid="{415F0EDA-5C66-4D74-9621-4114F876E2DD}"/>
    <cellStyle name="Separador de milhares 7 2 4 3 6" xfId="21126" xr:uid="{00000000-0005-0000-0000-0000C55C0000}"/>
    <cellStyle name="Separador de milhares 7 2 4 3 6 2" xfId="29999" xr:uid="{ABE3D67D-CD0A-4D64-9739-523C87622C38}"/>
    <cellStyle name="Separador de milhares 7 2 4 30" xfId="21127" xr:uid="{00000000-0005-0000-0000-0000C65C0000}"/>
    <cellStyle name="Separador de milhares 7 2 4 30 2" xfId="21128" xr:uid="{00000000-0005-0000-0000-0000C75C0000}"/>
    <cellStyle name="Separador de milhares 7 2 4 30 2 2" xfId="30001" xr:uid="{5A932A08-D09F-484C-A6BF-3A7C66146378}"/>
    <cellStyle name="Separador de milhares 7 2 4 30 3" xfId="30000" xr:uid="{436A7B9F-23A4-48D3-B4A1-BDD2F1371966}"/>
    <cellStyle name="Separador de milhares 7 2 4 31" xfId="21129" xr:uid="{00000000-0005-0000-0000-0000C85C0000}"/>
    <cellStyle name="Separador de milhares 7 2 4 31 2" xfId="21130" xr:uid="{00000000-0005-0000-0000-0000C95C0000}"/>
    <cellStyle name="Separador de milhares 7 2 4 31 2 2" xfId="30003" xr:uid="{131C9AF5-0B32-4FD4-977F-824227D2ED4B}"/>
    <cellStyle name="Separador de milhares 7 2 4 31 3" xfId="30002" xr:uid="{45BCE052-3D63-4504-BA07-0FB2F86C5F7E}"/>
    <cellStyle name="Separador de milhares 7 2 4 32" xfId="21131" xr:uid="{00000000-0005-0000-0000-0000CA5C0000}"/>
    <cellStyle name="Separador de milhares 7 2 4 32 2" xfId="21132" xr:uid="{00000000-0005-0000-0000-0000CB5C0000}"/>
    <cellStyle name="Separador de milhares 7 2 4 32 2 2" xfId="30005" xr:uid="{5179848C-7B61-4508-B574-1E2C9787C9C8}"/>
    <cellStyle name="Separador de milhares 7 2 4 32 3" xfId="30004" xr:uid="{52C053AC-F813-4324-BD10-1EC8BFA2C57E}"/>
    <cellStyle name="Separador de milhares 7 2 4 33" xfId="21133" xr:uid="{00000000-0005-0000-0000-0000CC5C0000}"/>
    <cellStyle name="Separador de milhares 7 2 4 33 2" xfId="21134" xr:uid="{00000000-0005-0000-0000-0000CD5C0000}"/>
    <cellStyle name="Separador de milhares 7 2 4 33 2 2" xfId="30007" xr:uid="{6BC5B3D2-0CB5-4D30-85E6-2275F2716B1F}"/>
    <cellStyle name="Separador de milhares 7 2 4 33 3" xfId="30006" xr:uid="{9EEB5C8F-68AD-40DA-8080-ED09C88225E3}"/>
    <cellStyle name="Separador de milhares 7 2 4 34" xfId="21135" xr:uid="{00000000-0005-0000-0000-0000CE5C0000}"/>
    <cellStyle name="Separador de milhares 7 2 4 34 2" xfId="21136" xr:uid="{00000000-0005-0000-0000-0000CF5C0000}"/>
    <cellStyle name="Separador de milhares 7 2 4 34 2 2" xfId="30009" xr:uid="{7BFFF7F3-FFD9-4C1C-BADC-FE70A5CDC0DE}"/>
    <cellStyle name="Separador de milhares 7 2 4 34 3" xfId="30008" xr:uid="{C759558B-2010-464B-90E6-388B6F571C0D}"/>
    <cellStyle name="Separador de milhares 7 2 4 35" xfId="21137" xr:uid="{00000000-0005-0000-0000-0000D05C0000}"/>
    <cellStyle name="Separador de milhares 7 2 4 35 2" xfId="21138" xr:uid="{00000000-0005-0000-0000-0000D15C0000}"/>
    <cellStyle name="Separador de milhares 7 2 4 35 2 2" xfId="30011" xr:uid="{E23B6890-7568-40F9-84F3-E26F09A4CBAB}"/>
    <cellStyle name="Separador de milhares 7 2 4 35 3" xfId="30010" xr:uid="{08239D77-2099-4D69-B2EC-2222A7017D23}"/>
    <cellStyle name="Separador de milhares 7 2 4 36" xfId="21139" xr:uid="{00000000-0005-0000-0000-0000D25C0000}"/>
    <cellStyle name="Separador de milhares 7 2 4 36 2" xfId="21140" xr:uid="{00000000-0005-0000-0000-0000D35C0000}"/>
    <cellStyle name="Separador de milhares 7 2 4 36 2 2" xfId="30013" xr:uid="{A9089E3B-B3DB-4D58-A210-A929F6C83B40}"/>
    <cellStyle name="Separador de milhares 7 2 4 36 3" xfId="30012" xr:uid="{CC33A2ED-47E8-4922-8E64-F1120868F333}"/>
    <cellStyle name="Separador de milhares 7 2 4 37" xfId="21141" xr:uid="{00000000-0005-0000-0000-0000D45C0000}"/>
    <cellStyle name="Separador de milhares 7 2 4 37 2" xfId="21142" xr:uid="{00000000-0005-0000-0000-0000D55C0000}"/>
    <cellStyle name="Separador de milhares 7 2 4 37 2 2" xfId="30015" xr:uid="{ECF06347-D3B9-4FF9-B00A-F906A56CC935}"/>
    <cellStyle name="Separador de milhares 7 2 4 37 3" xfId="30014" xr:uid="{08FA7E88-FAFC-45E3-B4A3-E7B16F16980F}"/>
    <cellStyle name="Separador de milhares 7 2 4 38" xfId="21143" xr:uid="{00000000-0005-0000-0000-0000D65C0000}"/>
    <cellStyle name="Separador de milhares 7 2 4 38 2" xfId="21144" xr:uid="{00000000-0005-0000-0000-0000D75C0000}"/>
    <cellStyle name="Separador de milhares 7 2 4 38 2 2" xfId="30017" xr:uid="{BC8DDB7A-27E5-4C21-85EE-B780FFFC127F}"/>
    <cellStyle name="Separador de milhares 7 2 4 38 3" xfId="30016" xr:uid="{07BAB3D1-E5DA-4CDD-9914-7BCD377C16AE}"/>
    <cellStyle name="Separador de milhares 7 2 4 39" xfId="21145" xr:uid="{00000000-0005-0000-0000-0000D85C0000}"/>
    <cellStyle name="Separador de milhares 7 2 4 39 2" xfId="21146" xr:uid="{00000000-0005-0000-0000-0000D95C0000}"/>
    <cellStyle name="Separador de milhares 7 2 4 39 2 2" xfId="30019" xr:uid="{D49C49D3-7E83-4C13-820F-123E9EC32B74}"/>
    <cellStyle name="Separador de milhares 7 2 4 39 3" xfId="30018" xr:uid="{0C464DF7-C5E3-45B4-81CE-84609521E8DF}"/>
    <cellStyle name="Separador de milhares 7 2 4 4" xfId="21147" xr:uid="{00000000-0005-0000-0000-0000DA5C0000}"/>
    <cellStyle name="Separador de milhares 7 2 4 4 2" xfId="21148" xr:uid="{00000000-0005-0000-0000-0000DB5C0000}"/>
    <cellStyle name="Separador de milhares 7 2 4 4 2 2" xfId="21149" xr:uid="{00000000-0005-0000-0000-0000DC5C0000}"/>
    <cellStyle name="Separador de milhares 7 2 4 4 2 2 2" xfId="30021" xr:uid="{B72F69B7-7CDF-4123-808E-ECC010074584}"/>
    <cellStyle name="Separador de milhares 7 2 4 4 2 3" xfId="30020" xr:uid="{F3F3952F-8B03-42F1-83DA-CAC7B756AB41}"/>
    <cellStyle name="Separador de milhares 7 2 4 4 3" xfId="21150" xr:uid="{00000000-0005-0000-0000-0000DD5C0000}"/>
    <cellStyle name="Separador de milhares 7 2 4 4 3 2" xfId="21151" xr:uid="{00000000-0005-0000-0000-0000DE5C0000}"/>
    <cellStyle name="Separador de milhares 7 2 4 4 3 2 2" xfId="30023" xr:uid="{BC43D96B-A4A0-4D56-A70C-9429B50BE280}"/>
    <cellStyle name="Separador de milhares 7 2 4 4 3 3" xfId="30022" xr:uid="{5B027C7C-CFFF-4AB6-9551-20F3F9D3F891}"/>
    <cellStyle name="Separador de milhares 7 2 4 4 4" xfId="21152" xr:uid="{00000000-0005-0000-0000-0000DF5C0000}"/>
    <cellStyle name="Separador de milhares 7 2 4 4 4 2" xfId="21153" xr:uid="{00000000-0005-0000-0000-0000E05C0000}"/>
    <cellStyle name="Separador de milhares 7 2 4 4 4 2 2" xfId="30025" xr:uid="{0B3E0205-F1CC-4D24-BA06-9D560B96A03C}"/>
    <cellStyle name="Separador de milhares 7 2 4 4 4 3" xfId="30024" xr:uid="{65FA7325-AD47-474E-A492-F19BFDDE5A70}"/>
    <cellStyle name="Separador de milhares 7 2 4 4 5" xfId="21154" xr:uid="{00000000-0005-0000-0000-0000E15C0000}"/>
    <cellStyle name="Separador de milhares 7 2 4 4 5 2" xfId="21155" xr:uid="{00000000-0005-0000-0000-0000E25C0000}"/>
    <cellStyle name="Separador de milhares 7 2 4 4 5 2 2" xfId="30027" xr:uid="{75AFB7C5-4731-4E43-9725-A24EC619F37D}"/>
    <cellStyle name="Separador de milhares 7 2 4 4 5 3" xfId="30026" xr:uid="{8953331C-3E50-4B34-B4FE-704905ADA790}"/>
    <cellStyle name="Separador de milhares 7 2 4 4 6" xfId="21156" xr:uid="{00000000-0005-0000-0000-0000E35C0000}"/>
    <cellStyle name="Separador de milhares 7 2 4 4 6 2" xfId="30028" xr:uid="{47D9FDBC-110A-4C71-A899-5FC5715E2F8D}"/>
    <cellStyle name="Separador de milhares 7 2 4 40" xfId="21157" xr:uid="{00000000-0005-0000-0000-0000E45C0000}"/>
    <cellStyle name="Separador de milhares 7 2 4 40 2" xfId="21158" xr:uid="{00000000-0005-0000-0000-0000E55C0000}"/>
    <cellStyle name="Separador de milhares 7 2 4 40 2 2" xfId="30030" xr:uid="{D09F1031-2A3C-4CFC-B1D6-7BF8CCF16CD6}"/>
    <cellStyle name="Separador de milhares 7 2 4 40 3" xfId="30029" xr:uid="{275E4555-E9BD-4B8F-839C-CECC8234BB24}"/>
    <cellStyle name="Separador de milhares 7 2 4 41" xfId="21159" xr:uid="{00000000-0005-0000-0000-0000E65C0000}"/>
    <cellStyle name="Separador de milhares 7 2 4 41 2" xfId="21160" xr:uid="{00000000-0005-0000-0000-0000E75C0000}"/>
    <cellStyle name="Separador de milhares 7 2 4 41 2 2" xfId="30032" xr:uid="{0ADE7A41-7A2F-4C63-A7D1-FFD1DECFED35}"/>
    <cellStyle name="Separador de milhares 7 2 4 41 3" xfId="30031" xr:uid="{15AF3041-5EE6-4F7F-A7B0-E1AF9D65BBAA}"/>
    <cellStyle name="Separador de milhares 7 2 4 42" xfId="21161" xr:uid="{00000000-0005-0000-0000-0000E85C0000}"/>
    <cellStyle name="Separador de milhares 7 2 4 42 2" xfId="21162" xr:uid="{00000000-0005-0000-0000-0000E95C0000}"/>
    <cellStyle name="Separador de milhares 7 2 4 42 2 2" xfId="30034" xr:uid="{4AD5F984-1848-45DF-949E-93630D275D82}"/>
    <cellStyle name="Separador de milhares 7 2 4 42 3" xfId="30033" xr:uid="{BD110679-428F-4B8D-B6E6-17CBE8C6204F}"/>
    <cellStyle name="Separador de milhares 7 2 4 43" xfId="21163" xr:uid="{00000000-0005-0000-0000-0000EA5C0000}"/>
    <cellStyle name="Separador de milhares 7 2 4 43 2" xfId="21164" xr:uid="{00000000-0005-0000-0000-0000EB5C0000}"/>
    <cellStyle name="Separador de milhares 7 2 4 43 2 2" xfId="30036" xr:uid="{EC9BE14F-F9F6-4C30-B8C3-056EBAEB72B5}"/>
    <cellStyle name="Separador de milhares 7 2 4 43 3" xfId="30035" xr:uid="{28D89FD4-CE1E-415F-8179-BFAB16132562}"/>
    <cellStyle name="Separador de milhares 7 2 4 44" xfId="21165" xr:uid="{00000000-0005-0000-0000-0000EC5C0000}"/>
    <cellStyle name="Separador de milhares 7 2 4 44 2" xfId="21166" xr:uid="{00000000-0005-0000-0000-0000ED5C0000}"/>
    <cellStyle name="Separador de milhares 7 2 4 44 2 2" xfId="30038" xr:uid="{928C334A-2227-458D-BCED-6DFFA4521BDB}"/>
    <cellStyle name="Separador de milhares 7 2 4 44 3" xfId="30037" xr:uid="{2FD9EB12-DC88-4D84-BCEB-343281667464}"/>
    <cellStyle name="Separador de milhares 7 2 4 45" xfId="21167" xr:uid="{00000000-0005-0000-0000-0000EE5C0000}"/>
    <cellStyle name="Separador de milhares 7 2 4 45 2" xfId="21168" xr:uid="{00000000-0005-0000-0000-0000EF5C0000}"/>
    <cellStyle name="Separador de milhares 7 2 4 45 2 2" xfId="30040" xr:uid="{E2710DB4-3E37-41D7-8B0C-57B7D993C2B7}"/>
    <cellStyle name="Separador de milhares 7 2 4 45 3" xfId="30039" xr:uid="{08DD1FE5-4D01-4785-ADFA-C03A5831A885}"/>
    <cellStyle name="Separador de milhares 7 2 4 46" xfId="21169" xr:uid="{00000000-0005-0000-0000-0000F05C0000}"/>
    <cellStyle name="Separador de milhares 7 2 4 46 2" xfId="30041" xr:uid="{12D7F525-9457-44CF-9A01-F905BE5FEB96}"/>
    <cellStyle name="Separador de milhares 7 2 4 47" xfId="21066" xr:uid="{00000000-0005-0000-0000-0000F15C0000}"/>
    <cellStyle name="Separador de milhares 7 2 4 48" xfId="28072" xr:uid="{52B54BA2-876B-4D37-A920-D23DD5D2E894}"/>
    <cellStyle name="Separador de milhares 7 2 4 5" xfId="21170" xr:uid="{00000000-0005-0000-0000-0000F25C0000}"/>
    <cellStyle name="Separador de milhares 7 2 4 5 2" xfId="21171" xr:uid="{00000000-0005-0000-0000-0000F35C0000}"/>
    <cellStyle name="Separador de milhares 7 2 4 5 2 2" xfId="30043" xr:uid="{A89F99A1-05B4-4E47-979F-0E062C8D4ED0}"/>
    <cellStyle name="Separador de milhares 7 2 4 5 3" xfId="30042" xr:uid="{72287F14-9AC0-4C02-8A93-065F210BB0B2}"/>
    <cellStyle name="Separador de milhares 7 2 4 6" xfId="21172" xr:uid="{00000000-0005-0000-0000-0000F45C0000}"/>
    <cellStyle name="Separador de milhares 7 2 4 6 2" xfId="21173" xr:uid="{00000000-0005-0000-0000-0000F55C0000}"/>
    <cellStyle name="Separador de milhares 7 2 4 6 2 2" xfId="30045" xr:uid="{9B1E6C94-F505-404E-809C-286A0F58F3DF}"/>
    <cellStyle name="Separador de milhares 7 2 4 6 3" xfId="30044" xr:uid="{396CC278-035C-48AB-8F00-43AC9138C04A}"/>
    <cellStyle name="Separador de milhares 7 2 4 7" xfId="21174" xr:uid="{00000000-0005-0000-0000-0000F65C0000}"/>
    <cellStyle name="Separador de milhares 7 2 4 7 2" xfId="21175" xr:uid="{00000000-0005-0000-0000-0000F75C0000}"/>
    <cellStyle name="Separador de milhares 7 2 4 7 2 2" xfId="30047" xr:uid="{890A58FD-E134-4B86-9FC3-C074353EAC12}"/>
    <cellStyle name="Separador de milhares 7 2 4 7 3" xfId="30046" xr:uid="{860B0C1E-9E5F-4749-88A1-2ED9E9107C20}"/>
    <cellStyle name="Separador de milhares 7 2 4 8" xfId="21176" xr:uid="{00000000-0005-0000-0000-0000F85C0000}"/>
    <cellStyle name="Separador de milhares 7 2 4 8 2" xfId="21177" xr:uid="{00000000-0005-0000-0000-0000F95C0000}"/>
    <cellStyle name="Separador de milhares 7 2 4 8 2 2" xfId="30049" xr:uid="{5629872D-1D81-40F3-8478-C3EC75F84F01}"/>
    <cellStyle name="Separador de milhares 7 2 4 8 3" xfId="30048" xr:uid="{E90D3AB8-2D10-46AA-A698-E2513EE0DCCE}"/>
    <cellStyle name="Separador de milhares 7 2 4 9" xfId="21178" xr:uid="{00000000-0005-0000-0000-0000FA5C0000}"/>
    <cellStyle name="Separador de milhares 7 2 4 9 2" xfId="21179" xr:uid="{00000000-0005-0000-0000-0000FB5C0000}"/>
    <cellStyle name="Separador de milhares 7 2 4 9 2 2" xfId="30051" xr:uid="{17AC497E-0EC6-4F5F-B0CA-76E9FA1D5098}"/>
    <cellStyle name="Separador de milhares 7 2 4 9 3" xfId="30050" xr:uid="{F5A66E5F-5F1F-4D25-8ACC-33EDDBDCD2CE}"/>
    <cellStyle name="Separador de milhares 7 2 40" xfId="21180" xr:uid="{00000000-0005-0000-0000-0000FC5C0000}"/>
    <cellStyle name="Separador de milhares 7 2 40 2" xfId="21181" xr:uid="{00000000-0005-0000-0000-0000FD5C0000}"/>
    <cellStyle name="Separador de milhares 7 2 40 2 2" xfId="30053" xr:uid="{F5F6A961-79A0-4C60-8E97-7ADF63A0254F}"/>
    <cellStyle name="Separador de milhares 7 2 40 3" xfId="30052" xr:uid="{4F650D60-E53F-44BB-BE43-0A84527C3E78}"/>
    <cellStyle name="Separador de milhares 7 2 41" xfId="21182" xr:uid="{00000000-0005-0000-0000-0000FE5C0000}"/>
    <cellStyle name="Separador de milhares 7 2 41 2" xfId="21183" xr:uid="{00000000-0005-0000-0000-0000FF5C0000}"/>
    <cellStyle name="Separador de milhares 7 2 41 2 2" xfId="30055" xr:uid="{80CF1C85-86AD-4AD2-AE4A-51B4B3476222}"/>
    <cellStyle name="Separador de milhares 7 2 41 3" xfId="30054" xr:uid="{155B13BE-6798-47E5-9058-0EA9FAE73BEE}"/>
    <cellStyle name="Separador de milhares 7 2 42" xfId="21184" xr:uid="{00000000-0005-0000-0000-0000005D0000}"/>
    <cellStyle name="Separador de milhares 7 2 42 2" xfId="21185" xr:uid="{00000000-0005-0000-0000-0000015D0000}"/>
    <cellStyle name="Separador de milhares 7 2 42 2 2" xfId="30057" xr:uid="{9B877AB7-A60E-4A92-A2B3-28CA2D49F9B5}"/>
    <cellStyle name="Separador de milhares 7 2 42 3" xfId="30056" xr:uid="{81A926E3-965B-4EBE-9DF1-B3AF36744A6C}"/>
    <cellStyle name="Separador de milhares 7 2 43" xfId="21186" xr:uid="{00000000-0005-0000-0000-0000025D0000}"/>
    <cellStyle name="Separador de milhares 7 2 43 2" xfId="21187" xr:uid="{00000000-0005-0000-0000-0000035D0000}"/>
    <cellStyle name="Separador de milhares 7 2 43 2 2" xfId="30059" xr:uid="{B8D0925E-3607-4586-9689-3DD18C7BEC20}"/>
    <cellStyle name="Separador de milhares 7 2 43 3" xfId="30058" xr:uid="{FEDAD6B1-DEFD-483A-B495-AD768929F7BD}"/>
    <cellStyle name="Separador de milhares 7 2 44" xfId="21188" xr:uid="{00000000-0005-0000-0000-0000045D0000}"/>
    <cellStyle name="Separador de milhares 7 2 44 2" xfId="21189" xr:uid="{00000000-0005-0000-0000-0000055D0000}"/>
    <cellStyle name="Separador de milhares 7 2 44 2 2" xfId="30061" xr:uid="{528E6CF0-5E82-4A66-AA76-A7D785ED3DEA}"/>
    <cellStyle name="Separador de milhares 7 2 44 3" xfId="30060" xr:uid="{3C72FD07-9ABF-4BC0-BF60-89B188634104}"/>
    <cellStyle name="Separador de milhares 7 2 45" xfId="21190" xr:uid="{00000000-0005-0000-0000-0000065D0000}"/>
    <cellStyle name="Separador de milhares 7 2 45 2" xfId="21191" xr:uid="{00000000-0005-0000-0000-0000075D0000}"/>
    <cellStyle name="Separador de milhares 7 2 45 2 2" xfId="30063" xr:uid="{47765A68-04FC-4CC4-ABFA-CC87A0A81BDC}"/>
    <cellStyle name="Separador de milhares 7 2 45 3" xfId="30062" xr:uid="{FA4EFB6D-012D-45AC-8F5B-0452EA53B99B}"/>
    <cellStyle name="Separador de milhares 7 2 46" xfId="21192" xr:uid="{00000000-0005-0000-0000-0000085D0000}"/>
    <cellStyle name="Separador de milhares 7 2 46 2" xfId="21193" xr:uid="{00000000-0005-0000-0000-0000095D0000}"/>
    <cellStyle name="Separador de milhares 7 2 46 2 2" xfId="30065" xr:uid="{DFC77B52-A3FC-46C6-83D5-BA5F964206CD}"/>
    <cellStyle name="Separador de milhares 7 2 46 3" xfId="30064" xr:uid="{59C0166E-E3FF-4A7E-8792-7F68F9D6ED9F}"/>
    <cellStyle name="Separador de milhares 7 2 47" xfId="21194" xr:uid="{00000000-0005-0000-0000-00000A5D0000}"/>
    <cellStyle name="Separador de milhares 7 2 47 2" xfId="21195" xr:uid="{00000000-0005-0000-0000-00000B5D0000}"/>
    <cellStyle name="Separador de milhares 7 2 47 2 2" xfId="30067" xr:uid="{853456DA-A014-47A3-BA5D-D3BC41DFB19C}"/>
    <cellStyle name="Separador de milhares 7 2 47 3" xfId="30066" xr:uid="{DBA61DDE-11A9-4259-A105-B16AE62C3C22}"/>
    <cellStyle name="Separador de milhares 7 2 48" xfId="21196" xr:uid="{00000000-0005-0000-0000-00000C5D0000}"/>
    <cellStyle name="Separador de milhares 7 2 48 2" xfId="21197" xr:uid="{00000000-0005-0000-0000-00000D5D0000}"/>
    <cellStyle name="Separador de milhares 7 2 48 2 2" xfId="30069" xr:uid="{4296D1CB-4C4B-4527-9E26-E42E3B2E6C8E}"/>
    <cellStyle name="Separador de milhares 7 2 48 3" xfId="30068" xr:uid="{57D6C76B-8B4B-4375-8F48-680AD932087C}"/>
    <cellStyle name="Separador de milhares 7 2 49" xfId="21198" xr:uid="{00000000-0005-0000-0000-00000E5D0000}"/>
    <cellStyle name="Separador de milhares 7 2 49 2" xfId="21199" xr:uid="{00000000-0005-0000-0000-00000F5D0000}"/>
    <cellStyle name="Separador de milhares 7 2 49 2 2" xfId="30071" xr:uid="{6D81B3AA-9C3B-4208-B354-210B88EB069E}"/>
    <cellStyle name="Separador de milhares 7 2 49 3" xfId="30070" xr:uid="{F46CB8BC-DB1C-4B3E-AF6B-D10F22E9469C}"/>
    <cellStyle name="Separador de milhares 7 2 5" xfId="21200" xr:uid="{00000000-0005-0000-0000-0000105D0000}"/>
    <cellStyle name="Separador de milhares 7 2 5 10" xfId="21201" xr:uid="{00000000-0005-0000-0000-0000115D0000}"/>
    <cellStyle name="Separador de milhares 7 2 5 10 2" xfId="21202" xr:uid="{00000000-0005-0000-0000-0000125D0000}"/>
    <cellStyle name="Separador de milhares 7 2 5 10 2 2" xfId="30073" xr:uid="{888F022E-38E3-4CA6-AB06-A90BEE49A851}"/>
    <cellStyle name="Separador de milhares 7 2 5 10 3" xfId="30072" xr:uid="{C79598EB-1214-4FC2-A127-1CC26A3D897C}"/>
    <cellStyle name="Separador de milhares 7 2 5 11" xfId="21203" xr:uid="{00000000-0005-0000-0000-0000135D0000}"/>
    <cellStyle name="Separador de milhares 7 2 5 11 2" xfId="21204" xr:uid="{00000000-0005-0000-0000-0000145D0000}"/>
    <cellStyle name="Separador de milhares 7 2 5 11 2 2" xfId="30075" xr:uid="{220AA6B1-D55B-4F6E-B35F-F965BDCB7F5D}"/>
    <cellStyle name="Separador de milhares 7 2 5 11 3" xfId="30074" xr:uid="{DF0FDBEF-0AAE-4F1D-8FC1-219C15F872E6}"/>
    <cellStyle name="Separador de milhares 7 2 5 12" xfId="21205" xr:uid="{00000000-0005-0000-0000-0000155D0000}"/>
    <cellStyle name="Separador de milhares 7 2 5 12 2" xfId="21206" xr:uid="{00000000-0005-0000-0000-0000165D0000}"/>
    <cellStyle name="Separador de milhares 7 2 5 12 2 2" xfId="30077" xr:uid="{37BD2F64-007C-4658-AC78-9FC91A6A0AA3}"/>
    <cellStyle name="Separador de milhares 7 2 5 12 3" xfId="30076" xr:uid="{9BA02A3E-07A5-42F5-B382-A54F6EB02598}"/>
    <cellStyle name="Separador de milhares 7 2 5 13" xfId="21207" xr:uid="{00000000-0005-0000-0000-0000175D0000}"/>
    <cellStyle name="Separador de milhares 7 2 5 13 2" xfId="21208" xr:uid="{00000000-0005-0000-0000-0000185D0000}"/>
    <cellStyle name="Separador de milhares 7 2 5 13 2 2" xfId="30079" xr:uid="{D5EA2B0F-8204-4084-BA52-30938D12B931}"/>
    <cellStyle name="Separador de milhares 7 2 5 13 3" xfId="30078" xr:uid="{59A8D5A5-1C7A-4359-BD6B-491F0B75F825}"/>
    <cellStyle name="Separador de milhares 7 2 5 14" xfId="21209" xr:uid="{00000000-0005-0000-0000-0000195D0000}"/>
    <cellStyle name="Separador de milhares 7 2 5 14 2" xfId="21210" xr:uid="{00000000-0005-0000-0000-00001A5D0000}"/>
    <cellStyle name="Separador de milhares 7 2 5 14 2 2" xfId="30081" xr:uid="{DE59C4E2-9FF5-4224-930C-73CB80D1E804}"/>
    <cellStyle name="Separador de milhares 7 2 5 14 3" xfId="30080" xr:uid="{08539AFF-F223-4912-9C1E-65FE63007CC8}"/>
    <cellStyle name="Separador de milhares 7 2 5 15" xfId="21211" xr:uid="{00000000-0005-0000-0000-00001B5D0000}"/>
    <cellStyle name="Separador de milhares 7 2 5 15 2" xfId="21212" xr:uid="{00000000-0005-0000-0000-00001C5D0000}"/>
    <cellStyle name="Separador de milhares 7 2 5 15 2 2" xfId="30083" xr:uid="{F7EFF50D-DCBC-4CED-A4AD-FA18168A1438}"/>
    <cellStyle name="Separador de milhares 7 2 5 15 3" xfId="30082" xr:uid="{8E93AA22-AC19-4DD5-8C32-617278203925}"/>
    <cellStyle name="Separador de milhares 7 2 5 16" xfId="21213" xr:uid="{00000000-0005-0000-0000-00001D5D0000}"/>
    <cellStyle name="Separador de milhares 7 2 5 16 2" xfId="21214" xr:uid="{00000000-0005-0000-0000-00001E5D0000}"/>
    <cellStyle name="Separador de milhares 7 2 5 16 2 2" xfId="30085" xr:uid="{D70F0902-4357-4E75-8AB6-5807982E41E9}"/>
    <cellStyle name="Separador de milhares 7 2 5 16 3" xfId="30084" xr:uid="{F42F2330-E0E7-4EFD-BB90-564B4FA0DF9F}"/>
    <cellStyle name="Separador de milhares 7 2 5 17" xfId="21215" xr:uid="{00000000-0005-0000-0000-00001F5D0000}"/>
    <cellStyle name="Separador de milhares 7 2 5 17 2" xfId="21216" xr:uid="{00000000-0005-0000-0000-0000205D0000}"/>
    <cellStyle name="Separador de milhares 7 2 5 17 2 2" xfId="30087" xr:uid="{FFEB5CA7-C6DD-4698-A710-75A37BFBA9DC}"/>
    <cellStyle name="Separador de milhares 7 2 5 17 3" xfId="30086" xr:uid="{61751C7B-CFA4-4CD6-A3E5-099DCE9CFCF6}"/>
    <cellStyle name="Separador de milhares 7 2 5 18" xfId="21217" xr:uid="{00000000-0005-0000-0000-0000215D0000}"/>
    <cellStyle name="Separador de milhares 7 2 5 18 2" xfId="21218" xr:uid="{00000000-0005-0000-0000-0000225D0000}"/>
    <cellStyle name="Separador de milhares 7 2 5 18 2 2" xfId="30089" xr:uid="{2DC1A0BC-BEA4-46A1-8D91-46FEB26ABFD3}"/>
    <cellStyle name="Separador de milhares 7 2 5 18 3" xfId="30088" xr:uid="{ABC9FD99-1809-4D54-89CE-64CD2E0337C9}"/>
    <cellStyle name="Separador de milhares 7 2 5 19" xfId="21219" xr:uid="{00000000-0005-0000-0000-0000235D0000}"/>
    <cellStyle name="Separador de milhares 7 2 5 19 2" xfId="21220" xr:uid="{00000000-0005-0000-0000-0000245D0000}"/>
    <cellStyle name="Separador de milhares 7 2 5 19 2 2" xfId="30091" xr:uid="{CB32A36E-295C-440C-8D1A-FA036D2BAE4D}"/>
    <cellStyle name="Separador de milhares 7 2 5 19 3" xfId="30090" xr:uid="{5354A2FC-E03D-4CCF-840C-E611112246AA}"/>
    <cellStyle name="Separador de milhares 7 2 5 2" xfId="21221" xr:uid="{00000000-0005-0000-0000-0000255D0000}"/>
    <cellStyle name="Separador de milhares 7 2 5 2 2" xfId="21222" xr:uid="{00000000-0005-0000-0000-0000265D0000}"/>
    <cellStyle name="Separador de milhares 7 2 5 2 2 2" xfId="30092" xr:uid="{84923924-5630-4B0B-A221-FA5B4632544E}"/>
    <cellStyle name="Separador de milhares 7 2 5 20" xfId="21223" xr:uid="{00000000-0005-0000-0000-0000275D0000}"/>
    <cellStyle name="Separador de milhares 7 2 5 20 2" xfId="21224" xr:uid="{00000000-0005-0000-0000-0000285D0000}"/>
    <cellStyle name="Separador de milhares 7 2 5 20 2 2" xfId="30094" xr:uid="{AB72DE10-D9E1-4A2C-9F21-4D5BD0F4770F}"/>
    <cellStyle name="Separador de milhares 7 2 5 20 3" xfId="30093" xr:uid="{D9E04A11-A7F5-4CFA-B572-77A06A6ED1FA}"/>
    <cellStyle name="Separador de milhares 7 2 5 21" xfId="21225" xr:uid="{00000000-0005-0000-0000-0000295D0000}"/>
    <cellStyle name="Separador de milhares 7 2 5 21 2" xfId="21226" xr:uid="{00000000-0005-0000-0000-00002A5D0000}"/>
    <cellStyle name="Separador de milhares 7 2 5 21 2 2" xfId="30096" xr:uid="{1A591393-53DD-43B8-850F-207E4624B754}"/>
    <cellStyle name="Separador de milhares 7 2 5 21 3" xfId="30095" xr:uid="{46591FC2-9A90-4409-A5D6-D00A3BB3F657}"/>
    <cellStyle name="Separador de milhares 7 2 5 22" xfId="21227" xr:uid="{00000000-0005-0000-0000-00002B5D0000}"/>
    <cellStyle name="Separador de milhares 7 2 5 22 2" xfId="21228" xr:uid="{00000000-0005-0000-0000-00002C5D0000}"/>
    <cellStyle name="Separador de milhares 7 2 5 22 2 2" xfId="30098" xr:uid="{E82FFA1F-F182-4C98-9A8A-4A5E6DE43BE6}"/>
    <cellStyle name="Separador de milhares 7 2 5 22 3" xfId="30097" xr:uid="{72498D4E-2ADD-4150-8B9C-D42238B4C5DE}"/>
    <cellStyle name="Separador de milhares 7 2 5 23" xfId="21229" xr:uid="{00000000-0005-0000-0000-00002D5D0000}"/>
    <cellStyle name="Separador de milhares 7 2 5 23 2" xfId="21230" xr:uid="{00000000-0005-0000-0000-00002E5D0000}"/>
    <cellStyle name="Separador de milhares 7 2 5 23 2 2" xfId="30100" xr:uid="{8F06F136-48C3-4B21-B15A-E6E06EBC2543}"/>
    <cellStyle name="Separador de milhares 7 2 5 23 3" xfId="30099" xr:uid="{75081477-F190-4B2C-AE45-463E0039F622}"/>
    <cellStyle name="Separador de milhares 7 2 5 24" xfId="21231" xr:uid="{00000000-0005-0000-0000-00002F5D0000}"/>
    <cellStyle name="Separador de milhares 7 2 5 24 2" xfId="21232" xr:uid="{00000000-0005-0000-0000-0000305D0000}"/>
    <cellStyle name="Separador de milhares 7 2 5 24 2 2" xfId="30102" xr:uid="{076E6607-2A62-496B-9D96-FB0E69A0101C}"/>
    <cellStyle name="Separador de milhares 7 2 5 24 3" xfId="30101" xr:uid="{A476B3C9-6E38-4F09-8839-DB10495C9293}"/>
    <cellStyle name="Separador de milhares 7 2 5 25" xfId="21233" xr:uid="{00000000-0005-0000-0000-0000315D0000}"/>
    <cellStyle name="Separador de milhares 7 2 5 25 2" xfId="21234" xr:uid="{00000000-0005-0000-0000-0000325D0000}"/>
    <cellStyle name="Separador de milhares 7 2 5 25 2 2" xfId="30104" xr:uid="{0AA6208A-E1A6-48FD-ABA3-4C1A826E2801}"/>
    <cellStyle name="Separador de milhares 7 2 5 25 3" xfId="30103" xr:uid="{1463AC14-3F84-44CF-88F6-03241C280A90}"/>
    <cellStyle name="Separador de milhares 7 2 5 26" xfId="21235" xr:uid="{00000000-0005-0000-0000-0000335D0000}"/>
    <cellStyle name="Separador de milhares 7 2 5 26 2" xfId="21236" xr:uid="{00000000-0005-0000-0000-0000345D0000}"/>
    <cellStyle name="Separador de milhares 7 2 5 26 2 2" xfId="30106" xr:uid="{CE9643EB-3B67-4B03-921E-A355129F8BF3}"/>
    <cellStyle name="Separador de milhares 7 2 5 26 3" xfId="30105" xr:uid="{26BB9EE9-3D05-4D0A-81CE-A50BBBEE3192}"/>
    <cellStyle name="Separador de milhares 7 2 5 27" xfId="21237" xr:uid="{00000000-0005-0000-0000-0000355D0000}"/>
    <cellStyle name="Separador de milhares 7 2 5 27 2" xfId="21238" xr:uid="{00000000-0005-0000-0000-0000365D0000}"/>
    <cellStyle name="Separador de milhares 7 2 5 27 2 2" xfId="30108" xr:uid="{5623C71E-5F8B-45E8-844D-8C8066739899}"/>
    <cellStyle name="Separador de milhares 7 2 5 27 3" xfId="30107" xr:uid="{763923EB-E82B-4EE7-BE52-3272D0A32B9C}"/>
    <cellStyle name="Separador de milhares 7 2 5 28" xfId="21239" xr:uid="{00000000-0005-0000-0000-0000375D0000}"/>
    <cellStyle name="Separador de milhares 7 2 5 28 2" xfId="21240" xr:uid="{00000000-0005-0000-0000-0000385D0000}"/>
    <cellStyle name="Separador de milhares 7 2 5 28 2 2" xfId="30110" xr:uid="{DAA32F92-6907-4E38-AF87-AC29F30F0E41}"/>
    <cellStyle name="Separador de milhares 7 2 5 28 3" xfId="30109" xr:uid="{47B96CEF-F8F8-4624-8BDA-B518D79E3E3E}"/>
    <cellStyle name="Separador de milhares 7 2 5 29" xfId="21241" xr:uid="{00000000-0005-0000-0000-0000395D0000}"/>
    <cellStyle name="Separador de milhares 7 2 5 29 2" xfId="21242" xr:uid="{00000000-0005-0000-0000-00003A5D0000}"/>
    <cellStyle name="Separador de milhares 7 2 5 29 2 2" xfId="30112" xr:uid="{42A756F3-9912-4FEB-87DE-E87838DD8F82}"/>
    <cellStyle name="Separador de milhares 7 2 5 29 3" xfId="30111" xr:uid="{25AA59B7-3DE0-44A3-B71D-1BE4518BD11C}"/>
    <cellStyle name="Separador de milhares 7 2 5 3" xfId="21243" xr:uid="{00000000-0005-0000-0000-00003B5D0000}"/>
    <cellStyle name="Separador de milhares 7 2 5 3 2" xfId="21244" xr:uid="{00000000-0005-0000-0000-00003C5D0000}"/>
    <cellStyle name="Separador de milhares 7 2 5 3 2 2" xfId="30113" xr:uid="{03EB7691-0AF5-4F88-A742-8F49E145EA5F}"/>
    <cellStyle name="Separador de milhares 7 2 5 30" xfId="21245" xr:uid="{00000000-0005-0000-0000-00003D5D0000}"/>
    <cellStyle name="Separador de milhares 7 2 5 30 2" xfId="21246" xr:uid="{00000000-0005-0000-0000-00003E5D0000}"/>
    <cellStyle name="Separador de milhares 7 2 5 30 2 2" xfId="30115" xr:uid="{3AF54C62-C9C8-4F9B-B26A-141DE7EF7150}"/>
    <cellStyle name="Separador de milhares 7 2 5 30 3" xfId="30114" xr:uid="{F287F2C1-AB02-4E66-8083-C1F22FFFCEBE}"/>
    <cellStyle name="Separador de milhares 7 2 5 31" xfId="21247" xr:uid="{00000000-0005-0000-0000-00003F5D0000}"/>
    <cellStyle name="Separador de milhares 7 2 5 31 2" xfId="21248" xr:uid="{00000000-0005-0000-0000-0000405D0000}"/>
    <cellStyle name="Separador de milhares 7 2 5 31 2 2" xfId="30117" xr:uid="{D8E2A3AC-AE16-4A46-AB24-4D5B998DB6F8}"/>
    <cellStyle name="Separador de milhares 7 2 5 31 3" xfId="30116" xr:uid="{EED1C41B-00CB-47AF-9A06-9A898DB249D1}"/>
    <cellStyle name="Separador de milhares 7 2 5 32" xfId="21249" xr:uid="{00000000-0005-0000-0000-0000415D0000}"/>
    <cellStyle name="Separador de milhares 7 2 5 32 2" xfId="21250" xr:uid="{00000000-0005-0000-0000-0000425D0000}"/>
    <cellStyle name="Separador de milhares 7 2 5 32 2 2" xfId="30119" xr:uid="{535FBFEF-56D2-491E-8837-631493AB7406}"/>
    <cellStyle name="Separador de milhares 7 2 5 32 3" xfId="30118" xr:uid="{D2B1A5F2-F802-416F-8B17-072DE14BDD92}"/>
    <cellStyle name="Separador de milhares 7 2 5 33" xfId="21251" xr:uid="{00000000-0005-0000-0000-0000435D0000}"/>
    <cellStyle name="Separador de milhares 7 2 5 33 2" xfId="21252" xr:uid="{00000000-0005-0000-0000-0000445D0000}"/>
    <cellStyle name="Separador de milhares 7 2 5 33 2 2" xfId="30121" xr:uid="{267117CD-A0CE-4FC9-9718-D7DE55CF20CE}"/>
    <cellStyle name="Separador de milhares 7 2 5 33 3" xfId="30120" xr:uid="{B665C322-3905-4A9D-BDB4-4A2C3C2090BC}"/>
    <cellStyle name="Separador de milhares 7 2 5 34" xfId="21253" xr:uid="{00000000-0005-0000-0000-0000455D0000}"/>
    <cellStyle name="Separador de milhares 7 2 5 34 2" xfId="21254" xr:uid="{00000000-0005-0000-0000-0000465D0000}"/>
    <cellStyle name="Separador de milhares 7 2 5 34 2 2" xfId="30123" xr:uid="{8EBAC31D-614C-4A0A-A309-2BE989203FE6}"/>
    <cellStyle name="Separador de milhares 7 2 5 34 3" xfId="30122" xr:uid="{C615141C-6C0F-4FB5-9C42-F60D4E61618D}"/>
    <cellStyle name="Separador de milhares 7 2 5 35" xfId="21255" xr:uid="{00000000-0005-0000-0000-0000475D0000}"/>
    <cellStyle name="Separador de milhares 7 2 5 35 2" xfId="30124" xr:uid="{EE450024-EBB4-4C28-A5E4-E35F65845991}"/>
    <cellStyle name="Separador de milhares 7 2 5 4" xfId="21256" xr:uid="{00000000-0005-0000-0000-0000485D0000}"/>
    <cellStyle name="Separador de milhares 7 2 5 4 2" xfId="21257" xr:uid="{00000000-0005-0000-0000-0000495D0000}"/>
    <cellStyle name="Separador de milhares 7 2 5 4 2 2" xfId="30125" xr:uid="{8E79C68D-377A-4265-BADB-05F0A2371EFC}"/>
    <cellStyle name="Separador de milhares 7 2 5 5" xfId="21258" xr:uid="{00000000-0005-0000-0000-00004A5D0000}"/>
    <cellStyle name="Separador de milhares 7 2 5 5 2" xfId="21259" xr:uid="{00000000-0005-0000-0000-00004B5D0000}"/>
    <cellStyle name="Separador de milhares 7 2 5 5 2 2" xfId="30127" xr:uid="{93E868EB-C53D-47CA-9031-7A4AE4AAE723}"/>
    <cellStyle name="Separador de milhares 7 2 5 5 3" xfId="30126" xr:uid="{E58B8D2E-E58A-4650-BFFF-DB3109AA7145}"/>
    <cellStyle name="Separador de milhares 7 2 5 6" xfId="21260" xr:uid="{00000000-0005-0000-0000-00004C5D0000}"/>
    <cellStyle name="Separador de milhares 7 2 5 6 2" xfId="21261" xr:uid="{00000000-0005-0000-0000-00004D5D0000}"/>
    <cellStyle name="Separador de milhares 7 2 5 6 2 2" xfId="30129" xr:uid="{F72E7F8A-5310-48B4-A64C-C2EF34AD2552}"/>
    <cellStyle name="Separador de milhares 7 2 5 6 3" xfId="30128" xr:uid="{B18A326E-2EB7-4A9C-BD1B-CFDB1D184B41}"/>
    <cellStyle name="Separador de milhares 7 2 5 7" xfId="21262" xr:uid="{00000000-0005-0000-0000-00004E5D0000}"/>
    <cellStyle name="Separador de milhares 7 2 5 7 2" xfId="21263" xr:uid="{00000000-0005-0000-0000-00004F5D0000}"/>
    <cellStyle name="Separador de milhares 7 2 5 7 2 2" xfId="30131" xr:uid="{2B4037CF-348A-4584-B468-7E529B5BCF10}"/>
    <cellStyle name="Separador de milhares 7 2 5 7 3" xfId="30130" xr:uid="{F48B572E-C696-433C-9381-E7D5A244694B}"/>
    <cellStyle name="Separador de milhares 7 2 5 8" xfId="21264" xr:uid="{00000000-0005-0000-0000-0000505D0000}"/>
    <cellStyle name="Separador de milhares 7 2 5 8 2" xfId="21265" xr:uid="{00000000-0005-0000-0000-0000515D0000}"/>
    <cellStyle name="Separador de milhares 7 2 5 8 2 2" xfId="30133" xr:uid="{7000281F-0520-4019-84E9-D87D97CA59F0}"/>
    <cellStyle name="Separador de milhares 7 2 5 8 3" xfId="30132" xr:uid="{C3698585-448A-409D-A7B5-20D721CAEC2C}"/>
    <cellStyle name="Separador de milhares 7 2 5 9" xfId="21266" xr:uid="{00000000-0005-0000-0000-0000525D0000}"/>
    <cellStyle name="Separador de milhares 7 2 5 9 2" xfId="21267" xr:uid="{00000000-0005-0000-0000-0000535D0000}"/>
    <cellStyle name="Separador de milhares 7 2 5 9 2 2" xfId="30135" xr:uid="{039A8C75-5E41-4EAA-8CB9-1D6C6D43CF2C}"/>
    <cellStyle name="Separador de milhares 7 2 5 9 3" xfId="30134" xr:uid="{6B8CE6ED-3277-4B70-9EF8-8743D0DFE5DF}"/>
    <cellStyle name="Separador de milhares 7 2 50" xfId="21268" xr:uid="{00000000-0005-0000-0000-0000545D0000}"/>
    <cellStyle name="Separador de milhares 7 2 50 2" xfId="21269" xr:uid="{00000000-0005-0000-0000-0000555D0000}"/>
    <cellStyle name="Separador de milhares 7 2 50 2 2" xfId="30137" xr:uid="{38793988-9431-4E20-A397-71721CCECB1D}"/>
    <cellStyle name="Separador de milhares 7 2 50 3" xfId="30136" xr:uid="{A424958E-87FA-4B65-BE58-18E0E947A775}"/>
    <cellStyle name="Separador de milhares 7 2 51" xfId="21270" xr:uid="{00000000-0005-0000-0000-0000565D0000}"/>
    <cellStyle name="Separador de milhares 7 2 51 2" xfId="30138" xr:uid="{998E84F5-2212-438E-A85A-3BECF6B3BA0C}"/>
    <cellStyle name="Separador de milhares 7 2 52" xfId="20541" xr:uid="{00000000-0005-0000-0000-0000575D0000}"/>
    <cellStyle name="Separador de milhares 7 2 52 2" xfId="29444" xr:uid="{BD62B56B-9CA7-45F5-A32A-979736B9A52D}"/>
    <cellStyle name="Separador de milhares 7 2 53" xfId="27132" xr:uid="{00000000-0005-0000-0000-0000585D0000}"/>
    <cellStyle name="Separador de milhares 7 2 53 2" xfId="32991" xr:uid="{1609C902-E05E-428E-9897-109CCF7391DF}"/>
    <cellStyle name="Separador de milhares 7 2 54" xfId="27320" xr:uid="{00000000-0005-0000-0000-0000595D0000}"/>
    <cellStyle name="Separador de milhares 7 2 54 2" xfId="33157" xr:uid="{289390A9-686B-4660-865B-13A2C451A67C}"/>
    <cellStyle name="Separador de milhares 7 2 55" xfId="27491" xr:uid="{00000000-0005-0000-0000-00005A5D0000}"/>
    <cellStyle name="Separador de milhares 7 2 55 2" xfId="33328" xr:uid="{044DA46A-616D-4448-9D78-6C5ECEC9B3EA}"/>
    <cellStyle name="Separador de milhares 7 2 56" xfId="27660" xr:uid="{00000000-0005-0000-0000-00005B5D0000}"/>
    <cellStyle name="Separador de milhares 7 2 56 2" xfId="33471" xr:uid="{378CA11B-9434-4B4D-B1C7-F7C5D08C1F99}"/>
    <cellStyle name="Separador de milhares 7 2 57" xfId="27817" xr:uid="{00000000-0005-0000-0000-00005C5D0000}"/>
    <cellStyle name="Separador de milhares 7 2 57 2" xfId="33628" xr:uid="{E3D90E68-4A5F-44D6-819C-3DF4BD5CC541}"/>
    <cellStyle name="Separador de milhares 7 2 58" xfId="28065" xr:uid="{12425BF2-4C14-44D3-98EE-FAD6390CA976}"/>
    <cellStyle name="Separador de milhares 7 2 6" xfId="21271" xr:uid="{00000000-0005-0000-0000-00005D5D0000}"/>
    <cellStyle name="Separador de milhares 7 2 6 2" xfId="21272" xr:uid="{00000000-0005-0000-0000-00005E5D0000}"/>
    <cellStyle name="Separador de milhares 7 2 6 2 2" xfId="21273" xr:uid="{00000000-0005-0000-0000-00005F5D0000}"/>
    <cellStyle name="Separador de milhares 7 2 6 2 2 2" xfId="30139" xr:uid="{A6C91A44-4119-407B-B5CB-058AE1924A8C}"/>
    <cellStyle name="Separador de milhares 7 2 6 3" xfId="21274" xr:uid="{00000000-0005-0000-0000-0000605D0000}"/>
    <cellStyle name="Separador de milhares 7 2 6 3 2" xfId="21275" xr:uid="{00000000-0005-0000-0000-0000615D0000}"/>
    <cellStyle name="Separador de milhares 7 2 6 3 2 2" xfId="30140" xr:uid="{174FB697-F3F9-453D-BAB1-81B384C7B92B}"/>
    <cellStyle name="Separador de milhares 7 2 6 4" xfId="21276" xr:uid="{00000000-0005-0000-0000-0000625D0000}"/>
    <cellStyle name="Separador de milhares 7 2 6 4 2" xfId="21277" xr:uid="{00000000-0005-0000-0000-0000635D0000}"/>
    <cellStyle name="Separador de milhares 7 2 6 4 2 2" xfId="30141" xr:uid="{73A4FC0D-A4E9-4D07-B444-92C032A18FA9}"/>
    <cellStyle name="Separador de milhares 7 2 6 5" xfId="21278" xr:uid="{00000000-0005-0000-0000-0000645D0000}"/>
    <cellStyle name="Separador de milhares 7 2 6 5 2" xfId="21279" xr:uid="{00000000-0005-0000-0000-0000655D0000}"/>
    <cellStyle name="Separador de milhares 7 2 6 5 2 2" xfId="30143" xr:uid="{3322B258-E8DA-40EE-A631-9CDDB72098D4}"/>
    <cellStyle name="Separador de milhares 7 2 6 5 3" xfId="30142" xr:uid="{537E6E41-AF6C-49CD-AF78-091D925A7F16}"/>
    <cellStyle name="Separador de milhares 7 2 6 6" xfId="21280" xr:uid="{00000000-0005-0000-0000-0000665D0000}"/>
    <cellStyle name="Separador de milhares 7 2 6 6 2" xfId="30144" xr:uid="{3A4E6619-8E84-4242-89F3-25D8730AE465}"/>
    <cellStyle name="Separador de milhares 7 2 7" xfId="21281" xr:uid="{00000000-0005-0000-0000-0000675D0000}"/>
    <cellStyle name="Separador de milhares 7 2 7 2" xfId="21282" xr:uid="{00000000-0005-0000-0000-0000685D0000}"/>
    <cellStyle name="Separador de milhares 7 2 7 2 2" xfId="21283" xr:uid="{00000000-0005-0000-0000-0000695D0000}"/>
    <cellStyle name="Separador de milhares 7 2 7 2 2 2" xfId="30145" xr:uid="{9D037432-9146-489C-B82B-F618D2216A82}"/>
    <cellStyle name="Separador de milhares 7 2 7 3" xfId="21284" xr:uid="{00000000-0005-0000-0000-00006A5D0000}"/>
    <cellStyle name="Separador de milhares 7 2 7 3 2" xfId="21285" xr:uid="{00000000-0005-0000-0000-00006B5D0000}"/>
    <cellStyle name="Separador de milhares 7 2 7 3 2 2" xfId="30146" xr:uid="{60D1BB58-A02D-4C0C-8F32-282B74EB88A2}"/>
    <cellStyle name="Separador de milhares 7 2 7 4" xfId="21286" xr:uid="{00000000-0005-0000-0000-00006C5D0000}"/>
    <cellStyle name="Separador de milhares 7 2 7 4 2" xfId="21287" xr:uid="{00000000-0005-0000-0000-00006D5D0000}"/>
    <cellStyle name="Separador de milhares 7 2 7 4 2 2" xfId="30147" xr:uid="{31BEC14E-E257-4842-94F8-D6B0ACEEC0ED}"/>
    <cellStyle name="Separador de milhares 7 2 7 5" xfId="21288" xr:uid="{00000000-0005-0000-0000-00006E5D0000}"/>
    <cellStyle name="Separador de milhares 7 2 7 5 2" xfId="21289" xr:uid="{00000000-0005-0000-0000-00006F5D0000}"/>
    <cellStyle name="Separador de milhares 7 2 7 5 2 2" xfId="30149" xr:uid="{BC5C7FA2-FD1D-49FE-9DAE-85217C45935F}"/>
    <cellStyle name="Separador de milhares 7 2 7 5 3" xfId="30148" xr:uid="{3D5943E3-1740-456D-A22B-16F3523137CC}"/>
    <cellStyle name="Separador de milhares 7 2 7 6" xfId="21290" xr:uid="{00000000-0005-0000-0000-0000705D0000}"/>
    <cellStyle name="Separador de milhares 7 2 7 6 2" xfId="30150" xr:uid="{B975A6A0-14FA-4F25-9B14-99A8F43A73F9}"/>
    <cellStyle name="Separador de milhares 7 2 8" xfId="21291" xr:uid="{00000000-0005-0000-0000-0000715D0000}"/>
    <cellStyle name="Separador de milhares 7 2 8 2" xfId="21292" xr:uid="{00000000-0005-0000-0000-0000725D0000}"/>
    <cellStyle name="Separador de milhares 7 2 8 3" xfId="21293" xr:uid="{00000000-0005-0000-0000-0000735D0000}"/>
    <cellStyle name="Separador de milhares 7 2 8 4" xfId="21294" xr:uid="{00000000-0005-0000-0000-0000745D0000}"/>
    <cellStyle name="Separador de milhares 7 2 9" xfId="21295" xr:uid="{00000000-0005-0000-0000-0000755D0000}"/>
    <cellStyle name="Separador de milhares 7 2 9 2" xfId="21296" xr:uid="{00000000-0005-0000-0000-0000765D0000}"/>
    <cellStyle name="Separador de milhares 7 2 9 2 2" xfId="30151" xr:uid="{5B1DA37F-02FA-4610-B137-FF1CDCDFD4CE}"/>
    <cellStyle name="Separador de milhares 7 20" xfId="21297" xr:uid="{00000000-0005-0000-0000-0000775D0000}"/>
    <cellStyle name="Separador de milhares 7 20 2" xfId="21298" xr:uid="{00000000-0005-0000-0000-0000785D0000}"/>
    <cellStyle name="Separador de milhares 7 20 2 2" xfId="30152" xr:uid="{5EE0BD59-0855-4958-A903-901D92A35B2D}"/>
    <cellStyle name="Separador de milhares 7 21" xfId="21299" xr:uid="{00000000-0005-0000-0000-0000795D0000}"/>
    <cellStyle name="Separador de milhares 7 21 2" xfId="21300" xr:uid="{00000000-0005-0000-0000-00007A5D0000}"/>
    <cellStyle name="Separador de milhares 7 21 2 2" xfId="30153" xr:uid="{FD49B45D-8F96-4C78-AEF6-899AC9C08379}"/>
    <cellStyle name="Separador de milhares 7 22" xfId="21301" xr:uid="{00000000-0005-0000-0000-00007B5D0000}"/>
    <cellStyle name="Separador de milhares 7 22 2" xfId="21302" xr:uid="{00000000-0005-0000-0000-00007C5D0000}"/>
    <cellStyle name="Separador de milhares 7 22 2 2" xfId="30154" xr:uid="{BA80EC82-A533-4F2F-9690-0E46DC9A6B6C}"/>
    <cellStyle name="Separador de milhares 7 23" xfId="21303" xr:uid="{00000000-0005-0000-0000-00007D5D0000}"/>
    <cellStyle name="Separador de milhares 7 23 2" xfId="21304" xr:uid="{00000000-0005-0000-0000-00007E5D0000}"/>
    <cellStyle name="Separador de milhares 7 23 2 2" xfId="30155" xr:uid="{3655E4FD-3EC3-4B9A-99F5-3C50ADC52103}"/>
    <cellStyle name="Separador de milhares 7 24" xfId="21305" xr:uid="{00000000-0005-0000-0000-00007F5D0000}"/>
    <cellStyle name="Separador de milhares 7 24 2" xfId="21306" xr:uid="{00000000-0005-0000-0000-0000805D0000}"/>
    <cellStyle name="Separador de milhares 7 24 2 2" xfId="30156" xr:uid="{3F3B55D0-BB44-44EB-9F42-0E5FFC3B80A4}"/>
    <cellStyle name="Separador de milhares 7 25" xfId="21307" xr:uid="{00000000-0005-0000-0000-0000815D0000}"/>
    <cellStyle name="Separador de milhares 7 25 2" xfId="21308" xr:uid="{00000000-0005-0000-0000-0000825D0000}"/>
    <cellStyle name="Separador de milhares 7 25 2 2" xfId="30157" xr:uid="{1B3D3618-B812-423D-9C09-4E86AA9CF91C}"/>
    <cellStyle name="Separador de milhares 7 26" xfId="21309" xr:uid="{00000000-0005-0000-0000-0000835D0000}"/>
    <cellStyle name="Separador de milhares 7 26 2" xfId="21310" xr:uid="{00000000-0005-0000-0000-0000845D0000}"/>
    <cellStyle name="Separador de milhares 7 26 2 2" xfId="30159" xr:uid="{7CC3E367-35B8-44AB-AE28-3CC85F9AFFFB}"/>
    <cellStyle name="Separador de milhares 7 26 3" xfId="30158" xr:uid="{3A685F27-FBA7-457B-8441-7EB1EC785EFB}"/>
    <cellStyle name="Separador de milhares 7 27" xfId="21311" xr:uid="{00000000-0005-0000-0000-0000855D0000}"/>
    <cellStyle name="Separador de milhares 7 27 2" xfId="21312" xr:uid="{00000000-0005-0000-0000-0000865D0000}"/>
    <cellStyle name="Separador de milhares 7 27 2 2" xfId="30161" xr:uid="{1CE4FD09-4200-48C0-903F-B672FF26AB62}"/>
    <cellStyle name="Separador de milhares 7 27 3" xfId="30160" xr:uid="{4D7E8853-7434-4200-A119-945F2EE1086F}"/>
    <cellStyle name="Separador de milhares 7 28" xfId="21313" xr:uid="{00000000-0005-0000-0000-0000875D0000}"/>
    <cellStyle name="Separador de milhares 7 28 2" xfId="21314" xr:uid="{00000000-0005-0000-0000-0000885D0000}"/>
    <cellStyle name="Separador de milhares 7 28 2 2" xfId="30163" xr:uid="{708C1E6C-6B92-4549-905F-D8597CF9F82F}"/>
    <cellStyle name="Separador de milhares 7 28 3" xfId="30162" xr:uid="{24BEC481-EF95-439D-9A19-204E871A9302}"/>
    <cellStyle name="Separador de milhares 7 29" xfId="21315" xr:uid="{00000000-0005-0000-0000-0000895D0000}"/>
    <cellStyle name="Separador de milhares 7 29 2" xfId="21316" xr:uid="{00000000-0005-0000-0000-00008A5D0000}"/>
    <cellStyle name="Separador de milhares 7 29 2 2" xfId="30165" xr:uid="{1D8E694C-C7B9-4B69-ABC4-B6EA4AB0A6F1}"/>
    <cellStyle name="Separador de milhares 7 29 3" xfId="30164" xr:uid="{AEB32CF1-23FA-45BC-B52B-3BD2783B8482}"/>
    <cellStyle name="Separador de milhares 7 3" xfId="841" xr:uid="{00000000-0005-0000-0000-00008B5D0000}"/>
    <cellStyle name="Separador de milhares 7 3 10" xfId="21318" xr:uid="{00000000-0005-0000-0000-00008C5D0000}"/>
    <cellStyle name="Separador de milhares 7 3 10 2" xfId="21319" xr:uid="{00000000-0005-0000-0000-00008D5D0000}"/>
    <cellStyle name="Separador de milhares 7 3 10 2 2" xfId="30166" xr:uid="{A9F33D68-B654-4D2A-988F-5A819ACE4E26}"/>
    <cellStyle name="Separador de milhares 7 3 11" xfId="21320" xr:uid="{00000000-0005-0000-0000-00008E5D0000}"/>
    <cellStyle name="Separador de milhares 7 3 11 2" xfId="21321" xr:uid="{00000000-0005-0000-0000-00008F5D0000}"/>
    <cellStyle name="Separador de milhares 7 3 11 2 2" xfId="30168" xr:uid="{5C060C2E-930E-4272-AA2B-BB3DE2DF5721}"/>
    <cellStyle name="Separador de milhares 7 3 11 3" xfId="30167" xr:uid="{8D080C9F-7756-4D65-80C0-7F47F7C26EE6}"/>
    <cellStyle name="Separador de milhares 7 3 12" xfId="21322" xr:uid="{00000000-0005-0000-0000-0000905D0000}"/>
    <cellStyle name="Separador de milhares 7 3 12 2" xfId="21323" xr:uid="{00000000-0005-0000-0000-0000915D0000}"/>
    <cellStyle name="Separador de milhares 7 3 12 2 2" xfId="30170" xr:uid="{389C38A5-3B75-46EA-B2C9-9B073EC8CF29}"/>
    <cellStyle name="Separador de milhares 7 3 12 3" xfId="30169" xr:uid="{F0D4C799-90BE-41BF-B505-9BEA7589CBFE}"/>
    <cellStyle name="Separador de milhares 7 3 13" xfId="21324" xr:uid="{00000000-0005-0000-0000-0000925D0000}"/>
    <cellStyle name="Separador de milhares 7 3 13 2" xfId="21325" xr:uid="{00000000-0005-0000-0000-0000935D0000}"/>
    <cellStyle name="Separador de milhares 7 3 13 2 2" xfId="30172" xr:uid="{80EC8672-31A1-4E79-9A67-AD8A390EDFD5}"/>
    <cellStyle name="Separador de milhares 7 3 13 3" xfId="30171" xr:uid="{F760B4EC-79AD-4908-8369-B164D987902B}"/>
    <cellStyle name="Separador de milhares 7 3 14" xfId="21326" xr:uid="{00000000-0005-0000-0000-0000945D0000}"/>
    <cellStyle name="Separador de milhares 7 3 14 2" xfId="21327" xr:uid="{00000000-0005-0000-0000-0000955D0000}"/>
    <cellStyle name="Separador de milhares 7 3 14 2 2" xfId="30174" xr:uid="{4069B9F1-ABF1-45C6-94D4-05A56B3D6F14}"/>
    <cellStyle name="Separador de milhares 7 3 14 3" xfId="30173" xr:uid="{0BADAA69-6BC8-48C6-BD78-381381E6B82D}"/>
    <cellStyle name="Separador de milhares 7 3 15" xfId="21328" xr:uid="{00000000-0005-0000-0000-0000965D0000}"/>
    <cellStyle name="Separador de milhares 7 3 15 2" xfId="21329" xr:uid="{00000000-0005-0000-0000-0000975D0000}"/>
    <cellStyle name="Separador de milhares 7 3 15 2 2" xfId="30176" xr:uid="{C7A2F7DC-09EE-4ED2-8CF4-6CBBD3097456}"/>
    <cellStyle name="Separador de milhares 7 3 15 3" xfId="30175" xr:uid="{A1934C60-F347-4E02-A3DA-0E3F42ADF888}"/>
    <cellStyle name="Separador de milhares 7 3 16" xfId="21330" xr:uid="{00000000-0005-0000-0000-0000985D0000}"/>
    <cellStyle name="Separador de milhares 7 3 16 2" xfId="21331" xr:uid="{00000000-0005-0000-0000-0000995D0000}"/>
    <cellStyle name="Separador de milhares 7 3 16 2 2" xfId="30178" xr:uid="{A928D29E-A255-45FB-A9CA-2BF1E692BD62}"/>
    <cellStyle name="Separador de milhares 7 3 16 3" xfId="30177" xr:uid="{7AA80529-26FD-4B2E-ABF8-21F85074C4AE}"/>
    <cellStyle name="Separador de milhares 7 3 17" xfId="21332" xr:uid="{00000000-0005-0000-0000-00009A5D0000}"/>
    <cellStyle name="Separador de milhares 7 3 17 2" xfId="21333" xr:uid="{00000000-0005-0000-0000-00009B5D0000}"/>
    <cellStyle name="Separador de milhares 7 3 17 2 2" xfId="30180" xr:uid="{89823D11-9E4F-4F45-BDF4-395010D93A4E}"/>
    <cellStyle name="Separador de milhares 7 3 17 3" xfId="30179" xr:uid="{7BBC0323-46F9-4FB3-80C4-B6A90F28F34D}"/>
    <cellStyle name="Separador de milhares 7 3 18" xfId="21334" xr:uid="{00000000-0005-0000-0000-00009C5D0000}"/>
    <cellStyle name="Separador de milhares 7 3 18 2" xfId="21335" xr:uid="{00000000-0005-0000-0000-00009D5D0000}"/>
    <cellStyle name="Separador de milhares 7 3 18 2 2" xfId="30182" xr:uid="{690A5947-E90C-460A-AAD0-91AAF1852125}"/>
    <cellStyle name="Separador de milhares 7 3 18 3" xfId="30181" xr:uid="{B8A4EC67-7257-4B9B-A59E-523392F2DE72}"/>
    <cellStyle name="Separador de milhares 7 3 19" xfId="21336" xr:uid="{00000000-0005-0000-0000-00009E5D0000}"/>
    <cellStyle name="Separador de milhares 7 3 19 2" xfId="21337" xr:uid="{00000000-0005-0000-0000-00009F5D0000}"/>
    <cellStyle name="Separador de milhares 7 3 19 2 2" xfId="30184" xr:uid="{06DE9D6A-8E1E-418C-97E3-77D3D0FFB28A}"/>
    <cellStyle name="Separador de milhares 7 3 19 3" xfId="30183" xr:uid="{BD984B30-1177-4211-9C4B-3B26EA149976}"/>
    <cellStyle name="Separador de milhares 7 3 2" xfId="842" xr:uid="{00000000-0005-0000-0000-0000A05D0000}"/>
    <cellStyle name="Separador de milhares 7 3 2 10" xfId="21339" xr:uid="{00000000-0005-0000-0000-0000A15D0000}"/>
    <cellStyle name="Separador de milhares 7 3 2 10 2" xfId="21340" xr:uid="{00000000-0005-0000-0000-0000A25D0000}"/>
    <cellStyle name="Separador de milhares 7 3 2 10 2 2" xfId="30186" xr:uid="{660C3AC1-7655-43A3-A992-3F92227260B9}"/>
    <cellStyle name="Separador de milhares 7 3 2 10 3" xfId="30185" xr:uid="{5B50835C-1915-4878-98B7-3519A3CCF991}"/>
    <cellStyle name="Separador de milhares 7 3 2 11" xfId="21341" xr:uid="{00000000-0005-0000-0000-0000A35D0000}"/>
    <cellStyle name="Separador de milhares 7 3 2 11 2" xfId="21342" xr:uid="{00000000-0005-0000-0000-0000A45D0000}"/>
    <cellStyle name="Separador de milhares 7 3 2 11 2 2" xfId="30188" xr:uid="{55D1375C-D1AC-4347-99C4-D70C75FC1C2D}"/>
    <cellStyle name="Separador de milhares 7 3 2 11 3" xfId="30187" xr:uid="{C6080657-EEB3-4AEA-85D3-E98DFC0A805C}"/>
    <cellStyle name="Separador de milhares 7 3 2 12" xfId="21343" xr:uid="{00000000-0005-0000-0000-0000A55D0000}"/>
    <cellStyle name="Separador de milhares 7 3 2 12 2" xfId="21344" xr:uid="{00000000-0005-0000-0000-0000A65D0000}"/>
    <cellStyle name="Separador de milhares 7 3 2 12 2 2" xfId="30190" xr:uid="{4F0C6D33-BEEA-4E7D-BACA-90A78F537EDA}"/>
    <cellStyle name="Separador de milhares 7 3 2 12 3" xfId="30189" xr:uid="{33724394-4BC3-4209-8993-FBEE6C015815}"/>
    <cellStyle name="Separador de milhares 7 3 2 13" xfId="21345" xr:uid="{00000000-0005-0000-0000-0000A75D0000}"/>
    <cellStyle name="Separador de milhares 7 3 2 13 2" xfId="21346" xr:uid="{00000000-0005-0000-0000-0000A85D0000}"/>
    <cellStyle name="Separador de milhares 7 3 2 13 2 2" xfId="30192" xr:uid="{83A5F124-CD9A-4E82-9884-D5749CF451DB}"/>
    <cellStyle name="Separador de milhares 7 3 2 13 3" xfId="30191" xr:uid="{A799C6E0-F069-49B2-B614-9FCE40DC1CC4}"/>
    <cellStyle name="Separador de milhares 7 3 2 14" xfId="21347" xr:uid="{00000000-0005-0000-0000-0000A95D0000}"/>
    <cellStyle name="Separador de milhares 7 3 2 14 2" xfId="21348" xr:uid="{00000000-0005-0000-0000-0000AA5D0000}"/>
    <cellStyle name="Separador de milhares 7 3 2 14 2 2" xfId="30194" xr:uid="{5C6A5690-8617-4A32-95D2-E87F7466ED65}"/>
    <cellStyle name="Separador de milhares 7 3 2 14 3" xfId="30193" xr:uid="{AB484D9E-69B8-4576-B99E-41AB5CB10B48}"/>
    <cellStyle name="Separador de milhares 7 3 2 15" xfId="21349" xr:uid="{00000000-0005-0000-0000-0000AB5D0000}"/>
    <cellStyle name="Separador de milhares 7 3 2 15 2" xfId="21350" xr:uid="{00000000-0005-0000-0000-0000AC5D0000}"/>
    <cellStyle name="Separador de milhares 7 3 2 15 2 2" xfId="30196" xr:uid="{62103E8C-C611-438D-BD48-CD2D1903E7A0}"/>
    <cellStyle name="Separador de milhares 7 3 2 15 3" xfId="30195" xr:uid="{86000715-987A-4C9E-B0E8-767F45A399DD}"/>
    <cellStyle name="Separador de milhares 7 3 2 16" xfId="21351" xr:uid="{00000000-0005-0000-0000-0000AD5D0000}"/>
    <cellStyle name="Separador de milhares 7 3 2 16 2" xfId="21352" xr:uid="{00000000-0005-0000-0000-0000AE5D0000}"/>
    <cellStyle name="Separador de milhares 7 3 2 16 2 2" xfId="30198" xr:uid="{384EA0EA-B439-48F3-874A-B2A964146B39}"/>
    <cellStyle name="Separador de milhares 7 3 2 16 3" xfId="30197" xr:uid="{7790D1DE-39D0-4BEE-9228-E5D89141C39E}"/>
    <cellStyle name="Separador de milhares 7 3 2 17" xfId="21353" xr:uid="{00000000-0005-0000-0000-0000AF5D0000}"/>
    <cellStyle name="Separador de milhares 7 3 2 17 2" xfId="21354" xr:uid="{00000000-0005-0000-0000-0000B05D0000}"/>
    <cellStyle name="Separador de milhares 7 3 2 17 2 2" xfId="30200" xr:uid="{1FED6206-6542-4A9C-BDD6-4B6802D3A041}"/>
    <cellStyle name="Separador de milhares 7 3 2 17 3" xfId="30199" xr:uid="{47EC080F-A995-4B3E-80BA-56E160AC8595}"/>
    <cellStyle name="Separador de milhares 7 3 2 18" xfId="21355" xr:uid="{00000000-0005-0000-0000-0000B15D0000}"/>
    <cellStyle name="Separador de milhares 7 3 2 18 2" xfId="21356" xr:uid="{00000000-0005-0000-0000-0000B25D0000}"/>
    <cellStyle name="Separador de milhares 7 3 2 18 2 2" xfId="30202" xr:uid="{CDCB7188-1879-4100-BBA1-8D81C831D1B3}"/>
    <cellStyle name="Separador de milhares 7 3 2 18 3" xfId="30201" xr:uid="{06A7943D-48CC-430C-91A4-1958D19AF8E7}"/>
    <cellStyle name="Separador de milhares 7 3 2 19" xfId="21357" xr:uid="{00000000-0005-0000-0000-0000B35D0000}"/>
    <cellStyle name="Separador de milhares 7 3 2 19 2" xfId="21358" xr:uid="{00000000-0005-0000-0000-0000B45D0000}"/>
    <cellStyle name="Separador de milhares 7 3 2 19 2 2" xfId="30204" xr:uid="{A6ADF992-375F-487C-B0E8-397ABA0D9B26}"/>
    <cellStyle name="Separador de milhares 7 3 2 19 3" xfId="30203" xr:uid="{5690A07A-C36D-4CDB-8F52-ADF7F8BBD85E}"/>
    <cellStyle name="Separador de milhares 7 3 2 2" xfId="843" xr:uid="{00000000-0005-0000-0000-0000B55D0000}"/>
    <cellStyle name="Separador de milhares 7 3 2 2 10" xfId="21360" xr:uid="{00000000-0005-0000-0000-0000B65D0000}"/>
    <cellStyle name="Separador de milhares 7 3 2 2 10 2" xfId="21361" xr:uid="{00000000-0005-0000-0000-0000B75D0000}"/>
    <cellStyle name="Separador de milhares 7 3 2 2 10 2 2" xfId="30207" xr:uid="{A4045F92-834D-4A96-A0E1-2A6DA5207FCC}"/>
    <cellStyle name="Separador de milhares 7 3 2 2 10 3" xfId="30206" xr:uid="{2FDF8B47-8558-4DA1-9CB7-E1D8E75ED922}"/>
    <cellStyle name="Separador de milhares 7 3 2 2 11" xfId="21362" xr:uid="{00000000-0005-0000-0000-0000B85D0000}"/>
    <cellStyle name="Separador de milhares 7 3 2 2 11 2" xfId="21363" xr:uid="{00000000-0005-0000-0000-0000B95D0000}"/>
    <cellStyle name="Separador de milhares 7 3 2 2 11 2 2" xfId="30209" xr:uid="{D35BC8D2-FD3B-4142-AC71-114EC1D5FADD}"/>
    <cellStyle name="Separador de milhares 7 3 2 2 11 3" xfId="30208" xr:uid="{75EFE33F-1C7A-4631-BCF7-4AEC0EF75DA3}"/>
    <cellStyle name="Separador de milhares 7 3 2 2 12" xfId="21364" xr:uid="{00000000-0005-0000-0000-0000BA5D0000}"/>
    <cellStyle name="Separador de milhares 7 3 2 2 12 2" xfId="21365" xr:uid="{00000000-0005-0000-0000-0000BB5D0000}"/>
    <cellStyle name="Separador de milhares 7 3 2 2 12 2 2" xfId="30211" xr:uid="{1C934E01-C9BE-4A84-91F0-8B22CFBC8268}"/>
    <cellStyle name="Separador de milhares 7 3 2 2 12 3" xfId="30210" xr:uid="{308BC57F-85C8-4EF3-A172-5295EB900F99}"/>
    <cellStyle name="Separador de milhares 7 3 2 2 13" xfId="21366" xr:uid="{00000000-0005-0000-0000-0000BC5D0000}"/>
    <cellStyle name="Separador de milhares 7 3 2 2 13 2" xfId="21367" xr:uid="{00000000-0005-0000-0000-0000BD5D0000}"/>
    <cellStyle name="Separador de milhares 7 3 2 2 13 2 2" xfId="30213" xr:uid="{5C0EEAD8-52C2-4B0F-AF77-62264B8E9B7F}"/>
    <cellStyle name="Separador de milhares 7 3 2 2 13 3" xfId="30212" xr:uid="{FB169FF1-7C7E-47F7-9171-33635657642C}"/>
    <cellStyle name="Separador de milhares 7 3 2 2 14" xfId="21368" xr:uid="{00000000-0005-0000-0000-0000BE5D0000}"/>
    <cellStyle name="Separador de milhares 7 3 2 2 14 2" xfId="21369" xr:uid="{00000000-0005-0000-0000-0000BF5D0000}"/>
    <cellStyle name="Separador de milhares 7 3 2 2 14 2 2" xfId="30215" xr:uid="{C56B4147-3440-4347-91B2-229824FBA1F9}"/>
    <cellStyle name="Separador de milhares 7 3 2 2 14 3" xfId="30214" xr:uid="{8B7A4AA9-C418-45D9-827D-3307F054DAF0}"/>
    <cellStyle name="Separador de milhares 7 3 2 2 15" xfId="21370" xr:uid="{00000000-0005-0000-0000-0000C05D0000}"/>
    <cellStyle name="Separador de milhares 7 3 2 2 15 2" xfId="21371" xr:uid="{00000000-0005-0000-0000-0000C15D0000}"/>
    <cellStyle name="Separador de milhares 7 3 2 2 15 2 2" xfId="30217" xr:uid="{C08A328A-7DD1-451E-9D78-F44EE9137FED}"/>
    <cellStyle name="Separador de milhares 7 3 2 2 15 3" xfId="30216" xr:uid="{810CD2D4-B373-4FD7-853F-10742A1EEFEE}"/>
    <cellStyle name="Separador de milhares 7 3 2 2 16" xfId="21372" xr:uid="{00000000-0005-0000-0000-0000C25D0000}"/>
    <cellStyle name="Separador de milhares 7 3 2 2 16 2" xfId="21373" xr:uid="{00000000-0005-0000-0000-0000C35D0000}"/>
    <cellStyle name="Separador de milhares 7 3 2 2 16 2 2" xfId="30219" xr:uid="{08175CFB-4574-4A98-ACA0-1F6EE442616B}"/>
    <cellStyle name="Separador de milhares 7 3 2 2 16 3" xfId="30218" xr:uid="{71EF52D8-D2DA-420F-AA61-8CCA74D6B52F}"/>
    <cellStyle name="Separador de milhares 7 3 2 2 17" xfId="21374" xr:uid="{00000000-0005-0000-0000-0000C45D0000}"/>
    <cellStyle name="Separador de milhares 7 3 2 2 17 2" xfId="21375" xr:uid="{00000000-0005-0000-0000-0000C55D0000}"/>
    <cellStyle name="Separador de milhares 7 3 2 2 17 2 2" xfId="30221" xr:uid="{BEEBB54F-01D6-436A-A003-2C6ED1AF1DE9}"/>
    <cellStyle name="Separador de milhares 7 3 2 2 17 3" xfId="30220" xr:uid="{72F6C4A9-CEB7-4709-B092-D20EF9EF29CC}"/>
    <cellStyle name="Separador de milhares 7 3 2 2 18" xfId="21376" xr:uid="{00000000-0005-0000-0000-0000C65D0000}"/>
    <cellStyle name="Separador de milhares 7 3 2 2 18 2" xfId="21377" xr:uid="{00000000-0005-0000-0000-0000C75D0000}"/>
    <cellStyle name="Separador de milhares 7 3 2 2 18 2 2" xfId="30223" xr:uid="{1F4BC40D-97C0-4450-B33F-5014F1C82D15}"/>
    <cellStyle name="Separador de milhares 7 3 2 2 18 3" xfId="30222" xr:uid="{671441BC-41EE-4E57-8E7D-EF17888F6021}"/>
    <cellStyle name="Separador de milhares 7 3 2 2 19" xfId="21378" xr:uid="{00000000-0005-0000-0000-0000C85D0000}"/>
    <cellStyle name="Separador de milhares 7 3 2 2 19 2" xfId="21379" xr:uid="{00000000-0005-0000-0000-0000C95D0000}"/>
    <cellStyle name="Separador de milhares 7 3 2 2 19 2 2" xfId="30225" xr:uid="{CF58D059-F662-40D8-8414-7C2BD8F920FF}"/>
    <cellStyle name="Separador de milhares 7 3 2 2 19 3" xfId="30224" xr:uid="{79E2C771-6F5D-4378-BDD0-F4E3A7A78EED}"/>
    <cellStyle name="Separador de milhares 7 3 2 2 2" xfId="844" xr:uid="{00000000-0005-0000-0000-0000CA5D0000}"/>
    <cellStyle name="Separador de milhares 7 3 2 2 2 2" xfId="21381" xr:uid="{00000000-0005-0000-0000-0000CB5D0000}"/>
    <cellStyle name="Separador de milhares 7 3 2 2 2 2 2" xfId="30227" xr:uid="{6B72E0DD-998E-4EFB-97EB-95504A1221CB}"/>
    <cellStyle name="Separador de milhares 7 3 2 2 2 3" xfId="21380" xr:uid="{00000000-0005-0000-0000-0000CC5D0000}"/>
    <cellStyle name="Separador de milhares 7 3 2 2 2 3 2" xfId="30226" xr:uid="{AD38296C-3AAF-427E-8F13-E3926EE37639}"/>
    <cellStyle name="Separador de milhares 7 3 2 2 2 4" xfId="28076" xr:uid="{7C639880-0ADB-4CA3-8F29-81D16F690D65}"/>
    <cellStyle name="Separador de milhares 7 3 2 2 20" xfId="21382" xr:uid="{00000000-0005-0000-0000-0000CD5D0000}"/>
    <cellStyle name="Separador de milhares 7 3 2 2 20 2" xfId="21383" xr:uid="{00000000-0005-0000-0000-0000CE5D0000}"/>
    <cellStyle name="Separador de milhares 7 3 2 2 20 2 2" xfId="30229" xr:uid="{4EAB47E8-58C0-400A-9125-B627DC4BFF3C}"/>
    <cellStyle name="Separador de milhares 7 3 2 2 20 3" xfId="30228" xr:uid="{BFEC22F5-EDF3-4208-BF49-5275E3F68E15}"/>
    <cellStyle name="Separador de milhares 7 3 2 2 21" xfId="21384" xr:uid="{00000000-0005-0000-0000-0000CF5D0000}"/>
    <cellStyle name="Separador de milhares 7 3 2 2 21 2" xfId="21385" xr:uid="{00000000-0005-0000-0000-0000D05D0000}"/>
    <cellStyle name="Separador de milhares 7 3 2 2 21 2 2" xfId="30231" xr:uid="{67E6C41A-8F0A-48C6-88DB-34280D1D019F}"/>
    <cellStyle name="Separador de milhares 7 3 2 2 21 3" xfId="30230" xr:uid="{FD25E33E-BA15-443E-9E28-1B821D509291}"/>
    <cellStyle name="Separador de milhares 7 3 2 2 22" xfId="21386" xr:uid="{00000000-0005-0000-0000-0000D15D0000}"/>
    <cellStyle name="Separador de milhares 7 3 2 2 22 2" xfId="21387" xr:uid="{00000000-0005-0000-0000-0000D25D0000}"/>
    <cellStyle name="Separador de milhares 7 3 2 2 22 2 2" xfId="30233" xr:uid="{121D3412-8372-4632-8DCB-2AA309BEA285}"/>
    <cellStyle name="Separador de milhares 7 3 2 2 22 3" xfId="30232" xr:uid="{E701A9D2-1562-40F0-BA83-A5A023F6FAC2}"/>
    <cellStyle name="Separador de milhares 7 3 2 2 23" xfId="21388" xr:uid="{00000000-0005-0000-0000-0000D35D0000}"/>
    <cellStyle name="Separador de milhares 7 3 2 2 23 2" xfId="21389" xr:uid="{00000000-0005-0000-0000-0000D45D0000}"/>
    <cellStyle name="Separador de milhares 7 3 2 2 23 2 2" xfId="30235" xr:uid="{0ED6D44E-2E5E-49AC-ACD5-47D3632A7D65}"/>
    <cellStyle name="Separador de milhares 7 3 2 2 23 3" xfId="30234" xr:uid="{E4902945-1FD8-4E2C-A932-CDB1D54FED3D}"/>
    <cellStyle name="Separador de milhares 7 3 2 2 24" xfId="21390" xr:uid="{00000000-0005-0000-0000-0000D55D0000}"/>
    <cellStyle name="Separador de milhares 7 3 2 2 24 2" xfId="21391" xr:uid="{00000000-0005-0000-0000-0000D65D0000}"/>
    <cellStyle name="Separador de milhares 7 3 2 2 24 2 2" xfId="30237" xr:uid="{2F063A82-7649-40CD-9E7A-F6AEEE73E96E}"/>
    <cellStyle name="Separador de milhares 7 3 2 2 24 3" xfId="30236" xr:uid="{CA97C22C-E2BF-4D3A-B7B6-2DD531A81993}"/>
    <cellStyle name="Separador de milhares 7 3 2 2 25" xfId="21392" xr:uid="{00000000-0005-0000-0000-0000D75D0000}"/>
    <cellStyle name="Separador de milhares 7 3 2 2 25 2" xfId="21393" xr:uid="{00000000-0005-0000-0000-0000D85D0000}"/>
    <cellStyle name="Separador de milhares 7 3 2 2 25 2 2" xfId="30239" xr:uid="{13EA3032-5053-422E-90DA-BDDC428E16F8}"/>
    <cellStyle name="Separador de milhares 7 3 2 2 25 3" xfId="30238" xr:uid="{2DA7BD01-F0E8-42E1-9658-03FE79979A56}"/>
    <cellStyle name="Separador de milhares 7 3 2 2 26" xfId="21394" xr:uid="{00000000-0005-0000-0000-0000D95D0000}"/>
    <cellStyle name="Separador de milhares 7 3 2 2 26 2" xfId="21395" xr:uid="{00000000-0005-0000-0000-0000DA5D0000}"/>
    <cellStyle name="Separador de milhares 7 3 2 2 26 2 2" xfId="30241" xr:uid="{B56A2755-CC88-43BE-A0F2-7E4B398B9A24}"/>
    <cellStyle name="Separador de milhares 7 3 2 2 26 3" xfId="30240" xr:uid="{F9A64093-AB35-46A1-A6E2-4E7FE25F1E8D}"/>
    <cellStyle name="Separador de milhares 7 3 2 2 27" xfId="21396" xr:uid="{00000000-0005-0000-0000-0000DB5D0000}"/>
    <cellStyle name="Separador de milhares 7 3 2 2 27 2" xfId="21397" xr:uid="{00000000-0005-0000-0000-0000DC5D0000}"/>
    <cellStyle name="Separador de milhares 7 3 2 2 27 2 2" xfId="30243" xr:uid="{104DC533-B006-44F0-BFEF-5EC2AB0852B7}"/>
    <cellStyle name="Separador de milhares 7 3 2 2 27 3" xfId="30242" xr:uid="{DC688EDC-F527-49D0-AC51-02C5F3EA78BC}"/>
    <cellStyle name="Separador de milhares 7 3 2 2 28" xfId="21398" xr:uid="{00000000-0005-0000-0000-0000DD5D0000}"/>
    <cellStyle name="Separador de milhares 7 3 2 2 28 2" xfId="21399" xr:uid="{00000000-0005-0000-0000-0000DE5D0000}"/>
    <cellStyle name="Separador de milhares 7 3 2 2 28 2 2" xfId="30245" xr:uid="{2BFE2D55-C428-468F-B7BE-C57880E66104}"/>
    <cellStyle name="Separador de milhares 7 3 2 2 28 3" xfId="30244" xr:uid="{0D744BC4-4E92-49DF-98B5-E8A96405BAA5}"/>
    <cellStyle name="Separador de milhares 7 3 2 2 29" xfId="21400" xr:uid="{00000000-0005-0000-0000-0000DF5D0000}"/>
    <cellStyle name="Separador de milhares 7 3 2 2 29 2" xfId="21401" xr:uid="{00000000-0005-0000-0000-0000E05D0000}"/>
    <cellStyle name="Separador de milhares 7 3 2 2 29 2 2" xfId="30247" xr:uid="{0CFA33DA-2C04-4974-8940-F450C6E06131}"/>
    <cellStyle name="Separador de milhares 7 3 2 2 29 3" xfId="30246" xr:uid="{03426B3A-EF5C-4DCA-8404-0EFD63820FD4}"/>
    <cellStyle name="Separador de milhares 7 3 2 2 3" xfId="21402" xr:uid="{00000000-0005-0000-0000-0000E15D0000}"/>
    <cellStyle name="Separador de milhares 7 3 2 2 3 2" xfId="21403" xr:uid="{00000000-0005-0000-0000-0000E25D0000}"/>
    <cellStyle name="Separador de milhares 7 3 2 2 3 2 2" xfId="30249" xr:uid="{B9F0691C-2749-4C81-B9EB-AFFAFA3B9952}"/>
    <cellStyle name="Separador de milhares 7 3 2 2 3 3" xfId="30248" xr:uid="{7D4C819F-A1E7-4A62-B261-60E5357BA6F3}"/>
    <cellStyle name="Separador de milhares 7 3 2 2 30" xfId="21404" xr:uid="{00000000-0005-0000-0000-0000E35D0000}"/>
    <cellStyle name="Separador de milhares 7 3 2 2 30 2" xfId="21405" xr:uid="{00000000-0005-0000-0000-0000E45D0000}"/>
    <cellStyle name="Separador de milhares 7 3 2 2 30 2 2" xfId="30251" xr:uid="{48C27E59-59FE-4AC6-B379-425ED74FFB7C}"/>
    <cellStyle name="Separador de milhares 7 3 2 2 30 3" xfId="30250" xr:uid="{7A66A9D6-7F97-4A8A-BC20-EA0F8338D8FF}"/>
    <cellStyle name="Separador de milhares 7 3 2 2 31" xfId="21406" xr:uid="{00000000-0005-0000-0000-0000E55D0000}"/>
    <cellStyle name="Separador de milhares 7 3 2 2 31 2" xfId="21407" xr:uid="{00000000-0005-0000-0000-0000E65D0000}"/>
    <cellStyle name="Separador de milhares 7 3 2 2 31 2 2" xfId="30253" xr:uid="{DE963A61-160F-475A-B248-F26E903DC675}"/>
    <cellStyle name="Separador de milhares 7 3 2 2 31 3" xfId="30252" xr:uid="{9D4C8551-4438-42D2-8DBE-E19985673556}"/>
    <cellStyle name="Separador de milhares 7 3 2 2 32" xfId="21408" xr:uid="{00000000-0005-0000-0000-0000E75D0000}"/>
    <cellStyle name="Separador de milhares 7 3 2 2 32 2" xfId="21409" xr:uid="{00000000-0005-0000-0000-0000E85D0000}"/>
    <cellStyle name="Separador de milhares 7 3 2 2 32 2 2" xfId="30255" xr:uid="{CB0F2E78-F32D-4A0B-A4E8-33AB94D79052}"/>
    <cellStyle name="Separador de milhares 7 3 2 2 32 3" xfId="30254" xr:uid="{7134EF4C-8397-4FEC-A6FF-80EECFAD1300}"/>
    <cellStyle name="Separador de milhares 7 3 2 2 33" xfId="21410" xr:uid="{00000000-0005-0000-0000-0000E95D0000}"/>
    <cellStyle name="Separador de milhares 7 3 2 2 33 2" xfId="21411" xr:uid="{00000000-0005-0000-0000-0000EA5D0000}"/>
    <cellStyle name="Separador de milhares 7 3 2 2 33 2 2" xfId="30257" xr:uid="{791089F9-3709-423F-AD5E-B6DFD9B6E289}"/>
    <cellStyle name="Separador de milhares 7 3 2 2 33 3" xfId="30256" xr:uid="{F1AB119F-5AF3-4373-85DA-775894F020BD}"/>
    <cellStyle name="Separador de milhares 7 3 2 2 34" xfId="21412" xr:uid="{00000000-0005-0000-0000-0000EB5D0000}"/>
    <cellStyle name="Separador de milhares 7 3 2 2 34 2" xfId="21413" xr:uid="{00000000-0005-0000-0000-0000EC5D0000}"/>
    <cellStyle name="Separador de milhares 7 3 2 2 34 2 2" xfId="30259" xr:uid="{F813FCA4-71BA-442C-AE0C-4E35F29202B6}"/>
    <cellStyle name="Separador de milhares 7 3 2 2 34 3" xfId="30258" xr:uid="{B4B428AB-C34B-424F-BB45-D5A066C38FAB}"/>
    <cellStyle name="Separador de milhares 7 3 2 2 35" xfId="21414" xr:uid="{00000000-0005-0000-0000-0000ED5D0000}"/>
    <cellStyle name="Separador de milhares 7 3 2 2 35 2" xfId="30260" xr:uid="{B0B44ACE-4541-4488-8D67-53560DECF2FB}"/>
    <cellStyle name="Separador de milhares 7 3 2 2 36" xfId="21359" xr:uid="{00000000-0005-0000-0000-0000EE5D0000}"/>
    <cellStyle name="Separador de milhares 7 3 2 2 36 2" xfId="30205" xr:uid="{647C977C-143F-47AE-A69A-52899AAF2C59}"/>
    <cellStyle name="Separador de milhares 7 3 2 2 37" xfId="28075" xr:uid="{2EADBDA7-6172-4237-908C-789E42050948}"/>
    <cellStyle name="Separador de milhares 7 3 2 2 4" xfId="21415" xr:uid="{00000000-0005-0000-0000-0000EF5D0000}"/>
    <cellStyle name="Separador de milhares 7 3 2 2 4 2" xfId="21416" xr:uid="{00000000-0005-0000-0000-0000F05D0000}"/>
    <cellStyle name="Separador de milhares 7 3 2 2 4 2 2" xfId="30262" xr:uid="{418E04D3-5C51-4F83-BA1C-91FED955636C}"/>
    <cellStyle name="Separador de milhares 7 3 2 2 4 3" xfId="30261" xr:uid="{50942708-E74F-4CD4-8230-DEEE27677B8F}"/>
    <cellStyle name="Separador de milhares 7 3 2 2 5" xfId="21417" xr:uid="{00000000-0005-0000-0000-0000F15D0000}"/>
    <cellStyle name="Separador de milhares 7 3 2 2 5 2" xfId="21418" xr:uid="{00000000-0005-0000-0000-0000F25D0000}"/>
    <cellStyle name="Separador de milhares 7 3 2 2 5 2 2" xfId="30264" xr:uid="{5B2C6904-EA7D-484F-8D15-759133874390}"/>
    <cellStyle name="Separador de milhares 7 3 2 2 5 3" xfId="30263" xr:uid="{D9305111-D731-45F6-90B0-B1727DC928D6}"/>
    <cellStyle name="Separador de milhares 7 3 2 2 6" xfId="21419" xr:uid="{00000000-0005-0000-0000-0000F35D0000}"/>
    <cellStyle name="Separador de milhares 7 3 2 2 6 2" xfId="21420" xr:uid="{00000000-0005-0000-0000-0000F45D0000}"/>
    <cellStyle name="Separador de milhares 7 3 2 2 6 2 2" xfId="30266" xr:uid="{F43CC423-0A8E-401F-8287-FC03FAC43D73}"/>
    <cellStyle name="Separador de milhares 7 3 2 2 6 3" xfId="30265" xr:uid="{B6515FC2-C23F-4A39-8040-83DBD8547B66}"/>
    <cellStyle name="Separador de milhares 7 3 2 2 7" xfId="21421" xr:uid="{00000000-0005-0000-0000-0000F55D0000}"/>
    <cellStyle name="Separador de milhares 7 3 2 2 7 2" xfId="21422" xr:uid="{00000000-0005-0000-0000-0000F65D0000}"/>
    <cellStyle name="Separador de milhares 7 3 2 2 7 2 2" xfId="30268" xr:uid="{418BBCE3-8CF5-4413-BCA1-1E593FBE5559}"/>
    <cellStyle name="Separador de milhares 7 3 2 2 7 3" xfId="30267" xr:uid="{ED633E7E-07BB-48FF-A158-9B4E32CD461E}"/>
    <cellStyle name="Separador de milhares 7 3 2 2 8" xfId="21423" xr:uid="{00000000-0005-0000-0000-0000F75D0000}"/>
    <cellStyle name="Separador de milhares 7 3 2 2 8 2" xfId="21424" xr:uid="{00000000-0005-0000-0000-0000F85D0000}"/>
    <cellStyle name="Separador de milhares 7 3 2 2 8 2 2" xfId="30270" xr:uid="{84EAA34B-7665-4456-8889-12BE8ED84ECB}"/>
    <cellStyle name="Separador de milhares 7 3 2 2 8 3" xfId="30269" xr:uid="{B9CF2BD2-47A6-4C78-9139-E22421D3F5E2}"/>
    <cellStyle name="Separador de milhares 7 3 2 2 9" xfId="21425" xr:uid="{00000000-0005-0000-0000-0000F95D0000}"/>
    <cellStyle name="Separador de milhares 7 3 2 2 9 2" xfId="21426" xr:uid="{00000000-0005-0000-0000-0000FA5D0000}"/>
    <cellStyle name="Separador de milhares 7 3 2 2 9 2 2" xfId="30272" xr:uid="{A7BA6B02-6E2A-487C-B74F-C2B6466651BF}"/>
    <cellStyle name="Separador de milhares 7 3 2 2 9 3" xfId="30271" xr:uid="{828ADEC8-5FEE-4C4C-9D2F-B254746C2801}"/>
    <cellStyle name="Separador de milhares 7 3 2 20" xfId="21427" xr:uid="{00000000-0005-0000-0000-0000FB5D0000}"/>
    <cellStyle name="Separador de milhares 7 3 2 20 2" xfId="21428" xr:uid="{00000000-0005-0000-0000-0000FC5D0000}"/>
    <cellStyle name="Separador de milhares 7 3 2 20 2 2" xfId="30274" xr:uid="{B09B8936-D44E-4D84-B1B1-255D4F4E8EAB}"/>
    <cellStyle name="Separador de milhares 7 3 2 20 3" xfId="30273" xr:uid="{CE413CC6-C449-476C-ABD2-2691E563565C}"/>
    <cellStyle name="Separador de milhares 7 3 2 21" xfId="21429" xr:uid="{00000000-0005-0000-0000-0000FD5D0000}"/>
    <cellStyle name="Separador de milhares 7 3 2 21 2" xfId="21430" xr:uid="{00000000-0005-0000-0000-0000FE5D0000}"/>
    <cellStyle name="Separador de milhares 7 3 2 21 2 2" xfId="30276" xr:uid="{D297E75A-70F3-4330-AA93-4328E2D1859E}"/>
    <cellStyle name="Separador de milhares 7 3 2 21 3" xfId="30275" xr:uid="{72702930-4D71-4557-8A83-3B84D710F2ED}"/>
    <cellStyle name="Separador de milhares 7 3 2 22" xfId="21431" xr:uid="{00000000-0005-0000-0000-0000FF5D0000}"/>
    <cellStyle name="Separador de milhares 7 3 2 22 2" xfId="21432" xr:uid="{00000000-0005-0000-0000-0000005E0000}"/>
    <cellStyle name="Separador de milhares 7 3 2 22 2 2" xfId="30278" xr:uid="{33B1278C-12EF-4655-8E89-913AA234B33A}"/>
    <cellStyle name="Separador de milhares 7 3 2 22 3" xfId="30277" xr:uid="{C9AF31FF-450C-423D-9FF8-56EC6A5B3CF4}"/>
    <cellStyle name="Separador de milhares 7 3 2 23" xfId="21433" xr:uid="{00000000-0005-0000-0000-0000015E0000}"/>
    <cellStyle name="Separador de milhares 7 3 2 23 2" xfId="21434" xr:uid="{00000000-0005-0000-0000-0000025E0000}"/>
    <cellStyle name="Separador de milhares 7 3 2 23 2 2" xfId="30280" xr:uid="{CA2B9DEB-A60A-463E-8D51-B64AAE08D322}"/>
    <cellStyle name="Separador de milhares 7 3 2 23 3" xfId="30279" xr:uid="{225A69D0-D546-418C-B951-589C3392C3DA}"/>
    <cellStyle name="Separador de milhares 7 3 2 24" xfId="21435" xr:uid="{00000000-0005-0000-0000-0000035E0000}"/>
    <cellStyle name="Separador de milhares 7 3 2 24 2" xfId="21436" xr:uid="{00000000-0005-0000-0000-0000045E0000}"/>
    <cellStyle name="Separador de milhares 7 3 2 24 2 2" xfId="30282" xr:uid="{99264F0A-BAAB-41D4-9ECF-FAB3E93B823F}"/>
    <cellStyle name="Separador de milhares 7 3 2 24 3" xfId="30281" xr:uid="{BDF34705-6EBB-47CE-83CE-18897AE9648D}"/>
    <cellStyle name="Separador de milhares 7 3 2 25" xfId="21437" xr:uid="{00000000-0005-0000-0000-0000055E0000}"/>
    <cellStyle name="Separador de milhares 7 3 2 25 2" xfId="21438" xr:uid="{00000000-0005-0000-0000-0000065E0000}"/>
    <cellStyle name="Separador de milhares 7 3 2 25 2 2" xfId="30284" xr:uid="{271752A1-7085-4E11-B84B-465A2AB3ECF8}"/>
    <cellStyle name="Separador de milhares 7 3 2 25 3" xfId="30283" xr:uid="{73B6A4FE-E558-4A09-BB03-8357E5B856C1}"/>
    <cellStyle name="Separador de milhares 7 3 2 26" xfId="21439" xr:uid="{00000000-0005-0000-0000-0000075E0000}"/>
    <cellStyle name="Separador de milhares 7 3 2 26 2" xfId="21440" xr:uid="{00000000-0005-0000-0000-0000085E0000}"/>
    <cellStyle name="Separador de milhares 7 3 2 26 2 2" xfId="30286" xr:uid="{CD4F3E43-800D-429B-BC1D-5526767D1D37}"/>
    <cellStyle name="Separador de milhares 7 3 2 26 3" xfId="30285" xr:uid="{4E047F27-9547-4155-980B-F5F246B9198E}"/>
    <cellStyle name="Separador de milhares 7 3 2 27" xfId="21441" xr:uid="{00000000-0005-0000-0000-0000095E0000}"/>
    <cellStyle name="Separador de milhares 7 3 2 27 2" xfId="21442" xr:uid="{00000000-0005-0000-0000-00000A5E0000}"/>
    <cellStyle name="Separador de milhares 7 3 2 27 2 2" xfId="30288" xr:uid="{4634ADE9-7451-4B11-8599-1B38A03EF0F5}"/>
    <cellStyle name="Separador de milhares 7 3 2 27 3" xfId="30287" xr:uid="{7CAEBD04-9380-419D-9753-DBC62A72727C}"/>
    <cellStyle name="Separador de milhares 7 3 2 28" xfId="21443" xr:uid="{00000000-0005-0000-0000-00000B5E0000}"/>
    <cellStyle name="Separador de milhares 7 3 2 28 2" xfId="21444" xr:uid="{00000000-0005-0000-0000-00000C5E0000}"/>
    <cellStyle name="Separador de milhares 7 3 2 28 2 2" xfId="30290" xr:uid="{38CEFAD2-144E-4E8F-A988-0A9A93FE2777}"/>
    <cellStyle name="Separador de milhares 7 3 2 28 3" xfId="30289" xr:uid="{D8F03C1F-6F4C-4BDD-9869-814517E394B4}"/>
    <cellStyle name="Separador de milhares 7 3 2 29" xfId="21445" xr:uid="{00000000-0005-0000-0000-00000D5E0000}"/>
    <cellStyle name="Separador de milhares 7 3 2 29 2" xfId="21446" xr:uid="{00000000-0005-0000-0000-00000E5E0000}"/>
    <cellStyle name="Separador de milhares 7 3 2 29 2 2" xfId="30292" xr:uid="{385776A5-06C6-4773-92F5-3667A8D05701}"/>
    <cellStyle name="Separador de milhares 7 3 2 29 3" xfId="30291" xr:uid="{77C68483-13AA-411E-9B1A-4C53D7DD4894}"/>
    <cellStyle name="Separador de milhares 7 3 2 3" xfId="845" xr:uid="{00000000-0005-0000-0000-00000F5E0000}"/>
    <cellStyle name="Separador de milhares 7 3 2 3 10" xfId="21448" xr:uid="{00000000-0005-0000-0000-0000105E0000}"/>
    <cellStyle name="Separador de milhares 7 3 2 3 10 2" xfId="21449" xr:uid="{00000000-0005-0000-0000-0000115E0000}"/>
    <cellStyle name="Separador de milhares 7 3 2 3 10 2 2" xfId="30295" xr:uid="{D08BBC20-1426-4060-8CC6-489B1413901A}"/>
    <cellStyle name="Separador de milhares 7 3 2 3 10 3" xfId="30294" xr:uid="{9BC2B9DD-CA8B-4E6D-8E08-737181B563BE}"/>
    <cellStyle name="Separador de milhares 7 3 2 3 11" xfId="21450" xr:uid="{00000000-0005-0000-0000-0000125E0000}"/>
    <cellStyle name="Separador de milhares 7 3 2 3 11 2" xfId="21451" xr:uid="{00000000-0005-0000-0000-0000135E0000}"/>
    <cellStyle name="Separador de milhares 7 3 2 3 11 2 2" xfId="30297" xr:uid="{9D8BA7BE-C57A-489A-BA82-841349C6E2FF}"/>
    <cellStyle name="Separador de milhares 7 3 2 3 11 3" xfId="30296" xr:uid="{D73E1DC6-B9DC-44C9-BEEA-7E6752D6C862}"/>
    <cellStyle name="Separador de milhares 7 3 2 3 12" xfId="21452" xr:uid="{00000000-0005-0000-0000-0000145E0000}"/>
    <cellStyle name="Separador de milhares 7 3 2 3 12 2" xfId="21453" xr:uid="{00000000-0005-0000-0000-0000155E0000}"/>
    <cellStyle name="Separador de milhares 7 3 2 3 12 2 2" xfId="30299" xr:uid="{68223E7C-A9AB-417A-8BF5-FF328EFF8375}"/>
    <cellStyle name="Separador de milhares 7 3 2 3 12 3" xfId="30298" xr:uid="{3045B2E4-EA75-4B9F-9D1D-E6A5070F4831}"/>
    <cellStyle name="Separador de milhares 7 3 2 3 13" xfId="21454" xr:uid="{00000000-0005-0000-0000-0000165E0000}"/>
    <cellStyle name="Separador de milhares 7 3 2 3 13 2" xfId="21455" xr:uid="{00000000-0005-0000-0000-0000175E0000}"/>
    <cellStyle name="Separador de milhares 7 3 2 3 13 2 2" xfId="30301" xr:uid="{6F83C264-50BC-4F26-94CF-9B22F9E5E85C}"/>
    <cellStyle name="Separador de milhares 7 3 2 3 13 3" xfId="30300" xr:uid="{E9829AE7-2C01-402B-800A-C54EB4070A8D}"/>
    <cellStyle name="Separador de milhares 7 3 2 3 14" xfId="21456" xr:uid="{00000000-0005-0000-0000-0000185E0000}"/>
    <cellStyle name="Separador de milhares 7 3 2 3 14 2" xfId="21457" xr:uid="{00000000-0005-0000-0000-0000195E0000}"/>
    <cellStyle name="Separador de milhares 7 3 2 3 14 2 2" xfId="30303" xr:uid="{82688D3A-89A7-4176-B824-C7397FA16D6A}"/>
    <cellStyle name="Separador de milhares 7 3 2 3 14 3" xfId="30302" xr:uid="{A55EE0C7-854D-4A9B-86E1-C7B08ED07AAD}"/>
    <cellStyle name="Separador de milhares 7 3 2 3 15" xfId="21458" xr:uid="{00000000-0005-0000-0000-00001A5E0000}"/>
    <cellStyle name="Separador de milhares 7 3 2 3 15 2" xfId="21459" xr:uid="{00000000-0005-0000-0000-00001B5E0000}"/>
    <cellStyle name="Separador de milhares 7 3 2 3 15 2 2" xfId="30305" xr:uid="{7A45405E-9D8B-4479-B33A-3A2A20FDAB8D}"/>
    <cellStyle name="Separador de milhares 7 3 2 3 15 3" xfId="30304" xr:uid="{5E17AFA9-D3A2-4336-806A-65BA71FCA441}"/>
    <cellStyle name="Separador de milhares 7 3 2 3 16" xfId="21460" xr:uid="{00000000-0005-0000-0000-00001C5E0000}"/>
    <cellStyle name="Separador de milhares 7 3 2 3 16 2" xfId="21461" xr:uid="{00000000-0005-0000-0000-00001D5E0000}"/>
    <cellStyle name="Separador de milhares 7 3 2 3 16 2 2" xfId="30307" xr:uid="{16CC2DF8-0EE4-4DB2-BE4C-A46C9B249146}"/>
    <cellStyle name="Separador de milhares 7 3 2 3 16 3" xfId="30306" xr:uid="{0A16F0F7-40D2-4AA3-927B-DC5A456628D4}"/>
    <cellStyle name="Separador de milhares 7 3 2 3 17" xfId="21462" xr:uid="{00000000-0005-0000-0000-00001E5E0000}"/>
    <cellStyle name="Separador de milhares 7 3 2 3 17 2" xfId="21463" xr:uid="{00000000-0005-0000-0000-00001F5E0000}"/>
    <cellStyle name="Separador de milhares 7 3 2 3 17 2 2" xfId="30309" xr:uid="{476EA9C8-19E0-4E22-9767-01E4336BB6D2}"/>
    <cellStyle name="Separador de milhares 7 3 2 3 17 3" xfId="30308" xr:uid="{20CF195A-5092-48F8-AD8F-D2B4539EA72D}"/>
    <cellStyle name="Separador de milhares 7 3 2 3 18" xfId="21464" xr:uid="{00000000-0005-0000-0000-0000205E0000}"/>
    <cellStyle name="Separador de milhares 7 3 2 3 18 2" xfId="21465" xr:uid="{00000000-0005-0000-0000-0000215E0000}"/>
    <cellStyle name="Separador de milhares 7 3 2 3 18 2 2" xfId="30311" xr:uid="{927D03B9-8A81-4892-A072-F165F7CE25A7}"/>
    <cellStyle name="Separador de milhares 7 3 2 3 18 3" xfId="30310" xr:uid="{A686E38B-DE39-4089-AFA0-17CE80847C20}"/>
    <cellStyle name="Separador de milhares 7 3 2 3 19" xfId="21466" xr:uid="{00000000-0005-0000-0000-0000225E0000}"/>
    <cellStyle name="Separador de milhares 7 3 2 3 19 2" xfId="21467" xr:uid="{00000000-0005-0000-0000-0000235E0000}"/>
    <cellStyle name="Separador de milhares 7 3 2 3 19 2 2" xfId="30313" xr:uid="{6A57D9FC-D59F-4825-874E-0FED9FCB4808}"/>
    <cellStyle name="Separador de milhares 7 3 2 3 19 3" xfId="30312" xr:uid="{5153F4FF-C57D-4F19-A4E5-92F126B564BF}"/>
    <cellStyle name="Separador de milhares 7 3 2 3 2" xfId="21468" xr:uid="{00000000-0005-0000-0000-0000245E0000}"/>
    <cellStyle name="Separador de milhares 7 3 2 3 2 2" xfId="21469" xr:uid="{00000000-0005-0000-0000-0000255E0000}"/>
    <cellStyle name="Separador de milhares 7 3 2 3 2 2 2" xfId="30315" xr:uid="{7EFDD8B4-8352-4B1C-ACFD-DA35BFC3634E}"/>
    <cellStyle name="Separador de milhares 7 3 2 3 2 3" xfId="30314" xr:uid="{41C82EE9-8372-4D7E-A552-51EC7EDD576D}"/>
    <cellStyle name="Separador de milhares 7 3 2 3 20" xfId="21470" xr:uid="{00000000-0005-0000-0000-0000265E0000}"/>
    <cellStyle name="Separador de milhares 7 3 2 3 20 2" xfId="21471" xr:uid="{00000000-0005-0000-0000-0000275E0000}"/>
    <cellStyle name="Separador de milhares 7 3 2 3 20 2 2" xfId="30317" xr:uid="{E38A804E-C966-4C0F-8AF6-E437D7E817EA}"/>
    <cellStyle name="Separador de milhares 7 3 2 3 20 3" xfId="30316" xr:uid="{BFDCB1E5-BF64-494D-90C2-51F5B37B8BAE}"/>
    <cellStyle name="Separador de milhares 7 3 2 3 21" xfId="21472" xr:uid="{00000000-0005-0000-0000-0000285E0000}"/>
    <cellStyle name="Separador de milhares 7 3 2 3 21 2" xfId="21473" xr:uid="{00000000-0005-0000-0000-0000295E0000}"/>
    <cellStyle name="Separador de milhares 7 3 2 3 21 2 2" xfId="30319" xr:uid="{E16566AE-C5D0-41F7-AF83-739E364CA2A6}"/>
    <cellStyle name="Separador de milhares 7 3 2 3 21 3" xfId="30318" xr:uid="{3A7FC3B2-514B-4444-8A04-9E70EE9E8C42}"/>
    <cellStyle name="Separador de milhares 7 3 2 3 22" xfId="21474" xr:uid="{00000000-0005-0000-0000-00002A5E0000}"/>
    <cellStyle name="Separador de milhares 7 3 2 3 22 2" xfId="21475" xr:uid="{00000000-0005-0000-0000-00002B5E0000}"/>
    <cellStyle name="Separador de milhares 7 3 2 3 22 2 2" xfId="30321" xr:uid="{04BE22D4-5E62-4BF7-85C0-4213684FF080}"/>
    <cellStyle name="Separador de milhares 7 3 2 3 22 3" xfId="30320" xr:uid="{045441D6-45A9-4280-B5C6-8F45B25376EC}"/>
    <cellStyle name="Separador de milhares 7 3 2 3 23" xfId="21476" xr:uid="{00000000-0005-0000-0000-00002C5E0000}"/>
    <cellStyle name="Separador de milhares 7 3 2 3 23 2" xfId="21477" xr:uid="{00000000-0005-0000-0000-00002D5E0000}"/>
    <cellStyle name="Separador de milhares 7 3 2 3 23 2 2" xfId="30323" xr:uid="{3FA0F136-43CB-4BD6-8DCA-85BA871A1915}"/>
    <cellStyle name="Separador de milhares 7 3 2 3 23 3" xfId="30322" xr:uid="{A9A8AC48-0E54-4BCC-8CB9-3B7430630F25}"/>
    <cellStyle name="Separador de milhares 7 3 2 3 24" xfId="21478" xr:uid="{00000000-0005-0000-0000-00002E5E0000}"/>
    <cellStyle name="Separador de milhares 7 3 2 3 24 2" xfId="21479" xr:uid="{00000000-0005-0000-0000-00002F5E0000}"/>
    <cellStyle name="Separador de milhares 7 3 2 3 24 2 2" xfId="30325" xr:uid="{7E75F551-D948-4669-AF38-D7F0C62824E7}"/>
    <cellStyle name="Separador de milhares 7 3 2 3 24 3" xfId="30324" xr:uid="{FD3D27F7-69DB-4DF8-B040-D795C1E91269}"/>
    <cellStyle name="Separador de milhares 7 3 2 3 25" xfId="21480" xr:uid="{00000000-0005-0000-0000-0000305E0000}"/>
    <cellStyle name="Separador de milhares 7 3 2 3 25 2" xfId="21481" xr:uid="{00000000-0005-0000-0000-0000315E0000}"/>
    <cellStyle name="Separador de milhares 7 3 2 3 25 2 2" xfId="30327" xr:uid="{DC600FB7-C557-4AC6-A793-F1DF617768D0}"/>
    <cellStyle name="Separador de milhares 7 3 2 3 25 3" xfId="30326" xr:uid="{61F38039-1D99-4743-8AB4-368DE5B5D096}"/>
    <cellStyle name="Separador de milhares 7 3 2 3 26" xfId="21482" xr:uid="{00000000-0005-0000-0000-0000325E0000}"/>
    <cellStyle name="Separador de milhares 7 3 2 3 26 2" xfId="21483" xr:uid="{00000000-0005-0000-0000-0000335E0000}"/>
    <cellStyle name="Separador de milhares 7 3 2 3 26 2 2" xfId="30329" xr:uid="{6A0FCFE5-686D-43B1-B4FC-17E24FEA6677}"/>
    <cellStyle name="Separador de milhares 7 3 2 3 26 3" xfId="30328" xr:uid="{520FD005-B752-481E-816C-A3C25F3EBB9E}"/>
    <cellStyle name="Separador de milhares 7 3 2 3 27" xfId="21484" xr:uid="{00000000-0005-0000-0000-0000345E0000}"/>
    <cellStyle name="Separador de milhares 7 3 2 3 27 2" xfId="21485" xr:uid="{00000000-0005-0000-0000-0000355E0000}"/>
    <cellStyle name="Separador de milhares 7 3 2 3 27 2 2" xfId="30331" xr:uid="{DCCAD2F1-0602-4B2E-BDD2-A69947B102B0}"/>
    <cellStyle name="Separador de milhares 7 3 2 3 27 3" xfId="30330" xr:uid="{D09C4FDE-6AF7-4BEC-9082-39A87D705746}"/>
    <cellStyle name="Separador de milhares 7 3 2 3 28" xfId="21486" xr:uid="{00000000-0005-0000-0000-0000365E0000}"/>
    <cellStyle name="Separador de milhares 7 3 2 3 28 2" xfId="21487" xr:uid="{00000000-0005-0000-0000-0000375E0000}"/>
    <cellStyle name="Separador de milhares 7 3 2 3 28 2 2" xfId="30333" xr:uid="{FB165232-39C8-4830-BDA2-C25A9979D4A5}"/>
    <cellStyle name="Separador de milhares 7 3 2 3 28 3" xfId="30332" xr:uid="{BEC6AF61-2C85-44D8-869E-B70E68F15519}"/>
    <cellStyle name="Separador de milhares 7 3 2 3 29" xfId="21488" xr:uid="{00000000-0005-0000-0000-0000385E0000}"/>
    <cellStyle name="Separador de milhares 7 3 2 3 29 2" xfId="21489" xr:uid="{00000000-0005-0000-0000-0000395E0000}"/>
    <cellStyle name="Separador de milhares 7 3 2 3 29 2 2" xfId="30335" xr:uid="{ABC4DEF1-1E56-46E9-A1EC-7F1D2BD74C25}"/>
    <cellStyle name="Separador de milhares 7 3 2 3 29 3" xfId="30334" xr:uid="{6D98222A-DB21-41C5-A80F-27784512FD39}"/>
    <cellStyle name="Separador de milhares 7 3 2 3 3" xfId="21490" xr:uid="{00000000-0005-0000-0000-00003A5E0000}"/>
    <cellStyle name="Separador de milhares 7 3 2 3 3 2" xfId="21491" xr:uid="{00000000-0005-0000-0000-00003B5E0000}"/>
    <cellStyle name="Separador de milhares 7 3 2 3 3 2 2" xfId="30337" xr:uid="{61E1D0C4-4FDB-40DA-9BCC-5FAF9F21347C}"/>
    <cellStyle name="Separador de milhares 7 3 2 3 3 3" xfId="30336" xr:uid="{02EDCA37-2441-4DDE-99D5-06C4D0C7C582}"/>
    <cellStyle name="Separador de milhares 7 3 2 3 30" xfId="21492" xr:uid="{00000000-0005-0000-0000-00003C5E0000}"/>
    <cellStyle name="Separador de milhares 7 3 2 3 30 2" xfId="21493" xr:uid="{00000000-0005-0000-0000-00003D5E0000}"/>
    <cellStyle name="Separador de milhares 7 3 2 3 30 2 2" xfId="30339" xr:uid="{5E240476-14E3-415D-9C78-18ED080662AF}"/>
    <cellStyle name="Separador de milhares 7 3 2 3 30 3" xfId="30338" xr:uid="{B3DB7C37-3C5E-4A91-A109-9E9291289CBC}"/>
    <cellStyle name="Separador de milhares 7 3 2 3 31" xfId="21494" xr:uid="{00000000-0005-0000-0000-00003E5E0000}"/>
    <cellStyle name="Separador de milhares 7 3 2 3 31 2" xfId="21495" xr:uid="{00000000-0005-0000-0000-00003F5E0000}"/>
    <cellStyle name="Separador de milhares 7 3 2 3 31 2 2" xfId="30341" xr:uid="{D4F53CCA-F3BE-43D8-8000-A23D9A00C573}"/>
    <cellStyle name="Separador de milhares 7 3 2 3 31 3" xfId="30340" xr:uid="{489D8A79-9980-46C0-874E-7CA362B78EF7}"/>
    <cellStyle name="Separador de milhares 7 3 2 3 32" xfId="21496" xr:uid="{00000000-0005-0000-0000-0000405E0000}"/>
    <cellStyle name="Separador de milhares 7 3 2 3 32 2" xfId="21497" xr:uid="{00000000-0005-0000-0000-0000415E0000}"/>
    <cellStyle name="Separador de milhares 7 3 2 3 32 2 2" xfId="30343" xr:uid="{74052274-AC27-440C-AC76-D1FDAE68944F}"/>
    <cellStyle name="Separador de milhares 7 3 2 3 32 3" xfId="30342" xr:uid="{4262F980-F898-409A-BAC4-349E781CB257}"/>
    <cellStyle name="Separador de milhares 7 3 2 3 33" xfId="21498" xr:uid="{00000000-0005-0000-0000-0000425E0000}"/>
    <cellStyle name="Separador de milhares 7 3 2 3 33 2" xfId="21499" xr:uid="{00000000-0005-0000-0000-0000435E0000}"/>
    <cellStyle name="Separador de milhares 7 3 2 3 33 2 2" xfId="30345" xr:uid="{4D9602F1-F3C6-4C0F-8C7B-9F12BAB0AAEC}"/>
    <cellStyle name="Separador de milhares 7 3 2 3 33 3" xfId="30344" xr:uid="{CD1C1E05-9E4F-41CF-8760-0B0F28B6F950}"/>
    <cellStyle name="Separador de milhares 7 3 2 3 34" xfId="21500" xr:uid="{00000000-0005-0000-0000-0000445E0000}"/>
    <cellStyle name="Separador de milhares 7 3 2 3 34 2" xfId="21501" xr:uid="{00000000-0005-0000-0000-0000455E0000}"/>
    <cellStyle name="Separador de milhares 7 3 2 3 34 2 2" xfId="30347" xr:uid="{85CB2D15-6DAD-4A38-BD5E-4C2F89B8C836}"/>
    <cellStyle name="Separador de milhares 7 3 2 3 34 3" xfId="30346" xr:uid="{3B771282-2762-4A40-AE28-D8391E9F02CB}"/>
    <cellStyle name="Separador de milhares 7 3 2 3 35" xfId="21502" xr:uid="{00000000-0005-0000-0000-0000465E0000}"/>
    <cellStyle name="Separador de milhares 7 3 2 3 35 2" xfId="30348" xr:uid="{712DF618-18F6-43C7-96D5-41BA35D750DC}"/>
    <cellStyle name="Separador de milhares 7 3 2 3 36" xfId="21447" xr:uid="{00000000-0005-0000-0000-0000475E0000}"/>
    <cellStyle name="Separador de milhares 7 3 2 3 36 2" xfId="30293" xr:uid="{7DB5B5A7-0DEE-495F-B119-F9643B0C2C01}"/>
    <cellStyle name="Separador de milhares 7 3 2 3 37" xfId="28077" xr:uid="{65810B4C-5B51-4166-A5B6-91A106380C79}"/>
    <cellStyle name="Separador de milhares 7 3 2 3 4" xfId="21503" xr:uid="{00000000-0005-0000-0000-0000485E0000}"/>
    <cellStyle name="Separador de milhares 7 3 2 3 4 2" xfId="21504" xr:uid="{00000000-0005-0000-0000-0000495E0000}"/>
    <cellStyle name="Separador de milhares 7 3 2 3 4 2 2" xfId="30350" xr:uid="{D2F1B100-281A-42B9-BED9-E3D72FBC61D1}"/>
    <cellStyle name="Separador de milhares 7 3 2 3 4 3" xfId="30349" xr:uid="{035F5DCA-581C-4E23-818A-8975827C7A04}"/>
    <cellStyle name="Separador de milhares 7 3 2 3 5" xfId="21505" xr:uid="{00000000-0005-0000-0000-00004A5E0000}"/>
    <cellStyle name="Separador de milhares 7 3 2 3 5 2" xfId="21506" xr:uid="{00000000-0005-0000-0000-00004B5E0000}"/>
    <cellStyle name="Separador de milhares 7 3 2 3 5 2 2" xfId="30352" xr:uid="{A6219DDF-46CE-458E-82B8-8CC87A60FAE4}"/>
    <cellStyle name="Separador de milhares 7 3 2 3 5 3" xfId="30351" xr:uid="{2A1429D7-A83C-4952-9D9F-434A643A61F5}"/>
    <cellStyle name="Separador de milhares 7 3 2 3 6" xfId="21507" xr:uid="{00000000-0005-0000-0000-00004C5E0000}"/>
    <cellStyle name="Separador de milhares 7 3 2 3 6 2" xfId="21508" xr:uid="{00000000-0005-0000-0000-00004D5E0000}"/>
    <cellStyle name="Separador de milhares 7 3 2 3 6 2 2" xfId="30354" xr:uid="{063BDB51-5F74-48D0-8C13-62A44BE9BBA4}"/>
    <cellStyle name="Separador de milhares 7 3 2 3 6 3" xfId="30353" xr:uid="{6CF0C70D-9DB8-4443-B2FE-00927249674D}"/>
    <cellStyle name="Separador de milhares 7 3 2 3 7" xfId="21509" xr:uid="{00000000-0005-0000-0000-00004E5E0000}"/>
    <cellStyle name="Separador de milhares 7 3 2 3 7 2" xfId="21510" xr:uid="{00000000-0005-0000-0000-00004F5E0000}"/>
    <cellStyle name="Separador de milhares 7 3 2 3 7 2 2" xfId="30356" xr:uid="{4BF67E45-E6D2-4651-840A-90FEA17EF6FE}"/>
    <cellStyle name="Separador de milhares 7 3 2 3 7 3" xfId="30355" xr:uid="{7715D297-D8D6-4727-ACE7-71EFB87C68F8}"/>
    <cellStyle name="Separador de milhares 7 3 2 3 8" xfId="21511" xr:uid="{00000000-0005-0000-0000-0000505E0000}"/>
    <cellStyle name="Separador de milhares 7 3 2 3 8 2" xfId="21512" xr:uid="{00000000-0005-0000-0000-0000515E0000}"/>
    <cellStyle name="Separador de milhares 7 3 2 3 8 2 2" xfId="30358" xr:uid="{1B29D1AD-1798-4A0D-9423-E51B0B1F913B}"/>
    <cellStyle name="Separador de milhares 7 3 2 3 8 3" xfId="30357" xr:uid="{B4E4D0E8-2AB1-4292-B34A-0F3358CC8039}"/>
    <cellStyle name="Separador de milhares 7 3 2 3 9" xfId="21513" xr:uid="{00000000-0005-0000-0000-0000525E0000}"/>
    <cellStyle name="Separador de milhares 7 3 2 3 9 2" xfId="21514" xr:uid="{00000000-0005-0000-0000-0000535E0000}"/>
    <cellStyle name="Separador de milhares 7 3 2 3 9 2 2" xfId="30360" xr:uid="{C41C0DFF-67AB-464C-8266-2F6B04D09215}"/>
    <cellStyle name="Separador de milhares 7 3 2 3 9 3" xfId="30359" xr:uid="{E15F2471-96E6-41C7-ACAD-0921C3A9620C}"/>
    <cellStyle name="Separador de milhares 7 3 2 30" xfId="21515" xr:uid="{00000000-0005-0000-0000-0000545E0000}"/>
    <cellStyle name="Separador de milhares 7 3 2 30 2" xfId="21516" xr:uid="{00000000-0005-0000-0000-0000555E0000}"/>
    <cellStyle name="Separador de milhares 7 3 2 30 2 2" xfId="30362" xr:uid="{5D566CB0-193E-4CDF-9EA7-93A56183699E}"/>
    <cellStyle name="Separador de milhares 7 3 2 30 3" xfId="30361" xr:uid="{5B343E72-9C93-45AB-95D8-17FA7713938B}"/>
    <cellStyle name="Separador de milhares 7 3 2 31" xfId="21517" xr:uid="{00000000-0005-0000-0000-0000565E0000}"/>
    <cellStyle name="Separador de milhares 7 3 2 31 2" xfId="21518" xr:uid="{00000000-0005-0000-0000-0000575E0000}"/>
    <cellStyle name="Separador de milhares 7 3 2 31 2 2" xfId="30364" xr:uid="{BB7651B2-0B49-48A3-A35D-72942C65ECC0}"/>
    <cellStyle name="Separador de milhares 7 3 2 31 3" xfId="30363" xr:uid="{15E12C0E-0DF3-4FFE-AD4C-119F8714CE01}"/>
    <cellStyle name="Separador de milhares 7 3 2 32" xfId="21519" xr:uid="{00000000-0005-0000-0000-0000585E0000}"/>
    <cellStyle name="Separador de milhares 7 3 2 32 2" xfId="21520" xr:uid="{00000000-0005-0000-0000-0000595E0000}"/>
    <cellStyle name="Separador de milhares 7 3 2 32 2 2" xfId="30366" xr:uid="{3D6791BE-527E-46BA-9BAF-E5FF36507587}"/>
    <cellStyle name="Separador de milhares 7 3 2 32 3" xfId="30365" xr:uid="{D134F4CA-CD1D-4E5D-A854-A3A15B69C8FD}"/>
    <cellStyle name="Separador de milhares 7 3 2 33" xfId="21521" xr:uid="{00000000-0005-0000-0000-00005A5E0000}"/>
    <cellStyle name="Separador de milhares 7 3 2 33 2" xfId="21522" xr:uid="{00000000-0005-0000-0000-00005B5E0000}"/>
    <cellStyle name="Separador de milhares 7 3 2 33 2 2" xfId="30368" xr:uid="{E8BCB6B0-F99C-4B10-8E20-6079DAC9A91B}"/>
    <cellStyle name="Separador de milhares 7 3 2 33 3" xfId="30367" xr:uid="{E68ACA73-29F7-4F76-82D9-0EDDEB5BEEC8}"/>
    <cellStyle name="Separador de milhares 7 3 2 34" xfId="21523" xr:uid="{00000000-0005-0000-0000-00005C5E0000}"/>
    <cellStyle name="Separador de milhares 7 3 2 34 2" xfId="21524" xr:uid="{00000000-0005-0000-0000-00005D5E0000}"/>
    <cellStyle name="Separador de milhares 7 3 2 34 2 2" xfId="30370" xr:uid="{F2D49E34-6105-41D0-B3B7-F25F51076E0B}"/>
    <cellStyle name="Separador de milhares 7 3 2 34 3" xfId="30369" xr:uid="{4872514B-0D98-4000-A0A8-3373C5333C4F}"/>
    <cellStyle name="Separador de milhares 7 3 2 35" xfId="21525" xr:uid="{00000000-0005-0000-0000-00005E5E0000}"/>
    <cellStyle name="Separador de milhares 7 3 2 35 2" xfId="21526" xr:uid="{00000000-0005-0000-0000-00005F5E0000}"/>
    <cellStyle name="Separador de milhares 7 3 2 35 2 2" xfId="30372" xr:uid="{6765B0EB-F91B-4353-8382-E8BEC63245DF}"/>
    <cellStyle name="Separador de milhares 7 3 2 35 3" xfId="30371" xr:uid="{7FB68804-8357-49B1-85B2-0DC25FDD757D}"/>
    <cellStyle name="Separador de milhares 7 3 2 36" xfId="21527" xr:uid="{00000000-0005-0000-0000-0000605E0000}"/>
    <cellStyle name="Separador de milhares 7 3 2 36 2" xfId="21528" xr:uid="{00000000-0005-0000-0000-0000615E0000}"/>
    <cellStyle name="Separador de milhares 7 3 2 36 2 2" xfId="30374" xr:uid="{5EF54548-971E-45B7-A956-FB7E54BEF6D9}"/>
    <cellStyle name="Separador de milhares 7 3 2 36 3" xfId="30373" xr:uid="{95685435-76BA-4BCB-B796-4CA94D86D91B}"/>
    <cellStyle name="Separador de milhares 7 3 2 37" xfId="21529" xr:uid="{00000000-0005-0000-0000-0000625E0000}"/>
    <cellStyle name="Separador de milhares 7 3 2 37 2" xfId="21530" xr:uid="{00000000-0005-0000-0000-0000635E0000}"/>
    <cellStyle name="Separador de milhares 7 3 2 37 2 2" xfId="30376" xr:uid="{CB0AC96F-04D7-4335-A435-4ABE7550C94C}"/>
    <cellStyle name="Separador de milhares 7 3 2 37 3" xfId="30375" xr:uid="{C878D013-E8D0-4535-96A6-1147588E59FF}"/>
    <cellStyle name="Separador de milhares 7 3 2 38" xfId="21531" xr:uid="{00000000-0005-0000-0000-0000645E0000}"/>
    <cellStyle name="Separador de milhares 7 3 2 38 2" xfId="21532" xr:uid="{00000000-0005-0000-0000-0000655E0000}"/>
    <cellStyle name="Separador de milhares 7 3 2 38 2 2" xfId="30378" xr:uid="{21692317-27E3-4D28-8CC3-4FCFABAA5D89}"/>
    <cellStyle name="Separador de milhares 7 3 2 38 3" xfId="30377" xr:uid="{5EBE3465-5C7E-4EB9-ADBA-27236A2B9064}"/>
    <cellStyle name="Separador de milhares 7 3 2 39" xfId="21533" xr:uid="{00000000-0005-0000-0000-0000665E0000}"/>
    <cellStyle name="Separador de milhares 7 3 2 39 2" xfId="21534" xr:uid="{00000000-0005-0000-0000-0000675E0000}"/>
    <cellStyle name="Separador de milhares 7 3 2 39 2 2" xfId="30380" xr:uid="{AF89B2E8-2F22-4731-BC09-F851706B176B}"/>
    <cellStyle name="Separador de milhares 7 3 2 39 3" xfId="30379" xr:uid="{1F4A9B1E-6A26-4740-8597-345E98DDCD00}"/>
    <cellStyle name="Separador de milhares 7 3 2 4" xfId="21535" xr:uid="{00000000-0005-0000-0000-0000685E0000}"/>
    <cellStyle name="Separador de milhares 7 3 2 4 2" xfId="21536" xr:uid="{00000000-0005-0000-0000-0000695E0000}"/>
    <cellStyle name="Separador de milhares 7 3 2 4 2 2" xfId="21537" xr:uid="{00000000-0005-0000-0000-00006A5E0000}"/>
    <cellStyle name="Separador de milhares 7 3 2 4 2 2 2" xfId="30383" xr:uid="{E8E51D1D-459F-4F64-92DB-8F87A1E0742E}"/>
    <cellStyle name="Separador de milhares 7 3 2 4 2 3" xfId="30382" xr:uid="{4A7C07B1-5F21-462A-A5CF-B691C6781CF1}"/>
    <cellStyle name="Separador de milhares 7 3 2 4 3" xfId="21538" xr:uid="{00000000-0005-0000-0000-00006B5E0000}"/>
    <cellStyle name="Separador de milhares 7 3 2 4 3 2" xfId="21539" xr:uid="{00000000-0005-0000-0000-00006C5E0000}"/>
    <cellStyle name="Separador de milhares 7 3 2 4 3 2 2" xfId="30385" xr:uid="{220B0169-E89D-4FE2-B04A-2ADE39612EDE}"/>
    <cellStyle name="Separador de milhares 7 3 2 4 3 3" xfId="30384" xr:uid="{EA6ADE6A-EF90-4C9D-9007-BB7145AFD2E7}"/>
    <cellStyle name="Separador de milhares 7 3 2 4 4" xfId="21540" xr:uid="{00000000-0005-0000-0000-00006D5E0000}"/>
    <cellStyle name="Separador de milhares 7 3 2 4 4 2" xfId="21541" xr:uid="{00000000-0005-0000-0000-00006E5E0000}"/>
    <cellStyle name="Separador de milhares 7 3 2 4 4 2 2" xfId="30387" xr:uid="{8D3FF904-7E8A-4D90-B414-8A38A5076359}"/>
    <cellStyle name="Separador de milhares 7 3 2 4 4 3" xfId="30386" xr:uid="{4A3968D0-7618-490C-9A1D-2EA63F6B4DE1}"/>
    <cellStyle name="Separador de milhares 7 3 2 4 5" xfId="21542" xr:uid="{00000000-0005-0000-0000-00006F5E0000}"/>
    <cellStyle name="Separador de milhares 7 3 2 4 5 2" xfId="21543" xr:uid="{00000000-0005-0000-0000-0000705E0000}"/>
    <cellStyle name="Separador de milhares 7 3 2 4 5 2 2" xfId="30389" xr:uid="{5068DE20-9AE3-4E83-8CDA-0CDC56405152}"/>
    <cellStyle name="Separador de milhares 7 3 2 4 5 3" xfId="30388" xr:uid="{11732FB8-67EA-4B1C-BADC-60C7DA69F087}"/>
    <cellStyle name="Separador de milhares 7 3 2 4 6" xfId="21544" xr:uid="{00000000-0005-0000-0000-0000715E0000}"/>
    <cellStyle name="Separador de milhares 7 3 2 4 6 2" xfId="30390" xr:uid="{666F79CD-E8D4-45B3-8FAC-13A98E31BE94}"/>
    <cellStyle name="Separador de milhares 7 3 2 4 7" xfId="30381" xr:uid="{60D9E44C-85B3-4152-92EC-03735FF21743}"/>
    <cellStyle name="Separador de milhares 7 3 2 40" xfId="21545" xr:uid="{00000000-0005-0000-0000-0000725E0000}"/>
    <cellStyle name="Separador de milhares 7 3 2 40 2" xfId="21546" xr:uid="{00000000-0005-0000-0000-0000735E0000}"/>
    <cellStyle name="Separador de milhares 7 3 2 40 2 2" xfId="30392" xr:uid="{0E8F720B-608B-4A17-AD8D-BD9DAFAA8426}"/>
    <cellStyle name="Separador de milhares 7 3 2 40 3" xfId="30391" xr:uid="{B29738F5-F14A-4EE4-B88C-99132C4FD270}"/>
    <cellStyle name="Separador de milhares 7 3 2 41" xfId="21547" xr:uid="{00000000-0005-0000-0000-0000745E0000}"/>
    <cellStyle name="Separador de milhares 7 3 2 41 2" xfId="21548" xr:uid="{00000000-0005-0000-0000-0000755E0000}"/>
    <cellStyle name="Separador de milhares 7 3 2 41 2 2" xfId="30394" xr:uid="{812337A0-5737-44C8-A024-5C43C44F225C}"/>
    <cellStyle name="Separador de milhares 7 3 2 41 3" xfId="30393" xr:uid="{12DFBDB4-2884-4E78-A488-ACEA695BA211}"/>
    <cellStyle name="Separador de milhares 7 3 2 42" xfId="21549" xr:uid="{00000000-0005-0000-0000-0000765E0000}"/>
    <cellStyle name="Separador de milhares 7 3 2 42 2" xfId="21550" xr:uid="{00000000-0005-0000-0000-0000775E0000}"/>
    <cellStyle name="Separador de milhares 7 3 2 42 2 2" xfId="30396" xr:uid="{C367845F-E363-4EFA-8F9D-2AB3295946EE}"/>
    <cellStyle name="Separador de milhares 7 3 2 42 3" xfId="30395" xr:uid="{6DB9A4B2-3FA7-41CF-887C-9A176D821A7B}"/>
    <cellStyle name="Separador de milhares 7 3 2 43" xfId="21551" xr:uid="{00000000-0005-0000-0000-0000785E0000}"/>
    <cellStyle name="Separador de milhares 7 3 2 43 2" xfId="21552" xr:uid="{00000000-0005-0000-0000-0000795E0000}"/>
    <cellStyle name="Separador de milhares 7 3 2 43 2 2" xfId="30398" xr:uid="{B2CA4124-A682-43C2-810A-BB72BFAC4D3F}"/>
    <cellStyle name="Separador de milhares 7 3 2 43 3" xfId="30397" xr:uid="{4B039451-70C8-474F-B47F-8ECD26F310B3}"/>
    <cellStyle name="Separador de milhares 7 3 2 44" xfId="21553" xr:uid="{00000000-0005-0000-0000-00007A5E0000}"/>
    <cellStyle name="Separador de milhares 7 3 2 44 2" xfId="21554" xr:uid="{00000000-0005-0000-0000-00007B5E0000}"/>
    <cellStyle name="Separador de milhares 7 3 2 44 2 2" xfId="30400" xr:uid="{99686FE8-B91F-487A-A93B-32CAF0D730A8}"/>
    <cellStyle name="Separador de milhares 7 3 2 44 3" xfId="30399" xr:uid="{70515C06-64BB-4DF1-A233-BC52EAD4EFB9}"/>
    <cellStyle name="Separador de milhares 7 3 2 45" xfId="21555" xr:uid="{00000000-0005-0000-0000-00007C5E0000}"/>
    <cellStyle name="Separador de milhares 7 3 2 45 2" xfId="21556" xr:uid="{00000000-0005-0000-0000-00007D5E0000}"/>
    <cellStyle name="Separador de milhares 7 3 2 45 2 2" xfId="30402" xr:uid="{AC24025A-E5BF-44C5-8DB7-A71A32FA658B}"/>
    <cellStyle name="Separador de milhares 7 3 2 45 3" xfId="30401" xr:uid="{D9442EE5-0DE5-42F0-BC59-84EF003B2768}"/>
    <cellStyle name="Separador de milhares 7 3 2 46" xfId="21557" xr:uid="{00000000-0005-0000-0000-00007E5E0000}"/>
    <cellStyle name="Separador de milhares 7 3 2 46 2" xfId="21558" xr:uid="{00000000-0005-0000-0000-00007F5E0000}"/>
    <cellStyle name="Separador de milhares 7 3 2 46 2 2" xfId="30404" xr:uid="{742F9FA2-86FF-4818-9AAE-B6644C679F28}"/>
    <cellStyle name="Separador de milhares 7 3 2 46 3" xfId="30403" xr:uid="{1D1A1A79-5A04-406C-9E62-81507656B0E8}"/>
    <cellStyle name="Separador de milhares 7 3 2 47" xfId="21559" xr:uid="{00000000-0005-0000-0000-0000805E0000}"/>
    <cellStyle name="Separador de milhares 7 3 2 47 2" xfId="30405" xr:uid="{FAB142AD-2024-4214-AF92-00D16EC06F71}"/>
    <cellStyle name="Separador de milhares 7 3 2 48" xfId="21338" xr:uid="{00000000-0005-0000-0000-0000815E0000}"/>
    <cellStyle name="Separador de milhares 7 3 2 49" xfId="28074" xr:uid="{B8CBA2CF-97AA-4C28-B883-19BBBB4E301E}"/>
    <cellStyle name="Separador de milhares 7 3 2 5" xfId="21560" xr:uid="{00000000-0005-0000-0000-0000825E0000}"/>
    <cellStyle name="Separador de milhares 7 3 2 5 2" xfId="21561" xr:uid="{00000000-0005-0000-0000-0000835E0000}"/>
    <cellStyle name="Separador de milhares 7 3 2 5 2 2" xfId="30407" xr:uid="{1E9C62A0-DDA7-484B-895B-3A397FD23CC4}"/>
    <cellStyle name="Separador de milhares 7 3 2 5 3" xfId="30406" xr:uid="{CC664655-770E-427A-931B-E5CAF84CD5AE}"/>
    <cellStyle name="Separador de milhares 7 3 2 6" xfId="21562" xr:uid="{00000000-0005-0000-0000-0000845E0000}"/>
    <cellStyle name="Separador de milhares 7 3 2 6 2" xfId="21563" xr:uid="{00000000-0005-0000-0000-0000855E0000}"/>
    <cellStyle name="Separador de milhares 7 3 2 6 2 2" xfId="30409" xr:uid="{9981EAF5-889C-4959-9C4A-1FE8603293DC}"/>
    <cellStyle name="Separador de milhares 7 3 2 6 3" xfId="30408" xr:uid="{5D9A9AA6-6847-486A-8338-3C0236B4084A}"/>
    <cellStyle name="Separador de milhares 7 3 2 7" xfId="21564" xr:uid="{00000000-0005-0000-0000-0000865E0000}"/>
    <cellStyle name="Separador de milhares 7 3 2 7 2" xfId="21565" xr:uid="{00000000-0005-0000-0000-0000875E0000}"/>
    <cellStyle name="Separador de milhares 7 3 2 7 2 2" xfId="30411" xr:uid="{1A336C99-A12E-4680-B790-A8EEEE255BCA}"/>
    <cellStyle name="Separador de milhares 7 3 2 7 3" xfId="30410" xr:uid="{21C72257-225F-488C-8384-2E671B1C402F}"/>
    <cellStyle name="Separador de milhares 7 3 2 8" xfId="21566" xr:uid="{00000000-0005-0000-0000-0000885E0000}"/>
    <cellStyle name="Separador de milhares 7 3 2 8 2" xfId="21567" xr:uid="{00000000-0005-0000-0000-0000895E0000}"/>
    <cellStyle name="Separador de milhares 7 3 2 8 2 2" xfId="30413" xr:uid="{CF88434E-F74F-42EE-A3C3-5359B10F722E}"/>
    <cellStyle name="Separador de milhares 7 3 2 8 3" xfId="30412" xr:uid="{208222DE-6B55-4B75-AB6B-15FB9BE6BCA7}"/>
    <cellStyle name="Separador de milhares 7 3 2 9" xfId="21568" xr:uid="{00000000-0005-0000-0000-00008A5E0000}"/>
    <cellStyle name="Separador de milhares 7 3 2 9 2" xfId="21569" xr:uid="{00000000-0005-0000-0000-00008B5E0000}"/>
    <cellStyle name="Separador de milhares 7 3 2 9 2 2" xfId="30415" xr:uid="{95D42B3C-71D6-4816-B1C8-064FA402AF09}"/>
    <cellStyle name="Separador de milhares 7 3 2 9 3" xfId="30414" xr:uid="{B1793B24-C975-4B15-9B04-3AB47D3F4A4D}"/>
    <cellStyle name="Separador de milhares 7 3 20" xfId="21570" xr:uid="{00000000-0005-0000-0000-00008C5E0000}"/>
    <cellStyle name="Separador de milhares 7 3 20 2" xfId="21571" xr:uid="{00000000-0005-0000-0000-00008D5E0000}"/>
    <cellStyle name="Separador de milhares 7 3 20 2 2" xfId="30417" xr:uid="{CA181A5B-C7BA-4E01-AE7D-435372D8A969}"/>
    <cellStyle name="Separador de milhares 7 3 20 3" xfId="30416" xr:uid="{2731801F-D00E-4955-A50E-576E03393B59}"/>
    <cellStyle name="Separador de milhares 7 3 21" xfId="21572" xr:uid="{00000000-0005-0000-0000-00008E5E0000}"/>
    <cellStyle name="Separador de milhares 7 3 21 2" xfId="21573" xr:uid="{00000000-0005-0000-0000-00008F5E0000}"/>
    <cellStyle name="Separador de milhares 7 3 21 2 2" xfId="30419" xr:uid="{FF06BC26-80AE-4EA3-8FEE-8CA97C0E5636}"/>
    <cellStyle name="Separador de milhares 7 3 21 3" xfId="30418" xr:uid="{333E2A1E-EFBE-44EA-8099-FD6A1999D711}"/>
    <cellStyle name="Separador de milhares 7 3 22" xfId="21574" xr:uid="{00000000-0005-0000-0000-0000905E0000}"/>
    <cellStyle name="Separador de milhares 7 3 22 2" xfId="21575" xr:uid="{00000000-0005-0000-0000-0000915E0000}"/>
    <cellStyle name="Separador de milhares 7 3 22 2 2" xfId="30421" xr:uid="{41D6E41A-37D1-4310-8104-0C0CE925CCAD}"/>
    <cellStyle name="Separador de milhares 7 3 22 3" xfId="30420" xr:uid="{A79FF91C-734C-4B7D-BDBE-C2DA8CB8F4A3}"/>
    <cellStyle name="Separador de milhares 7 3 23" xfId="21576" xr:uid="{00000000-0005-0000-0000-0000925E0000}"/>
    <cellStyle name="Separador de milhares 7 3 23 2" xfId="21577" xr:uid="{00000000-0005-0000-0000-0000935E0000}"/>
    <cellStyle name="Separador de milhares 7 3 23 2 2" xfId="30423" xr:uid="{4669D4E7-A86D-4396-818C-EE6AC0C5FD07}"/>
    <cellStyle name="Separador de milhares 7 3 23 3" xfId="30422" xr:uid="{D0C07A45-7DA8-4EB9-B3DC-32092603B641}"/>
    <cellStyle name="Separador de milhares 7 3 24" xfId="21578" xr:uid="{00000000-0005-0000-0000-0000945E0000}"/>
    <cellStyle name="Separador de milhares 7 3 24 2" xfId="21579" xr:uid="{00000000-0005-0000-0000-0000955E0000}"/>
    <cellStyle name="Separador de milhares 7 3 24 2 2" xfId="30425" xr:uid="{9D8B1ABD-FAF2-4365-A20F-B4DA4B050D34}"/>
    <cellStyle name="Separador de milhares 7 3 24 3" xfId="30424" xr:uid="{587E704F-1AE9-4B6F-8108-808818484927}"/>
    <cellStyle name="Separador de milhares 7 3 25" xfId="21580" xr:uid="{00000000-0005-0000-0000-0000965E0000}"/>
    <cellStyle name="Separador de milhares 7 3 25 2" xfId="21581" xr:uid="{00000000-0005-0000-0000-0000975E0000}"/>
    <cellStyle name="Separador de milhares 7 3 25 2 2" xfId="30427" xr:uid="{AE23C4E4-DE56-45A8-800D-7DAA533D565E}"/>
    <cellStyle name="Separador de milhares 7 3 25 3" xfId="30426" xr:uid="{BE29D6C1-71AB-4952-A327-BDAE28BED76F}"/>
    <cellStyle name="Separador de milhares 7 3 26" xfId="21582" xr:uid="{00000000-0005-0000-0000-0000985E0000}"/>
    <cellStyle name="Separador de milhares 7 3 26 2" xfId="21583" xr:uid="{00000000-0005-0000-0000-0000995E0000}"/>
    <cellStyle name="Separador de milhares 7 3 26 2 2" xfId="30429" xr:uid="{2CAD7328-4685-4382-892A-4EEF3E613F7A}"/>
    <cellStyle name="Separador de milhares 7 3 26 3" xfId="30428" xr:uid="{3BFCC42F-7BD0-4541-8B1E-591A6DE2879D}"/>
    <cellStyle name="Separador de milhares 7 3 27" xfId="21584" xr:uid="{00000000-0005-0000-0000-00009A5E0000}"/>
    <cellStyle name="Separador de milhares 7 3 27 2" xfId="21585" xr:uid="{00000000-0005-0000-0000-00009B5E0000}"/>
    <cellStyle name="Separador de milhares 7 3 27 2 2" xfId="30431" xr:uid="{1CD80321-2968-4902-A6F4-3A36033AB9CE}"/>
    <cellStyle name="Separador de milhares 7 3 27 3" xfId="30430" xr:uid="{1AD61A47-D256-4AED-A94B-0E512E09A88C}"/>
    <cellStyle name="Separador de milhares 7 3 28" xfId="21586" xr:uid="{00000000-0005-0000-0000-00009C5E0000}"/>
    <cellStyle name="Separador de milhares 7 3 28 2" xfId="21587" xr:uid="{00000000-0005-0000-0000-00009D5E0000}"/>
    <cellStyle name="Separador de milhares 7 3 28 2 2" xfId="30433" xr:uid="{79A48FEB-06B2-46C8-8D7B-3296B7923B11}"/>
    <cellStyle name="Separador de milhares 7 3 28 3" xfId="30432" xr:uid="{247B2D82-8EEB-4B97-AC39-B94852BCD8BB}"/>
    <cellStyle name="Separador de milhares 7 3 29" xfId="21588" xr:uid="{00000000-0005-0000-0000-00009E5E0000}"/>
    <cellStyle name="Separador de milhares 7 3 29 2" xfId="21589" xr:uid="{00000000-0005-0000-0000-00009F5E0000}"/>
    <cellStyle name="Separador de milhares 7 3 29 2 2" xfId="30435" xr:uid="{FC25690E-2A56-429C-A40F-C432FD3E94F3}"/>
    <cellStyle name="Separador de milhares 7 3 29 3" xfId="30434" xr:uid="{858318B8-913A-4F45-A402-07A9265C74F3}"/>
    <cellStyle name="Separador de milhares 7 3 3" xfId="846" xr:uid="{00000000-0005-0000-0000-0000A05E0000}"/>
    <cellStyle name="Separador de milhares 7 3 3 10" xfId="21591" xr:uid="{00000000-0005-0000-0000-0000A15E0000}"/>
    <cellStyle name="Separador de milhares 7 3 3 10 2" xfId="21592" xr:uid="{00000000-0005-0000-0000-0000A25E0000}"/>
    <cellStyle name="Separador de milhares 7 3 3 10 2 2" xfId="30437" xr:uid="{58262884-D302-46CE-BE4B-83B038551ADA}"/>
    <cellStyle name="Separador de milhares 7 3 3 10 3" xfId="30436" xr:uid="{651E80FF-A874-40B4-B7D3-4CDD7C1B2CF5}"/>
    <cellStyle name="Separador de milhares 7 3 3 11" xfId="21593" xr:uid="{00000000-0005-0000-0000-0000A35E0000}"/>
    <cellStyle name="Separador de milhares 7 3 3 11 2" xfId="21594" xr:uid="{00000000-0005-0000-0000-0000A45E0000}"/>
    <cellStyle name="Separador de milhares 7 3 3 11 2 2" xfId="30439" xr:uid="{67EBA908-EB68-4FA5-BDBE-DC7FB4877A86}"/>
    <cellStyle name="Separador de milhares 7 3 3 11 3" xfId="30438" xr:uid="{398B2971-5D24-4550-B58C-CDA2356D1C34}"/>
    <cellStyle name="Separador de milhares 7 3 3 12" xfId="21595" xr:uid="{00000000-0005-0000-0000-0000A55E0000}"/>
    <cellStyle name="Separador de milhares 7 3 3 12 2" xfId="21596" xr:uid="{00000000-0005-0000-0000-0000A65E0000}"/>
    <cellStyle name="Separador de milhares 7 3 3 12 2 2" xfId="30441" xr:uid="{91921EE0-81B7-441D-B4E3-2BCBAED70CD1}"/>
    <cellStyle name="Separador de milhares 7 3 3 12 3" xfId="30440" xr:uid="{5E2B9532-A3B2-4299-9E9D-FFAC94D9614B}"/>
    <cellStyle name="Separador de milhares 7 3 3 13" xfId="21597" xr:uid="{00000000-0005-0000-0000-0000A75E0000}"/>
    <cellStyle name="Separador de milhares 7 3 3 13 2" xfId="21598" xr:uid="{00000000-0005-0000-0000-0000A85E0000}"/>
    <cellStyle name="Separador de milhares 7 3 3 13 2 2" xfId="30443" xr:uid="{899528CA-7D7B-4C85-8BA1-8FD394CF5204}"/>
    <cellStyle name="Separador de milhares 7 3 3 13 3" xfId="30442" xr:uid="{47E3C07B-99D3-408C-948D-15AD5871CAF9}"/>
    <cellStyle name="Separador de milhares 7 3 3 14" xfId="21599" xr:uid="{00000000-0005-0000-0000-0000A95E0000}"/>
    <cellStyle name="Separador de milhares 7 3 3 14 2" xfId="21600" xr:uid="{00000000-0005-0000-0000-0000AA5E0000}"/>
    <cellStyle name="Separador de milhares 7 3 3 14 2 2" xfId="30445" xr:uid="{2CF7B952-14F8-48CD-ABD8-CB6F1E972A2D}"/>
    <cellStyle name="Separador de milhares 7 3 3 14 3" xfId="30444" xr:uid="{DA778A5E-08B5-4CAF-80EE-9AA6D11B7F16}"/>
    <cellStyle name="Separador de milhares 7 3 3 15" xfId="21601" xr:uid="{00000000-0005-0000-0000-0000AB5E0000}"/>
    <cellStyle name="Separador de milhares 7 3 3 15 2" xfId="21602" xr:uid="{00000000-0005-0000-0000-0000AC5E0000}"/>
    <cellStyle name="Separador de milhares 7 3 3 15 2 2" xfId="30447" xr:uid="{B3115D2D-A167-4677-B6AA-9EBA10328FF7}"/>
    <cellStyle name="Separador de milhares 7 3 3 15 3" xfId="30446" xr:uid="{9E92E479-6990-4391-9D54-FC5C1146DB05}"/>
    <cellStyle name="Separador de milhares 7 3 3 16" xfId="21603" xr:uid="{00000000-0005-0000-0000-0000AD5E0000}"/>
    <cellStyle name="Separador de milhares 7 3 3 16 2" xfId="21604" xr:uid="{00000000-0005-0000-0000-0000AE5E0000}"/>
    <cellStyle name="Separador de milhares 7 3 3 16 2 2" xfId="30449" xr:uid="{9727D28F-EC95-4E2C-B77B-36FD97FF744D}"/>
    <cellStyle name="Separador de milhares 7 3 3 16 3" xfId="30448" xr:uid="{8AFD46E0-B215-4D66-BF50-3D979C33CA9D}"/>
    <cellStyle name="Separador de milhares 7 3 3 17" xfId="21605" xr:uid="{00000000-0005-0000-0000-0000AF5E0000}"/>
    <cellStyle name="Separador de milhares 7 3 3 17 2" xfId="21606" xr:uid="{00000000-0005-0000-0000-0000B05E0000}"/>
    <cellStyle name="Separador de milhares 7 3 3 17 2 2" xfId="30451" xr:uid="{242CFEF3-7C59-44FE-BC82-D55E3581F9BB}"/>
    <cellStyle name="Separador de milhares 7 3 3 17 3" xfId="30450" xr:uid="{79819F66-5C6A-4701-8C1E-FC9D5A27B768}"/>
    <cellStyle name="Separador de milhares 7 3 3 18" xfId="21607" xr:uid="{00000000-0005-0000-0000-0000B15E0000}"/>
    <cellStyle name="Separador de milhares 7 3 3 18 2" xfId="21608" xr:uid="{00000000-0005-0000-0000-0000B25E0000}"/>
    <cellStyle name="Separador de milhares 7 3 3 18 2 2" xfId="30453" xr:uid="{11599C72-92D4-46F9-B14C-F179FBD1B3F5}"/>
    <cellStyle name="Separador de milhares 7 3 3 18 3" xfId="30452" xr:uid="{7064B41C-719B-4548-B1CA-28BF89D28D95}"/>
    <cellStyle name="Separador de milhares 7 3 3 19" xfId="21609" xr:uid="{00000000-0005-0000-0000-0000B35E0000}"/>
    <cellStyle name="Separador de milhares 7 3 3 19 2" xfId="21610" xr:uid="{00000000-0005-0000-0000-0000B45E0000}"/>
    <cellStyle name="Separador de milhares 7 3 3 19 2 2" xfId="30455" xr:uid="{E124ED42-5CF9-47C5-89FA-267DC018469F}"/>
    <cellStyle name="Separador de milhares 7 3 3 19 3" xfId="30454" xr:uid="{33698698-A787-4598-BE12-1E35BBB9D31A}"/>
    <cellStyle name="Separador de milhares 7 3 3 2" xfId="847" xr:uid="{00000000-0005-0000-0000-0000B55E0000}"/>
    <cellStyle name="Separador de milhares 7 3 3 2 10" xfId="21612" xr:uid="{00000000-0005-0000-0000-0000B65E0000}"/>
    <cellStyle name="Separador de milhares 7 3 3 2 10 2" xfId="21613" xr:uid="{00000000-0005-0000-0000-0000B75E0000}"/>
    <cellStyle name="Separador de milhares 7 3 3 2 10 2 2" xfId="30458" xr:uid="{EBCD9C3B-BB99-4F4E-9C9D-AB5EE1B756A9}"/>
    <cellStyle name="Separador de milhares 7 3 3 2 10 3" xfId="30457" xr:uid="{725CABD6-F67B-4488-BAEA-B58A36E37B14}"/>
    <cellStyle name="Separador de milhares 7 3 3 2 11" xfId="21614" xr:uid="{00000000-0005-0000-0000-0000B85E0000}"/>
    <cellStyle name="Separador de milhares 7 3 3 2 11 2" xfId="21615" xr:uid="{00000000-0005-0000-0000-0000B95E0000}"/>
    <cellStyle name="Separador de milhares 7 3 3 2 11 2 2" xfId="30460" xr:uid="{269E9888-3376-402A-B871-92F040D93C87}"/>
    <cellStyle name="Separador de milhares 7 3 3 2 11 3" xfId="30459" xr:uid="{1A3D273F-DECD-4EDA-8B43-2FE0852D62B2}"/>
    <cellStyle name="Separador de milhares 7 3 3 2 12" xfId="21616" xr:uid="{00000000-0005-0000-0000-0000BA5E0000}"/>
    <cellStyle name="Separador de milhares 7 3 3 2 12 2" xfId="21617" xr:uid="{00000000-0005-0000-0000-0000BB5E0000}"/>
    <cellStyle name="Separador de milhares 7 3 3 2 12 2 2" xfId="30462" xr:uid="{025A48AE-4935-4FC2-A598-5518CAD519C5}"/>
    <cellStyle name="Separador de milhares 7 3 3 2 12 3" xfId="30461" xr:uid="{6D2C88BF-3680-4AE8-9342-E9C73747FE20}"/>
    <cellStyle name="Separador de milhares 7 3 3 2 13" xfId="21618" xr:uid="{00000000-0005-0000-0000-0000BC5E0000}"/>
    <cellStyle name="Separador de milhares 7 3 3 2 13 2" xfId="21619" xr:uid="{00000000-0005-0000-0000-0000BD5E0000}"/>
    <cellStyle name="Separador de milhares 7 3 3 2 13 2 2" xfId="30464" xr:uid="{1865FE50-E51F-477C-9864-0A5069E76503}"/>
    <cellStyle name="Separador de milhares 7 3 3 2 13 3" xfId="30463" xr:uid="{7D1FE84A-0C43-4318-B7CE-24B055499454}"/>
    <cellStyle name="Separador de milhares 7 3 3 2 14" xfId="21620" xr:uid="{00000000-0005-0000-0000-0000BE5E0000}"/>
    <cellStyle name="Separador de milhares 7 3 3 2 14 2" xfId="21621" xr:uid="{00000000-0005-0000-0000-0000BF5E0000}"/>
    <cellStyle name="Separador de milhares 7 3 3 2 14 2 2" xfId="30466" xr:uid="{1951B51D-C69A-48B9-AE36-3308CD0FA0B6}"/>
    <cellStyle name="Separador de milhares 7 3 3 2 14 3" xfId="30465" xr:uid="{DF97BF8E-D247-4BB5-A6F4-FF0D4C24CC58}"/>
    <cellStyle name="Separador de milhares 7 3 3 2 15" xfId="21622" xr:uid="{00000000-0005-0000-0000-0000C05E0000}"/>
    <cellStyle name="Separador de milhares 7 3 3 2 15 2" xfId="21623" xr:uid="{00000000-0005-0000-0000-0000C15E0000}"/>
    <cellStyle name="Separador de milhares 7 3 3 2 15 2 2" xfId="30468" xr:uid="{2E186EB9-7315-44A7-A152-DC59C404BA1B}"/>
    <cellStyle name="Separador de milhares 7 3 3 2 15 3" xfId="30467" xr:uid="{8E87295B-4613-449E-BA83-1A34CD6520C0}"/>
    <cellStyle name="Separador de milhares 7 3 3 2 16" xfId="21624" xr:uid="{00000000-0005-0000-0000-0000C25E0000}"/>
    <cellStyle name="Separador de milhares 7 3 3 2 16 2" xfId="21625" xr:uid="{00000000-0005-0000-0000-0000C35E0000}"/>
    <cellStyle name="Separador de milhares 7 3 3 2 16 2 2" xfId="30470" xr:uid="{02146D49-5EE5-4ED4-BC62-B5BEAAC96888}"/>
    <cellStyle name="Separador de milhares 7 3 3 2 16 3" xfId="30469" xr:uid="{EBA72D63-FC31-4E1D-B726-CE45AF85E1CE}"/>
    <cellStyle name="Separador de milhares 7 3 3 2 17" xfId="21626" xr:uid="{00000000-0005-0000-0000-0000C45E0000}"/>
    <cellStyle name="Separador de milhares 7 3 3 2 17 2" xfId="21627" xr:uid="{00000000-0005-0000-0000-0000C55E0000}"/>
    <cellStyle name="Separador de milhares 7 3 3 2 17 2 2" xfId="30472" xr:uid="{4A575FB8-9BAB-45B6-840F-EEAE4E526EB1}"/>
    <cellStyle name="Separador de milhares 7 3 3 2 17 3" xfId="30471" xr:uid="{085C1FDF-F61C-413A-BDE1-2CD3C0AB4C1F}"/>
    <cellStyle name="Separador de milhares 7 3 3 2 18" xfId="21628" xr:uid="{00000000-0005-0000-0000-0000C65E0000}"/>
    <cellStyle name="Separador de milhares 7 3 3 2 18 2" xfId="21629" xr:uid="{00000000-0005-0000-0000-0000C75E0000}"/>
    <cellStyle name="Separador de milhares 7 3 3 2 18 2 2" xfId="30474" xr:uid="{FEF8E9B0-44E0-4F0B-901D-37D7DA2F4B56}"/>
    <cellStyle name="Separador de milhares 7 3 3 2 18 3" xfId="30473" xr:uid="{87928B6D-C95A-4AF7-B241-D53FE53A28D8}"/>
    <cellStyle name="Separador de milhares 7 3 3 2 19" xfId="21630" xr:uid="{00000000-0005-0000-0000-0000C85E0000}"/>
    <cellStyle name="Separador de milhares 7 3 3 2 19 2" xfId="21631" xr:uid="{00000000-0005-0000-0000-0000C95E0000}"/>
    <cellStyle name="Separador de milhares 7 3 3 2 19 2 2" xfId="30476" xr:uid="{F3B589E9-0974-4CBB-85FC-6D223993F522}"/>
    <cellStyle name="Separador de milhares 7 3 3 2 19 3" xfId="30475" xr:uid="{B2BFA460-F9C6-4D3C-8A8A-8F125BD35B0C}"/>
    <cellStyle name="Separador de milhares 7 3 3 2 2" xfId="21632" xr:uid="{00000000-0005-0000-0000-0000CA5E0000}"/>
    <cellStyle name="Separador de milhares 7 3 3 2 2 2" xfId="21633" xr:uid="{00000000-0005-0000-0000-0000CB5E0000}"/>
    <cellStyle name="Separador de milhares 7 3 3 2 2 2 2" xfId="30478" xr:uid="{6B9F843B-BD2D-4281-9A03-C91065F96204}"/>
    <cellStyle name="Separador de milhares 7 3 3 2 2 3" xfId="30477" xr:uid="{5755874C-2454-4C0B-BAFB-8C3BFA70C55B}"/>
    <cellStyle name="Separador de milhares 7 3 3 2 20" xfId="21634" xr:uid="{00000000-0005-0000-0000-0000CC5E0000}"/>
    <cellStyle name="Separador de milhares 7 3 3 2 20 2" xfId="21635" xr:uid="{00000000-0005-0000-0000-0000CD5E0000}"/>
    <cellStyle name="Separador de milhares 7 3 3 2 20 2 2" xfId="30480" xr:uid="{8DA671A6-F78D-4129-9B2B-527C982ADC3E}"/>
    <cellStyle name="Separador de milhares 7 3 3 2 20 3" xfId="30479" xr:uid="{39532196-CF72-4FCE-8B01-9E77381ED36F}"/>
    <cellStyle name="Separador de milhares 7 3 3 2 21" xfId="21636" xr:uid="{00000000-0005-0000-0000-0000CE5E0000}"/>
    <cellStyle name="Separador de milhares 7 3 3 2 21 2" xfId="21637" xr:uid="{00000000-0005-0000-0000-0000CF5E0000}"/>
    <cellStyle name="Separador de milhares 7 3 3 2 21 2 2" xfId="30482" xr:uid="{E5A34371-F928-4DA6-BFCC-AA01153DF93B}"/>
    <cellStyle name="Separador de milhares 7 3 3 2 21 3" xfId="30481" xr:uid="{B62A0B3F-42EC-4B4C-904F-E78A508AEE8C}"/>
    <cellStyle name="Separador de milhares 7 3 3 2 22" xfId="21638" xr:uid="{00000000-0005-0000-0000-0000D05E0000}"/>
    <cellStyle name="Separador de milhares 7 3 3 2 22 2" xfId="21639" xr:uid="{00000000-0005-0000-0000-0000D15E0000}"/>
    <cellStyle name="Separador de milhares 7 3 3 2 22 2 2" xfId="30484" xr:uid="{A58E1D25-9092-43FE-8BF2-31E1D6969BFE}"/>
    <cellStyle name="Separador de milhares 7 3 3 2 22 3" xfId="30483" xr:uid="{D1D523CB-AA4B-441F-9573-49AF79EEBCC9}"/>
    <cellStyle name="Separador de milhares 7 3 3 2 23" xfId="21640" xr:uid="{00000000-0005-0000-0000-0000D25E0000}"/>
    <cellStyle name="Separador de milhares 7 3 3 2 23 2" xfId="21641" xr:uid="{00000000-0005-0000-0000-0000D35E0000}"/>
    <cellStyle name="Separador de milhares 7 3 3 2 23 2 2" xfId="30486" xr:uid="{CCA4CD31-371E-4021-893C-F86B970DF791}"/>
    <cellStyle name="Separador de milhares 7 3 3 2 23 3" xfId="30485" xr:uid="{772501D0-08D0-475D-A15F-49E4A2874465}"/>
    <cellStyle name="Separador de milhares 7 3 3 2 24" xfId="21642" xr:uid="{00000000-0005-0000-0000-0000D45E0000}"/>
    <cellStyle name="Separador de milhares 7 3 3 2 24 2" xfId="21643" xr:uid="{00000000-0005-0000-0000-0000D55E0000}"/>
    <cellStyle name="Separador de milhares 7 3 3 2 24 2 2" xfId="30488" xr:uid="{4B53670A-B344-41DD-9EE9-5A31AD9D28BF}"/>
    <cellStyle name="Separador de milhares 7 3 3 2 24 3" xfId="30487" xr:uid="{89419133-6740-490E-9087-878BDE84D3D9}"/>
    <cellStyle name="Separador de milhares 7 3 3 2 25" xfId="21644" xr:uid="{00000000-0005-0000-0000-0000D65E0000}"/>
    <cellStyle name="Separador de milhares 7 3 3 2 25 2" xfId="21645" xr:uid="{00000000-0005-0000-0000-0000D75E0000}"/>
    <cellStyle name="Separador de milhares 7 3 3 2 25 2 2" xfId="30490" xr:uid="{AA2CA189-C9F9-4EA8-A587-100DA151EB1E}"/>
    <cellStyle name="Separador de milhares 7 3 3 2 25 3" xfId="30489" xr:uid="{602D198B-1D37-410F-B40F-55E4FCBEA1AC}"/>
    <cellStyle name="Separador de milhares 7 3 3 2 26" xfId="21646" xr:uid="{00000000-0005-0000-0000-0000D85E0000}"/>
    <cellStyle name="Separador de milhares 7 3 3 2 26 2" xfId="21647" xr:uid="{00000000-0005-0000-0000-0000D95E0000}"/>
    <cellStyle name="Separador de milhares 7 3 3 2 26 2 2" xfId="30492" xr:uid="{F6F0D310-3055-44DC-9FD5-B6CDE2D8FFBF}"/>
    <cellStyle name="Separador de milhares 7 3 3 2 26 3" xfId="30491" xr:uid="{67441D51-7E54-4126-A6EA-6DAFA07A6DF3}"/>
    <cellStyle name="Separador de milhares 7 3 3 2 27" xfId="21648" xr:uid="{00000000-0005-0000-0000-0000DA5E0000}"/>
    <cellStyle name="Separador de milhares 7 3 3 2 27 2" xfId="21649" xr:uid="{00000000-0005-0000-0000-0000DB5E0000}"/>
    <cellStyle name="Separador de milhares 7 3 3 2 27 2 2" xfId="30494" xr:uid="{F63416F6-9FF0-4BB2-AF9A-699A2C4B780D}"/>
    <cellStyle name="Separador de milhares 7 3 3 2 27 3" xfId="30493" xr:uid="{D1C34DB1-FB3B-4F6E-A1E4-1771D05C12AA}"/>
    <cellStyle name="Separador de milhares 7 3 3 2 28" xfId="21650" xr:uid="{00000000-0005-0000-0000-0000DC5E0000}"/>
    <cellStyle name="Separador de milhares 7 3 3 2 28 2" xfId="21651" xr:uid="{00000000-0005-0000-0000-0000DD5E0000}"/>
    <cellStyle name="Separador de milhares 7 3 3 2 28 2 2" xfId="30496" xr:uid="{E95894B1-BA88-453B-831D-2D2EC09B0E1D}"/>
    <cellStyle name="Separador de milhares 7 3 3 2 28 3" xfId="30495" xr:uid="{EFA4052F-38F0-4DA0-86E9-FFCC3B84AA81}"/>
    <cellStyle name="Separador de milhares 7 3 3 2 29" xfId="21652" xr:uid="{00000000-0005-0000-0000-0000DE5E0000}"/>
    <cellStyle name="Separador de milhares 7 3 3 2 29 2" xfId="21653" xr:uid="{00000000-0005-0000-0000-0000DF5E0000}"/>
    <cellStyle name="Separador de milhares 7 3 3 2 29 2 2" xfId="30498" xr:uid="{611DCB98-D436-41F7-B646-BAFA7B023FFE}"/>
    <cellStyle name="Separador de milhares 7 3 3 2 29 3" xfId="30497" xr:uid="{E0813D4D-5631-4A1E-88BC-A47C89D2CBD9}"/>
    <cellStyle name="Separador de milhares 7 3 3 2 3" xfId="21654" xr:uid="{00000000-0005-0000-0000-0000E05E0000}"/>
    <cellStyle name="Separador de milhares 7 3 3 2 3 2" xfId="21655" xr:uid="{00000000-0005-0000-0000-0000E15E0000}"/>
    <cellStyle name="Separador de milhares 7 3 3 2 3 2 2" xfId="30500" xr:uid="{A1ADB5C1-0AE6-45AC-956F-5D1C39592338}"/>
    <cellStyle name="Separador de milhares 7 3 3 2 3 3" xfId="30499" xr:uid="{3159F998-C3FA-4B05-B5E9-18770ECD8CEE}"/>
    <cellStyle name="Separador de milhares 7 3 3 2 30" xfId="21656" xr:uid="{00000000-0005-0000-0000-0000E25E0000}"/>
    <cellStyle name="Separador de milhares 7 3 3 2 30 2" xfId="21657" xr:uid="{00000000-0005-0000-0000-0000E35E0000}"/>
    <cellStyle name="Separador de milhares 7 3 3 2 30 2 2" xfId="30502" xr:uid="{EA2522F7-5227-4226-ABA2-E563133A9D7B}"/>
    <cellStyle name="Separador de milhares 7 3 3 2 30 3" xfId="30501" xr:uid="{152036A2-7B9C-4B49-9C87-10D23383E8EA}"/>
    <cellStyle name="Separador de milhares 7 3 3 2 31" xfId="21658" xr:uid="{00000000-0005-0000-0000-0000E45E0000}"/>
    <cellStyle name="Separador de milhares 7 3 3 2 31 2" xfId="21659" xr:uid="{00000000-0005-0000-0000-0000E55E0000}"/>
    <cellStyle name="Separador de milhares 7 3 3 2 31 2 2" xfId="30504" xr:uid="{920DDDCA-AD94-4323-A587-D94F21289791}"/>
    <cellStyle name="Separador de milhares 7 3 3 2 31 3" xfId="30503" xr:uid="{8C48F5ED-75FF-4B98-9E5F-D1D2746F06BF}"/>
    <cellStyle name="Separador de milhares 7 3 3 2 32" xfId="21660" xr:uid="{00000000-0005-0000-0000-0000E65E0000}"/>
    <cellStyle name="Separador de milhares 7 3 3 2 32 2" xfId="21661" xr:uid="{00000000-0005-0000-0000-0000E75E0000}"/>
    <cellStyle name="Separador de milhares 7 3 3 2 32 2 2" xfId="30506" xr:uid="{E7CE4A9C-66CC-4474-907B-919C483CB35C}"/>
    <cellStyle name="Separador de milhares 7 3 3 2 32 3" xfId="30505" xr:uid="{2EA6296C-FD6E-4A0B-A989-6F2BB5F54570}"/>
    <cellStyle name="Separador de milhares 7 3 3 2 33" xfId="21662" xr:uid="{00000000-0005-0000-0000-0000E85E0000}"/>
    <cellStyle name="Separador de milhares 7 3 3 2 33 2" xfId="21663" xr:uid="{00000000-0005-0000-0000-0000E95E0000}"/>
    <cellStyle name="Separador de milhares 7 3 3 2 33 2 2" xfId="30508" xr:uid="{656564BE-A676-4EB6-91A1-0BE7F542D200}"/>
    <cellStyle name="Separador de milhares 7 3 3 2 33 3" xfId="30507" xr:uid="{4DD52DAD-5686-46DD-B758-0D9E0DDE2CA4}"/>
    <cellStyle name="Separador de milhares 7 3 3 2 34" xfId="21664" xr:uid="{00000000-0005-0000-0000-0000EA5E0000}"/>
    <cellStyle name="Separador de milhares 7 3 3 2 34 2" xfId="21665" xr:uid="{00000000-0005-0000-0000-0000EB5E0000}"/>
    <cellStyle name="Separador de milhares 7 3 3 2 34 2 2" xfId="30510" xr:uid="{3978C62C-CC32-47EC-A7D8-592143C0B529}"/>
    <cellStyle name="Separador de milhares 7 3 3 2 34 3" xfId="30509" xr:uid="{BEAE05A8-4A7A-45CB-B130-305683BEB14A}"/>
    <cellStyle name="Separador de milhares 7 3 3 2 35" xfId="21666" xr:uid="{00000000-0005-0000-0000-0000EC5E0000}"/>
    <cellStyle name="Separador de milhares 7 3 3 2 35 2" xfId="30511" xr:uid="{B1B86DF2-4BA2-4771-BD68-43B42A59D532}"/>
    <cellStyle name="Separador de milhares 7 3 3 2 36" xfId="21611" xr:uid="{00000000-0005-0000-0000-0000ED5E0000}"/>
    <cellStyle name="Separador de milhares 7 3 3 2 36 2" xfId="30456" xr:uid="{CAC1692C-07CC-42B4-ADEE-5FA43402CEFC}"/>
    <cellStyle name="Separador de milhares 7 3 3 2 37" xfId="28079" xr:uid="{44C2CF2C-4713-4D17-8353-31B86D3BB0C6}"/>
    <cellStyle name="Separador de milhares 7 3 3 2 4" xfId="21667" xr:uid="{00000000-0005-0000-0000-0000EE5E0000}"/>
    <cellStyle name="Separador de milhares 7 3 3 2 4 2" xfId="21668" xr:uid="{00000000-0005-0000-0000-0000EF5E0000}"/>
    <cellStyle name="Separador de milhares 7 3 3 2 4 2 2" xfId="30513" xr:uid="{7DD426C0-D32D-46BB-AD36-B86DEBF8B707}"/>
    <cellStyle name="Separador de milhares 7 3 3 2 4 3" xfId="30512" xr:uid="{16136ABF-7658-4D8C-9F1B-2CAB73DB4DD6}"/>
    <cellStyle name="Separador de milhares 7 3 3 2 5" xfId="21669" xr:uid="{00000000-0005-0000-0000-0000F05E0000}"/>
    <cellStyle name="Separador de milhares 7 3 3 2 5 2" xfId="21670" xr:uid="{00000000-0005-0000-0000-0000F15E0000}"/>
    <cellStyle name="Separador de milhares 7 3 3 2 5 2 2" xfId="30515" xr:uid="{C44EAAA6-96D2-4083-B5F5-C7B43F8BF9DA}"/>
    <cellStyle name="Separador de milhares 7 3 3 2 5 3" xfId="30514" xr:uid="{EE4D7F75-5267-498E-844C-7160F633E05A}"/>
    <cellStyle name="Separador de milhares 7 3 3 2 6" xfId="21671" xr:uid="{00000000-0005-0000-0000-0000F25E0000}"/>
    <cellStyle name="Separador de milhares 7 3 3 2 6 2" xfId="21672" xr:uid="{00000000-0005-0000-0000-0000F35E0000}"/>
    <cellStyle name="Separador de milhares 7 3 3 2 6 2 2" xfId="30517" xr:uid="{F1A55DA5-BB79-42C4-9B04-CB0316888D7F}"/>
    <cellStyle name="Separador de milhares 7 3 3 2 6 3" xfId="30516" xr:uid="{7A7844E5-2EB5-4280-994E-FF708EB248D9}"/>
    <cellStyle name="Separador de milhares 7 3 3 2 7" xfId="21673" xr:uid="{00000000-0005-0000-0000-0000F45E0000}"/>
    <cellStyle name="Separador de milhares 7 3 3 2 7 2" xfId="21674" xr:uid="{00000000-0005-0000-0000-0000F55E0000}"/>
    <cellStyle name="Separador de milhares 7 3 3 2 7 2 2" xfId="30519" xr:uid="{4AB10A2E-7D44-4698-98B4-FC12BABF96C3}"/>
    <cellStyle name="Separador de milhares 7 3 3 2 7 3" xfId="30518" xr:uid="{5CCAA58A-92E7-4664-B013-DBA1A8ECA4C5}"/>
    <cellStyle name="Separador de milhares 7 3 3 2 8" xfId="21675" xr:uid="{00000000-0005-0000-0000-0000F65E0000}"/>
    <cellStyle name="Separador de milhares 7 3 3 2 8 2" xfId="21676" xr:uid="{00000000-0005-0000-0000-0000F75E0000}"/>
    <cellStyle name="Separador de milhares 7 3 3 2 8 2 2" xfId="30521" xr:uid="{591FE35B-EE5E-435F-A7DB-A57BF3FB1E52}"/>
    <cellStyle name="Separador de milhares 7 3 3 2 8 3" xfId="30520" xr:uid="{8B656C31-C5C0-4654-A3BB-6BFEB321A55A}"/>
    <cellStyle name="Separador de milhares 7 3 3 2 9" xfId="21677" xr:uid="{00000000-0005-0000-0000-0000F85E0000}"/>
    <cellStyle name="Separador de milhares 7 3 3 2 9 2" xfId="21678" xr:uid="{00000000-0005-0000-0000-0000F95E0000}"/>
    <cellStyle name="Separador de milhares 7 3 3 2 9 2 2" xfId="30523" xr:uid="{5B1B7434-8055-46E9-B04F-8CDBB5471342}"/>
    <cellStyle name="Separador de milhares 7 3 3 2 9 3" xfId="30522" xr:uid="{389C8974-1B5A-45A1-A422-2DB0CDDECF54}"/>
    <cellStyle name="Separador de milhares 7 3 3 20" xfId="21679" xr:uid="{00000000-0005-0000-0000-0000FA5E0000}"/>
    <cellStyle name="Separador de milhares 7 3 3 20 2" xfId="21680" xr:uid="{00000000-0005-0000-0000-0000FB5E0000}"/>
    <cellStyle name="Separador de milhares 7 3 3 20 2 2" xfId="30525" xr:uid="{5611C7C4-905A-4DF1-AFEB-835763598B61}"/>
    <cellStyle name="Separador de milhares 7 3 3 20 3" xfId="30524" xr:uid="{E771ECC5-35E8-40D2-B1A1-B948F1E1D277}"/>
    <cellStyle name="Separador de milhares 7 3 3 21" xfId="21681" xr:uid="{00000000-0005-0000-0000-0000FC5E0000}"/>
    <cellStyle name="Separador de milhares 7 3 3 21 2" xfId="21682" xr:uid="{00000000-0005-0000-0000-0000FD5E0000}"/>
    <cellStyle name="Separador de milhares 7 3 3 21 2 2" xfId="30527" xr:uid="{8AF807B2-0208-433B-B932-5F57E0E62695}"/>
    <cellStyle name="Separador de milhares 7 3 3 21 3" xfId="30526" xr:uid="{E2098BE2-8A85-4F1D-8AA5-338262CC2955}"/>
    <cellStyle name="Separador de milhares 7 3 3 22" xfId="21683" xr:uid="{00000000-0005-0000-0000-0000FE5E0000}"/>
    <cellStyle name="Separador de milhares 7 3 3 22 2" xfId="21684" xr:uid="{00000000-0005-0000-0000-0000FF5E0000}"/>
    <cellStyle name="Separador de milhares 7 3 3 22 2 2" xfId="30529" xr:uid="{46AA9CAB-F5B7-4105-B259-4E6114D86F86}"/>
    <cellStyle name="Separador de milhares 7 3 3 22 3" xfId="30528" xr:uid="{A84858AD-AF5A-42E8-A633-58D3953135F5}"/>
    <cellStyle name="Separador de milhares 7 3 3 23" xfId="21685" xr:uid="{00000000-0005-0000-0000-0000005F0000}"/>
    <cellStyle name="Separador de milhares 7 3 3 23 2" xfId="21686" xr:uid="{00000000-0005-0000-0000-0000015F0000}"/>
    <cellStyle name="Separador de milhares 7 3 3 23 2 2" xfId="30531" xr:uid="{69416C5E-4EB2-4866-9383-0EA51EDA40DB}"/>
    <cellStyle name="Separador de milhares 7 3 3 23 3" xfId="30530" xr:uid="{F2072EF0-6F88-4DD4-8954-BF08BE52B6B0}"/>
    <cellStyle name="Separador de milhares 7 3 3 24" xfId="21687" xr:uid="{00000000-0005-0000-0000-0000025F0000}"/>
    <cellStyle name="Separador de milhares 7 3 3 24 2" xfId="21688" xr:uid="{00000000-0005-0000-0000-0000035F0000}"/>
    <cellStyle name="Separador de milhares 7 3 3 24 2 2" xfId="30533" xr:uid="{28735A35-CEDD-4BB4-B5CE-3CCAE28FE575}"/>
    <cellStyle name="Separador de milhares 7 3 3 24 3" xfId="30532" xr:uid="{6B4D7E57-F5F7-4BA1-BD6B-F902DF8A80EF}"/>
    <cellStyle name="Separador de milhares 7 3 3 25" xfId="21689" xr:uid="{00000000-0005-0000-0000-0000045F0000}"/>
    <cellStyle name="Separador de milhares 7 3 3 25 2" xfId="21690" xr:uid="{00000000-0005-0000-0000-0000055F0000}"/>
    <cellStyle name="Separador de milhares 7 3 3 25 2 2" xfId="30535" xr:uid="{3916E816-4E4B-4E12-9D10-C627266A67EB}"/>
    <cellStyle name="Separador de milhares 7 3 3 25 3" xfId="30534" xr:uid="{E5328203-6844-48EC-B9CA-E42913EFD3EB}"/>
    <cellStyle name="Separador de milhares 7 3 3 26" xfId="21691" xr:uid="{00000000-0005-0000-0000-0000065F0000}"/>
    <cellStyle name="Separador de milhares 7 3 3 26 2" xfId="21692" xr:uid="{00000000-0005-0000-0000-0000075F0000}"/>
    <cellStyle name="Separador de milhares 7 3 3 26 2 2" xfId="30537" xr:uid="{2A368C11-6D11-4650-81F9-986ECA520610}"/>
    <cellStyle name="Separador de milhares 7 3 3 26 3" xfId="30536" xr:uid="{EFAC9715-CCF5-4B52-B9AA-49FA55D009DE}"/>
    <cellStyle name="Separador de milhares 7 3 3 27" xfId="21693" xr:uid="{00000000-0005-0000-0000-0000085F0000}"/>
    <cellStyle name="Separador de milhares 7 3 3 27 2" xfId="21694" xr:uid="{00000000-0005-0000-0000-0000095F0000}"/>
    <cellStyle name="Separador de milhares 7 3 3 27 2 2" xfId="30539" xr:uid="{7B138895-4DD0-4392-97A2-B164B14E3451}"/>
    <cellStyle name="Separador de milhares 7 3 3 27 3" xfId="30538" xr:uid="{25C71715-8420-4C56-ADA1-DDEE0A6DEDFC}"/>
    <cellStyle name="Separador de milhares 7 3 3 28" xfId="21695" xr:uid="{00000000-0005-0000-0000-00000A5F0000}"/>
    <cellStyle name="Separador de milhares 7 3 3 28 2" xfId="21696" xr:uid="{00000000-0005-0000-0000-00000B5F0000}"/>
    <cellStyle name="Separador de milhares 7 3 3 28 2 2" xfId="30541" xr:uid="{D0E0ED6E-E3B5-4F26-8B57-2FB62D2DE4DE}"/>
    <cellStyle name="Separador de milhares 7 3 3 28 3" xfId="30540" xr:uid="{4178C1A9-2A50-4FC0-87E1-F4B02D1729DF}"/>
    <cellStyle name="Separador de milhares 7 3 3 29" xfId="21697" xr:uid="{00000000-0005-0000-0000-00000C5F0000}"/>
    <cellStyle name="Separador de milhares 7 3 3 29 2" xfId="21698" xr:uid="{00000000-0005-0000-0000-00000D5F0000}"/>
    <cellStyle name="Separador de milhares 7 3 3 29 2 2" xfId="30543" xr:uid="{7DCF3039-7D2A-43A2-94A7-B8838035DD74}"/>
    <cellStyle name="Separador de milhares 7 3 3 29 3" xfId="30542" xr:uid="{89C7EEB5-C7C9-4F84-B8CD-351FA11F15A6}"/>
    <cellStyle name="Separador de milhares 7 3 3 3" xfId="21699" xr:uid="{00000000-0005-0000-0000-00000E5F0000}"/>
    <cellStyle name="Separador de milhares 7 3 3 3 10" xfId="21700" xr:uid="{00000000-0005-0000-0000-00000F5F0000}"/>
    <cellStyle name="Separador de milhares 7 3 3 3 10 2" xfId="21701" xr:uid="{00000000-0005-0000-0000-0000105F0000}"/>
    <cellStyle name="Separador de milhares 7 3 3 3 10 2 2" xfId="30546" xr:uid="{6F411D1D-B202-4945-BFB1-18923983F377}"/>
    <cellStyle name="Separador de milhares 7 3 3 3 10 3" xfId="30545" xr:uid="{E039C030-E600-4312-A0C9-F8F6C9A089B7}"/>
    <cellStyle name="Separador de milhares 7 3 3 3 11" xfId="21702" xr:uid="{00000000-0005-0000-0000-0000115F0000}"/>
    <cellStyle name="Separador de milhares 7 3 3 3 11 2" xfId="21703" xr:uid="{00000000-0005-0000-0000-0000125F0000}"/>
    <cellStyle name="Separador de milhares 7 3 3 3 11 2 2" xfId="30548" xr:uid="{4EAD2955-2E8D-4B07-9B31-AC77D19C620E}"/>
    <cellStyle name="Separador de milhares 7 3 3 3 11 3" xfId="30547" xr:uid="{A074A40C-ECD4-4CE8-B13E-5956B4B5F16E}"/>
    <cellStyle name="Separador de milhares 7 3 3 3 12" xfId="21704" xr:uid="{00000000-0005-0000-0000-0000135F0000}"/>
    <cellStyle name="Separador de milhares 7 3 3 3 12 2" xfId="21705" xr:uid="{00000000-0005-0000-0000-0000145F0000}"/>
    <cellStyle name="Separador de milhares 7 3 3 3 12 2 2" xfId="30550" xr:uid="{8CC352B3-93BF-444C-A4CE-3A688E4331BB}"/>
    <cellStyle name="Separador de milhares 7 3 3 3 12 3" xfId="30549" xr:uid="{7D9B19B0-21DF-421C-BEC1-BC0617AACC07}"/>
    <cellStyle name="Separador de milhares 7 3 3 3 13" xfId="21706" xr:uid="{00000000-0005-0000-0000-0000155F0000}"/>
    <cellStyle name="Separador de milhares 7 3 3 3 13 2" xfId="21707" xr:uid="{00000000-0005-0000-0000-0000165F0000}"/>
    <cellStyle name="Separador de milhares 7 3 3 3 13 2 2" xfId="30552" xr:uid="{7ECCC394-FED7-42EC-ACDE-CE2B113079EF}"/>
    <cellStyle name="Separador de milhares 7 3 3 3 13 3" xfId="30551" xr:uid="{A46DFA23-8130-4329-933B-C5245DD3C350}"/>
    <cellStyle name="Separador de milhares 7 3 3 3 14" xfId="21708" xr:uid="{00000000-0005-0000-0000-0000175F0000}"/>
    <cellStyle name="Separador de milhares 7 3 3 3 14 2" xfId="21709" xr:uid="{00000000-0005-0000-0000-0000185F0000}"/>
    <cellStyle name="Separador de milhares 7 3 3 3 14 2 2" xfId="30554" xr:uid="{B9EF4BE1-B741-4C23-A17C-DDF135227A4D}"/>
    <cellStyle name="Separador de milhares 7 3 3 3 14 3" xfId="30553" xr:uid="{B9877502-5E94-4E24-B0D2-CF7339BCD6FE}"/>
    <cellStyle name="Separador de milhares 7 3 3 3 15" xfId="21710" xr:uid="{00000000-0005-0000-0000-0000195F0000}"/>
    <cellStyle name="Separador de milhares 7 3 3 3 15 2" xfId="21711" xr:uid="{00000000-0005-0000-0000-00001A5F0000}"/>
    <cellStyle name="Separador de milhares 7 3 3 3 15 2 2" xfId="30556" xr:uid="{8595DA5A-3FDA-4797-AD73-A5EC06F70DE5}"/>
    <cellStyle name="Separador de milhares 7 3 3 3 15 3" xfId="30555" xr:uid="{E53DDBB9-A1E7-40AC-BCAD-975E76DF6BD4}"/>
    <cellStyle name="Separador de milhares 7 3 3 3 16" xfId="21712" xr:uid="{00000000-0005-0000-0000-00001B5F0000}"/>
    <cellStyle name="Separador de milhares 7 3 3 3 16 2" xfId="21713" xr:uid="{00000000-0005-0000-0000-00001C5F0000}"/>
    <cellStyle name="Separador de milhares 7 3 3 3 16 2 2" xfId="30558" xr:uid="{0989A897-64C8-4950-B2F5-42A505E2BEC1}"/>
    <cellStyle name="Separador de milhares 7 3 3 3 16 3" xfId="30557" xr:uid="{406D7919-E62F-40AA-89D9-B633AA6F9A6F}"/>
    <cellStyle name="Separador de milhares 7 3 3 3 17" xfId="21714" xr:uid="{00000000-0005-0000-0000-00001D5F0000}"/>
    <cellStyle name="Separador de milhares 7 3 3 3 17 2" xfId="21715" xr:uid="{00000000-0005-0000-0000-00001E5F0000}"/>
    <cellStyle name="Separador de milhares 7 3 3 3 17 2 2" xfId="30560" xr:uid="{779268E8-3621-43CC-8296-A2F14E7B0A21}"/>
    <cellStyle name="Separador de milhares 7 3 3 3 17 3" xfId="30559" xr:uid="{7FA5FE0D-B4D5-49B6-8A9C-5D5BE4789BF8}"/>
    <cellStyle name="Separador de milhares 7 3 3 3 18" xfId="21716" xr:uid="{00000000-0005-0000-0000-00001F5F0000}"/>
    <cellStyle name="Separador de milhares 7 3 3 3 18 2" xfId="21717" xr:uid="{00000000-0005-0000-0000-0000205F0000}"/>
    <cellStyle name="Separador de milhares 7 3 3 3 18 2 2" xfId="30562" xr:uid="{F43E0808-C140-4386-9F92-010387E0B8F1}"/>
    <cellStyle name="Separador de milhares 7 3 3 3 18 3" xfId="30561" xr:uid="{1D68E8DD-6579-4EB5-A010-B8792FE1DF54}"/>
    <cellStyle name="Separador de milhares 7 3 3 3 19" xfId="21718" xr:uid="{00000000-0005-0000-0000-0000215F0000}"/>
    <cellStyle name="Separador de milhares 7 3 3 3 19 2" xfId="21719" xr:uid="{00000000-0005-0000-0000-0000225F0000}"/>
    <cellStyle name="Separador de milhares 7 3 3 3 19 2 2" xfId="30564" xr:uid="{0E713177-EA86-438E-AFAF-3BEBB1A0C674}"/>
    <cellStyle name="Separador de milhares 7 3 3 3 19 3" xfId="30563" xr:uid="{3F118118-CE7D-42C3-879E-44659B0D5B47}"/>
    <cellStyle name="Separador de milhares 7 3 3 3 2" xfId="21720" xr:uid="{00000000-0005-0000-0000-0000235F0000}"/>
    <cellStyle name="Separador de milhares 7 3 3 3 2 2" xfId="21721" xr:uid="{00000000-0005-0000-0000-0000245F0000}"/>
    <cellStyle name="Separador de milhares 7 3 3 3 2 2 2" xfId="30566" xr:uid="{726849CD-A167-420F-8187-75F9768A24A2}"/>
    <cellStyle name="Separador de milhares 7 3 3 3 2 3" xfId="30565" xr:uid="{0D6FD74C-5B54-4F7C-8F06-434DD29A97B2}"/>
    <cellStyle name="Separador de milhares 7 3 3 3 20" xfId="21722" xr:uid="{00000000-0005-0000-0000-0000255F0000}"/>
    <cellStyle name="Separador de milhares 7 3 3 3 20 2" xfId="21723" xr:uid="{00000000-0005-0000-0000-0000265F0000}"/>
    <cellStyle name="Separador de milhares 7 3 3 3 20 2 2" xfId="30568" xr:uid="{4451A23E-AEC6-41AD-82D4-1B83AAEEF5F4}"/>
    <cellStyle name="Separador de milhares 7 3 3 3 20 3" xfId="30567" xr:uid="{3DDBCE9B-CA0F-4160-94E4-1228849DC2D5}"/>
    <cellStyle name="Separador de milhares 7 3 3 3 21" xfId="21724" xr:uid="{00000000-0005-0000-0000-0000275F0000}"/>
    <cellStyle name="Separador de milhares 7 3 3 3 21 2" xfId="21725" xr:uid="{00000000-0005-0000-0000-0000285F0000}"/>
    <cellStyle name="Separador de milhares 7 3 3 3 21 2 2" xfId="30570" xr:uid="{6F0B22C1-9CEA-4D39-8B28-4C5C4C1ECC34}"/>
    <cellStyle name="Separador de milhares 7 3 3 3 21 3" xfId="30569" xr:uid="{15BA4709-638A-4994-9BB2-54692D982E8C}"/>
    <cellStyle name="Separador de milhares 7 3 3 3 22" xfId="21726" xr:uid="{00000000-0005-0000-0000-0000295F0000}"/>
    <cellStyle name="Separador de milhares 7 3 3 3 22 2" xfId="21727" xr:uid="{00000000-0005-0000-0000-00002A5F0000}"/>
    <cellStyle name="Separador de milhares 7 3 3 3 22 2 2" xfId="30572" xr:uid="{DDC60B93-EDFC-4B2D-943D-C73EB38A6824}"/>
    <cellStyle name="Separador de milhares 7 3 3 3 22 3" xfId="30571" xr:uid="{4C88BB94-B7A1-4D0A-A88B-BC6E12C02DFD}"/>
    <cellStyle name="Separador de milhares 7 3 3 3 23" xfId="21728" xr:uid="{00000000-0005-0000-0000-00002B5F0000}"/>
    <cellStyle name="Separador de milhares 7 3 3 3 23 2" xfId="21729" xr:uid="{00000000-0005-0000-0000-00002C5F0000}"/>
    <cellStyle name="Separador de milhares 7 3 3 3 23 2 2" xfId="30574" xr:uid="{F478235E-927B-4D63-A510-B02A007E37D0}"/>
    <cellStyle name="Separador de milhares 7 3 3 3 23 3" xfId="30573" xr:uid="{6B659F25-6082-470C-B673-03450C4BF6E2}"/>
    <cellStyle name="Separador de milhares 7 3 3 3 24" xfId="21730" xr:uid="{00000000-0005-0000-0000-00002D5F0000}"/>
    <cellStyle name="Separador de milhares 7 3 3 3 24 2" xfId="21731" xr:uid="{00000000-0005-0000-0000-00002E5F0000}"/>
    <cellStyle name="Separador de milhares 7 3 3 3 24 2 2" xfId="30576" xr:uid="{D8FD9E74-AA63-4787-AB37-1C6A128375A9}"/>
    <cellStyle name="Separador de milhares 7 3 3 3 24 3" xfId="30575" xr:uid="{AF6047D9-F59F-4845-8BE4-6531DCA4C2E0}"/>
    <cellStyle name="Separador de milhares 7 3 3 3 25" xfId="21732" xr:uid="{00000000-0005-0000-0000-00002F5F0000}"/>
    <cellStyle name="Separador de milhares 7 3 3 3 25 2" xfId="21733" xr:uid="{00000000-0005-0000-0000-0000305F0000}"/>
    <cellStyle name="Separador de milhares 7 3 3 3 25 2 2" xfId="30578" xr:uid="{40FA1D00-F286-42C0-BD1F-BF85F9F03D56}"/>
    <cellStyle name="Separador de milhares 7 3 3 3 25 3" xfId="30577" xr:uid="{EF6F9EAC-3911-4C72-990C-EAB971E2FB75}"/>
    <cellStyle name="Separador de milhares 7 3 3 3 26" xfId="21734" xr:uid="{00000000-0005-0000-0000-0000315F0000}"/>
    <cellStyle name="Separador de milhares 7 3 3 3 26 2" xfId="21735" xr:uid="{00000000-0005-0000-0000-0000325F0000}"/>
    <cellStyle name="Separador de milhares 7 3 3 3 26 2 2" xfId="30580" xr:uid="{55A34251-9962-4513-BFB3-810497DBD391}"/>
    <cellStyle name="Separador de milhares 7 3 3 3 26 3" xfId="30579" xr:uid="{E867DA41-2D40-4DAF-9BF3-12F6759BEEA6}"/>
    <cellStyle name="Separador de milhares 7 3 3 3 27" xfId="21736" xr:uid="{00000000-0005-0000-0000-0000335F0000}"/>
    <cellStyle name="Separador de milhares 7 3 3 3 27 2" xfId="21737" xr:uid="{00000000-0005-0000-0000-0000345F0000}"/>
    <cellStyle name="Separador de milhares 7 3 3 3 27 2 2" xfId="30582" xr:uid="{DCA4B5C9-09E6-4906-AB92-FA0D9A2C48FC}"/>
    <cellStyle name="Separador de milhares 7 3 3 3 27 3" xfId="30581" xr:uid="{CDDF79CF-3E7D-4E05-9854-1D01E3EC8418}"/>
    <cellStyle name="Separador de milhares 7 3 3 3 28" xfId="21738" xr:uid="{00000000-0005-0000-0000-0000355F0000}"/>
    <cellStyle name="Separador de milhares 7 3 3 3 28 2" xfId="21739" xr:uid="{00000000-0005-0000-0000-0000365F0000}"/>
    <cellStyle name="Separador de milhares 7 3 3 3 28 2 2" xfId="30584" xr:uid="{156AE31D-5601-4D76-843F-F8F415C3CA6D}"/>
    <cellStyle name="Separador de milhares 7 3 3 3 28 3" xfId="30583" xr:uid="{B1F35FA7-DD03-496F-915C-C7995AC8DD23}"/>
    <cellStyle name="Separador de milhares 7 3 3 3 29" xfId="21740" xr:uid="{00000000-0005-0000-0000-0000375F0000}"/>
    <cellStyle name="Separador de milhares 7 3 3 3 29 2" xfId="21741" xr:uid="{00000000-0005-0000-0000-0000385F0000}"/>
    <cellStyle name="Separador de milhares 7 3 3 3 29 2 2" xfId="30586" xr:uid="{CC9D64C7-E348-4F87-BFDF-24156EA78C5C}"/>
    <cellStyle name="Separador de milhares 7 3 3 3 29 3" xfId="30585" xr:uid="{8D666A81-6C2F-4AF4-81E6-3A4B64C9FCCD}"/>
    <cellStyle name="Separador de milhares 7 3 3 3 3" xfId="21742" xr:uid="{00000000-0005-0000-0000-0000395F0000}"/>
    <cellStyle name="Separador de milhares 7 3 3 3 3 2" xfId="21743" xr:uid="{00000000-0005-0000-0000-00003A5F0000}"/>
    <cellStyle name="Separador de milhares 7 3 3 3 3 2 2" xfId="30588" xr:uid="{B65452D4-D180-4554-9B3E-62D7B7F61FE9}"/>
    <cellStyle name="Separador de milhares 7 3 3 3 3 3" xfId="30587" xr:uid="{09B81389-4DD8-4E0E-A831-97802EDAD07F}"/>
    <cellStyle name="Separador de milhares 7 3 3 3 30" xfId="21744" xr:uid="{00000000-0005-0000-0000-00003B5F0000}"/>
    <cellStyle name="Separador de milhares 7 3 3 3 30 2" xfId="21745" xr:uid="{00000000-0005-0000-0000-00003C5F0000}"/>
    <cellStyle name="Separador de milhares 7 3 3 3 30 2 2" xfId="30590" xr:uid="{1EAF3C52-1238-4B4E-AB9C-1ED8763914E4}"/>
    <cellStyle name="Separador de milhares 7 3 3 3 30 3" xfId="30589" xr:uid="{74BA828A-48EA-435C-973C-B45550ECD703}"/>
    <cellStyle name="Separador de milhares 7 3 3 3 31" xfId="21746" xr:uid="{00000000-0005-0000-0000-00003D5F0000}"/>
    <cellStyle name="Separador de milhares 7 3 3 3 31 2" xfId="21747" xr:uid="{00000000-0005-0000-0000-00003E5F0000}"/>
    <cellStyle name="Separador de milhares 7 3 3 3 31 2 2" xfId="30592" xr:uid="{9F1967E9-D370-458E-9F17-966B77EB36DE}"/>
    <cellStyle name="Separador de milhares 7 3 3 3 31 3" xfId="30591" xr:uid="{6A3DB9BB-EE24-47DF-9DD5-9FA77DF1C1F2}"/>
    <cellStyle name="Separador de milhares 7 3 3 3 32" xfId="21748" xr:uid="{00000000-0005-0000-0000-00003F5F0000}"/>
    <cellStyle name="Separador de milhares 7 3 3 3 32 2" xfId="21749" xr:uid="{00000000-0005-0000-0000-0000405F0000}"/>
    <cellStyle name="Separador de milhares 7 3 3 3 32 2 2" xfId="30594" xr:uid="{38810BDF-DC1D-42B5-95BF-B3799FC433AF}"/>
    <cellStyle name="Separador de milhares 7 3 3 3 32 3" xfId="30593" xr:uid="{563413AE-E3DA-44DE-B9B4-7A4CE9E3F0E0}"/>
    <cellStyle name="Separador de milhares 7 3 3 3 33" xfId="21750" xr:uid="{00000000-0005-0000-0000-0000415F0000}"/>
    <cellStyle name="Separador de milhares 7 3 3 3 33 2" xfId="21751" xr:uid="{00000000-0005-0000-0000-0000425F0000}"/>
    <cellStyle name="Separador de milhares 7 3 3 3 33 2 2" xfId="30596" xr:uid="{6A32A0D6-1A18-47B6-B399-8ACE075BC60E}"/>
    <cellStyle name="Separador de milhares 7 3 3 3 33 3" xfId="30595" xr:uid="{DAC283EC-0A55-434F-9229-A164BD977EFF}"/>
    <cellStyle name="Separador de milhares 7 3 3 3 34" xfId="21752" xr:uid="{00000000-0005-0000-0000-0000435F0000}"/>
    <cellStyle name="Separador de milhares 7 3 3 3 34 2" xfId="21753" xr:uid="{00000000-0005-0000-0000-0000445F0000}"/>
    <cellStyle name="Separador de milhares 7 3 3 3 34 2 2" xfId="30598" xr:uid="{99A7FA61-5F94-4A78-9644-AF6A441C7CCE}"/>
    <cellStyle name="Separador de milhares 7 3 3 3 34 3" xfId="30597" xr:uid="{D59FDA4D-F2E6-4995-9CB5-077BEC6EB5AE}"/>
    <cellStyle name="Separador de milhares 7 3 3 3 35" xfId="21754" xr:uid="{00000000-0005-0000-0000-0000455F0000}"/>
    <cellStyle name="Separador de milhares 7 3 3 3 35 2" xfId="30599" xr:uid="{A0B55F33-89BF-4EAB-AA4E-FDB82197D7B2}"/>
    <cellStyle name="Separador de milhares 7 3 3 3 36" xfId="30544" xr:uid="{D2866973-795E-4D7E-AC89-925DF0ECE89F}"/>
    <cellStyle name="Separador de milhares 7 3 3 3 4" xfId="21755" xr:uid="{00000000-0005-0000-0000-0000465F0000}"/>
    <cellStyle name="Separador de milhares 7 3 3 3 4 2" xfId="21756" xr:uid="{00000000-0005-0000-0000-0000475F0000}"/>
    <cellStyle name="Separador de milhares 7 3 3 3 4 2 2" xfId="30601" xr:uid="{AE52ECC4-7676-43D1-8087-76B6B933BA74}"/>
    <cellStyle name="Separador de milhares 7 3 3 3 4 3" xfId="30600" xr:uid="{87FF87F0-0794-4EC2-A1C7-C65B7A7859DE}"/>
    <cellStyle name="Separador de milhares 7 3 3 3 5" xfId="21757" xr:uid="{00000000-0005-0000-0000-0000485F0000}"/>
    <cellStyle name="Separador de milhares 7 3 3 3 5 2" xfId="21758" xr:uid="{00000000-0005-0000-0000-0000495F0000}"/>
    <cellStyle name="Separador de milhares 7 3 3 3 5 2 2" xfId="30603" xr:uid="{C54BEAB3-3BA4-4480-BF60-4B1301AE3E6B}"/>
    <cellStyle name="Separador de milhares 7 3 3 3 5 3" xfId="30602" xr:uid="{D756C5AD-5C14-43CF-8651-D931D5168487}"/>
    <cellStyle name="Separador de milhares 7 3 3 3 6" xfId="21759" xr:uid="{00000000-0005-0000-0000-00004A5F0000}"/>
    <cellStyle name="Separador de milhares 7 3 3 3 6 2" xfId="21760" xr:uid="{00000000-0005-0000-0000-00004B5F0000}"/>
    <cellStyle name="Separador de milhares 7 3 3 3 6 2 2" xfId="30605" xr:uid="{16853127-68B6-4DBF-ACE8-843D22450E89}"/>
    <cellStyle name="Separador de milhares 7 3 3 3 6 3" xfId="30604" xr:uid="{57C75472-C872-4BAF-A9EE-543392FD0108}"/>
    <cellStyle name="Separador de milhares 7 3 3 3 7" xfId="21761" xr:uid="{00000000-0005-0000-0000-00004C5F0000}"/>
    <cellStyle name="Separador de milhares 7 3 3 3 7 2" xfId="21762" xr:uid="{00000000-0005-0000-0000-00004D5F0000}"/>
    <cellStyle name="Separador de milhares 7 3 3 3 7 2 2" xfId="30607" xr:uid="{473D3E9B-9492-4E2C-871C-DBFB1E9944E2}"/>
    <cellStyle name="Separador de milhares 7 3 3 3 7 3" xfId="30606" xr:uid="{EEE582BB-84F7-48A0-A10A-F5F79212B8C9}"/>
    <cellStyle name="Separador de milhares 7 3 3 3 8" xfId="21763" xr:uid="{00000000-0005-0000-0000-00004E5F0000}"/>
    <cellStyle name="Separador de milhares 7 3 3 3 8 2" xfId="21764" xr:uid="{00000000-0005-0000-0000-00004F5F0000}"/>
    <cellStyle name="Separador de milhares 7 3 3 3 8 2 2" xfId="30609" xr:uid="{2BE64F72-ACB0-4A9A-B70F-33E47AA2DECF}"/>
    <cellStyle name="Separador de milhares 7 3 3 3 8 3" xfId="30608" xr:uid="{753A1F89-4E2D-4582-9CB9-FD19CD6B70C8}"/>
    <cellStyle name="Separador de milhares 7 3 3 3 9" xfId="21765" xr:uid="{00000000-0005-0000-0000-0000505F0000}"/>
    <cellStyle name="Separador de milhares 7 3 3 3 9 2" xfId="21766" xr:uid="{00000000-0005-0000-0000-0000515F0000}"/>
    <cellStyle name="Separador de milhares 7 3 3 3 9 2 2" xfId="30611" xr:uid="{76F28BEA-7D41-42ED-A7B6-B5ECBFDCDF77}"/>
    <cellStyle name="Separador de milhares 7 3 3 3 9 3" xfId="30610" xr:uid="{44A960E4-0727-46BB-9126-9D23F7207FF8}"/>
    <cellStyle name="Separador de milhares 7 3 3 30" xfId="21767" xr:uid="{00000000-0005-0000-0000-0000525F0000}"/>
    <cellStyle name="Separador de milhares 7 3 3 30 2" xfId="21768" xr:uid="{00000000-0005-0000-0000-0000535F0000}"/>
    <cellStyle name="Separador de milhares 7 3 3 30 2 2" xfId="30613" xr:uid="{83E6D1E7-32D8-4A7D-8A80-E1F9595C3C56}"/>
    <cellStyle name="Separador de milhares 7 3 3 30 3" xfId="30612" xr:uid="{5D603780-574F-4181-B6B9-355265894F55}"/>
    <cellStyle name="Separador de milhares 7 3 3 31" xfId="21769" xr:uid="{00000000-0005-0000-0000-0000545F0000}"/>
    <cellStyle name="Separador de milhares 7 3 3 31 2" xfId="21770" xr:uid="{00000000-0005-0000-0000-0000555F0000}"/>
    <cellStyle name="Separador de milhares 7 3 3 31 2 2" xfId="30615" xr:uid="{6A5A31E0-D09D-4B99-A30C-C51B40CFA2D5}"/>
    <cellStyle name="Separador de milhares 7 3 3 31 3" xfId="30614" xr:uid="{77AE476F-5D5A-4600-A1BD-2536901C2924}"/>
    <cellStyle name="Separador de milhares 7 3 3 32" xfId="21771" xr:uid="{00000000-0005-0000-0000-0000565F0000}"/>
    <cellStyle name="Separador de milhares 7 3 3 32 2" xfId="21772" xr:uid="{00000000-0005-0000-0000-0000575F0000}"/>
    <cellStyle name="Separador de milhares 7 3 3 32 2 2" xfId="30617" xr:uid="{6B7EB6E9-C902-490A-B579-A01C049FA8FD}"/>
    <cellStyle name="Separador de milhares 7 3 3 32 3" xfId="30616" xr:uid="{8BCC8F0E-8706-4FA5-9E38-7FC0EC882A48}"/>
    <cellStyle name="Separador de milhares 7 3 3 33" xfId="21773" xr:uid="{00000000-0005-0000-0000-0000585F0000}"/>
    <cellStyle name="Separador de milhares 7 3 3 33 2" xfId="21774" xr:uid="{00000000-0005-0000-0000-0000595F0000}"/>
    <cellStyle name="Separador de milhares 7 3 3 33 2 2" xfId="30619" xr:uid="{26AD4C79-71B2-4270-A857-93AA74EFCB2E}"/>
    <cellStyle name="Separador de milhares 7 3 3 33 3" xfId="30618" xr:uid="{3D495A5C-8664-4412-A99D-4AA43DBE87A8}"/>
    <cellStyle name="Separador de milhares 7 3 3 34" xfId="21775" xr:uid="{00000000-0005-0000-0000-00005A5F0000}"/>
    <cellStyle name="Separador de milhares 7 3 3 34 2" xfId="21776" xr:uid="{00000000-0005-0000-0000-00005B5F0000}"/>
    <cellStyle name="Separador de milhares 7 3 3 34 2 2" xfId="30621" xr:uid="{76D96104-44E8-4808-9983-AC5222EA9D02}"/>
    <cellStyle name="Separador de milhares 7 3 3 34 3" xfId="30620" xr:uid="{080FBCFE-FB29-47BA-B35A-28790A815897}"/>
    <cellStyle name="Separador de milhares 7 3 3 35" xfId="21777" xr:uid="{00000000-0005-0000-0000-00005C5F0000}"/>
    <cellStyle name="Separador de milhares 7 3 3 35 2" xfId="21778" xr:uid="{00000000-0005-0000-0000-00005D5F0000}"/>
    <cellStyle name="Separador de milhares 7 3 3 35 2 2" xfId="30623" xr:uid="{8F5DB9B8-7DAD-4B69-9613-ACF8C6BBCE1A}"/>
    <cellStyle name="Separador de milhares 7 3 3 35 3" xfId="30622" xr:uid="{1A4D0F70-774F-422C-95BF-0A79934C1FDE}"/>
    <cellStyle name="Separador de milhares 7 3 3 36" xfId="21779" xr:uid="{00000000-0005-0000-0000-00005E5F0000}"/>
    <cellStyle name="Separador de milhares 7 3 3 36 2" xfId="21780" xr:uid="{00000000-0005-0000-0000-00005F5F0000}"/>
    <cellStyle name="Separador de milhares 7 3 3 36 2 2" xfId="30625" xr:uid="{EC144128-F14E-4168-A080-A8FF5876F86C}"/>
    <cellStyle name="Separador de milhares 7 3 3 36 3" xfId="30624" xr:uid="{7450D1C4-BE76-4CDE-8F54-A299FDD1949D}"/>
    <cellStyle name="Separador de milhares 7 3 3 37" xfId="21781" xr:uid="{00000000-0005-0000-0000-0000605F0000}"/>
    <cellStyle name="Separador de milhares 7 3 3 37 2" xfId="21782" xr:uid="{00000000-0005-0000-0000-0000615F0000}"/>
    <cellStyle name="Separador de milhares 7 3 3 37 2 2" xfId="30627" xr:uid="{5FC65570-B42F-4D37-BCC5-D1425544AA2F}"/>
    <cellStyle name="Separador de milhares 7 3 3 37 3" xfId="30626" xr:uid="{60BEF805-B0A1-45B4-A6E3-D530EEC36B9D}"/>
    <cellStyle name="Separador de milhares 7 3 3 38" xfId="21783" xr:uid="{00000000-0005-0000-0000-0000625F0000}"/>
    <cellStyle name="Separador de milhares 7 3 3 38 2" xfId="21784" xr:uid="{00000000-0005-0000-0000-0000635F0000}"/>
    <cellStyle name="Separador de milhares 7 3 3 38 2 2" xfId="30629" xr:uid="{00536E4C-AD3B-43F0-965C-BE2E946A1425}"/>
    <cellStyle name="Separador de milhares 7 3 3 38 3" xfId="30628" xr:uid="{24339A2A-8922-4374-8BC7-CA54C4A42CB0}"/>
    <cellStyle name="Separador de milhares 7 3 3 39" xfId="21785" xr:uid="{00000000-0005-0000-0000-0000645F0000}"/>
    <cellStyle name="Separador de milhares 7 3 3 39 2" xfId="21786" xr:uid="{00000000-0005-0000-0000-0000655F0000}"/>
    <cellStyle name="Separador de milhares 7 3 3 39 2 2" xfId="30631" xr:uid="{BCF2FFEF-2F68-4948-97DA-3F3C87468658}"/>
    <cellStyle name="Separador de milhares 7 3 3 39 3" xfId="30630" xr:uid="{E4F28DA5-6A25-4D4B-86D8-95671B46453C}"/>
    <cellStyle name="Separador de milhares 7 3 3 4" xfId="21787" xr:uid="{00000000-0005-0000-0000-0000665F0000}"/>
    <cellStyle name="Separador de milhares 7 3 3 4 2" xfId="21788" xr:uid="{00000000-0005-0000-0000-0000675F0000}"/>
    <cellStyle name="Separador de milhares 7 3 3 4 2 2" xfId="21789" xr:uid="{00000000-0005-0000-0000-0000685F0000}"/>
    <cellStyle name="Separador de milhares 7 3 3 4 2 2 2" xfId="30634" xr:uid="{9CCDF8D9-92BD-45EC-8456-E365F1E4D9B0}"/>
    <cellStyle name="Separador de milhares 7 3 3 4 2 3" xfId="30633" xr:uid="{ACD5C647-1D10-4ACB-B924-995C17B8EBAF}"/>
    <cellStyle name="Separador de milhares 7 3 3 4 3" xfId="21790" xr:uid="{00000000-0005-0000-0000-0000695F0000}"/>
    <cellStyle name="Separador de milhares 7 3 3 4 3 2" xfId="21791" xr:uid="{00000000-0005-0000-0000-00006A5F0000}"/>
    <cellStyle name="Separador de milhares 7 3 3 4 3 2 2" xfId="30636" xr:uid="{69CF39A9-6241-42B2-BFEE-1800254FDEDD}"/>
    <cellStyle name="Separador de milhares 7 3 3 4 3 3" xfId="30635" xr:uid="{C129CC2C-BDAF-4A86-99FB-12B9BDC952FA}"/>
    <cellStyle name="Separador de milhares 7 3 3 4 4" xfId="21792" xr:uid="{00000000-0005-0000-0000-00006B5F0000}"/>
    <cellStyle name="Separador de milhares 7 3 3 4 4 2" xfId="21793" xr:uid="{00000000-0005-0000-0000-00006C5F0000}"/>
    <cellStyle name="Separador de milhares 7 3 3 4 4 2 2" xfId="30638" xr:uid="{A5CA1A4C-697F-4553-9FAA-098313C18091}"/>
    <cellStyle name="Separador de milhares 7 3 3 4 4 3" xfId="30637" xr:uid="{DE233588-1482-4EBF-8034-8BCC716EAF8C}"/>
    <cellStyle name="Separador de milhares 7 3 3 4 5" xfId="21794" xr:uid="{00000000-0005-0000-0000-00006D5F0000}"/>
    <cellStyle name="Separador de milhares 7 3 3 4 5 2" xfId="21795" xr:uid="{00000000-0005-0000-0000-00006E5F0000}"/>
    <cellStyle name="Separador de milhares 7 3 3 4 5 2 2" xfId="30640" xr:uid="{9C900355-4C0E-46B0-825B-23377607C88B}"/>
    <cellStyle name="Separador de milhares 7 3 3 4 5 3" xfId="30639" xr:uid="{949E74F8-F33F-4098-B34C-B8FFE0FCA2E4}"/>
    <cellStyle name="Separador de milhares 7 3 3 4 6" xfId="21796" xr:uid="{00000000-0005-0000-0000-00006F5F0000}"/>
    <cellStyle name="Separador de milhares 7 3 3 4 6 2" xfId="30641" xr:uid="{C308DE26-24F3-4A48-A6FB-AEF839496AD9}"/>
    <cellStyle name="Separador de milhares 7 3 3 4 7" xfId="30632" xr:uid="{15104256-8316-43D1-9CC6-36F5E8664304}"/>
    <cellStyle name="Separador de milhares 7 3 3 40" xfId="21797" xr:uid="{00000000-0005-0000-0000-0000705F0000}"/>
    <cellStyle name="Separador de milhares 7 3 3 40 2" xfId="21798" xr:uid="{00000000-0005-0000-0000-0000715F0000}"/>
    <cellStyle name="Separador de milhares 7 3 3 40 2 2" xfId="30643" xr:uid="{BC9F4472-7012-4EF9-A5C8-F1100065F2C4}"/>
    <cellStyle name="Separador de milhares 7 3 3 40 3" xfId="30642" xr:uid="{CB24A122-16B1-42D9-9ECE-736CC0341EB8}"/>
    <cellStyle name="Separador de milhares 7 3 3 41" xfId="21799" xr:uid="{00000000-0005-0000-0000-0000725F0000}"/>
    <cellStyle name="Separador de milhares 7 3 3 41 2" xfId="21800" xr:uid="{00000000-0005-0000-0000-0000735F0000}"/>
    <cellStyle name="Separador de milhares 7 3 3 41 2 2" xfId="30645" xr:uid="{E7188E8B-F2F9-4B5B-81E2-C0A7C29DEF35}"/>
    <cellStyle name="Separador de milhares 7 3 3 41 3" xfId="30644" xr:uid="{2F2B311B-2557-4E98-B553-5CAB08147F26}"/>
    <cellStyle name="Separador de milhares 7 3 3 42" xfId="21801" xr:uid="{00000000-0005-0000-0000-0000745F0000}"/>
    <cellStyle name="Separador de milhares 7 3 3 42 2" xfId="21802" xr:uid="{00000000-0005-0000-0000-0000755F0000}"/>
    <cellStyle name="Separador de milhares 7 3 3 42 2 2" xfId="30647" xr:uid="{2CA8E1D4-0439-4A9A-9DC9-E0D5BA5F5C06}"/>
    <cellStyle name="Separador de milhares 7 3 3 42 3" xfId="30646" xr:uid="{E2E08B9B-29A9-4097-B2EE-83B168A03FFE}"/>
    <cellStyle name="Separador de milhares 7 3 3 43" xfId="21803" xr:uid="{00000000-0005-0000-0000-0000765F0000}"/>
    <cellStyle name="Separador de milhares 7 3 3 43 2" xfId="21804" xr:uid="{00000000-0005-0000-0000-0000775F0000}"/>
    <cellStyle name="Separador de milhares 7 3 3 43 2 2" xfId="30649" xr:uid="{37F2E6DF-D01B-4EC5-A42E-360B1C65D942}"/>
    <cellStyle name="Separador de milhares 7 3 3 43 3" xfId="30648" xr:uid="{326ABDEE-7D03-461F-8659-2988A15DFDFE}"/>
    <cellStyle name="Separador de milhares 7 3 3 44" xfId="21805" xr:uid="{00000000-0005-0000-0000-0000785F0000}"/>
    <cellStyle name="Separador de milhares 7 3 3 44 2" xfId="21806" xr:uid="{00000000-0005-0000-0000-0000795F0000}"/>
    <cellStyle name="Separador de milhares 7 3 3 44 2 2" xfId="30651" xr:uid="{5F5BDC34-7409-468B-979F-567D6D2D36A2}"/>
    <cellStyle name="Separador de milhares 7 3 3 44 3" xfId="30650" xr:uid="{2E6009D7-2235-495B-9A4B-447A0D91F877}"/>
    <cellStyle name="Separador de milhares 7 3 3 45" xfId="21807" xr:uid="{00000000-0005-0000-0000-00007A5F0000}"/>
    <cellStyle name="Separador de milhares 7 3 3 45 2" xfId="21808" xr:uid="{00000000-0005-0000-0000-00007B5F0000}"/>
    <cellStyle name="Separador de milhares 7 3 3 45 2 2" xfId="30653" xr:uid="{0827B291-A137-496B-B770-67CF722B2D84}"/>
    <cellStyle name="Separador de milhares 7 3 3 45 3" xfId="30652" xr:uid="{C50E6F4C-35E2-4E5C-A9CF-FA0A721849B2}"/>
    <cellStyle name="Separador de milhares 7 3 3 46" xfId="21809" xr:uid="{00000000-0005-0000-0000-00007C5F0000}"/>
    <cellStyle name="Separador de milhares 7 3 3 46 2" xfId="21810" xr:uid="{00000000-0005-0000-0000-00007D5F0000}"/>
    <cellStyle name="Separador de milhares 7 3 3 46 2 2" xfId="30655" xr:uid="{6CAE6A2E-E014-4A0B-AF50-49D0BAB2A779}"/>
    <cellStyle name="Separador de milhares 7 3 3 46 3" xfId="30654" xr:uid="{74968941-6BD7-483C-B0D5-592E131F5609}"/>
    <cellStyle name="Separador de milhares 7 3 3 47" xfId="21811" xr:uid="{00000000-0005-0000-0000-00007E5F0000}"/>
    <cellStyle name="Separador de milhares 7 3 3 47 2" xfId="30656" xr:uid="{BB011BC3-E21E-4580-B17E-C3FA1EB067A7}"/>
    <cellStyle name="Separador de milhares 7 3 3 48" xfId="21590" xr:uid="{00000000-0005-0000-0000-00007F5F0000}"/>
    <cellStyle name="Separador de milhares 7 3 3 49" xfId="28078" xr:uid="{7248A540-03A8-47D9-99EC-4F128F4EEDD6}"/>
    <cellStyle name="Separador de milhares 7 3 3 5" xfId="21812" xr:uid="{00000000-0005-0000-0000-0000805F0000}"/>
    <cellStyle name="Separador de milhares 7 3 3 5 2" xfId="21813" xr:uid="{00000000-0005-0000-0000-0000815F0000}"/>
    <cellStyle name="Separador de milhares 7 3 3 5 2 2" xfId="30658" xr:uid="{D8C99A88-C345-422C-98D8-E9F4002A11C1}"/>
    <cellStyle name="Separador de milhares 7 3 3 5 3" xfId="30657" xr:uid="{E24A3D91-779A-4A5E-B03B-39BBF5F97C50}"/>
    <cellStyle name="Separador de milhares 7 3 3 6" xfId="21814" xr:uid="{00000000-0005-0000-0000-0000825F0000}"/>
    <cellStyle name="Separador de milhares 7 3 3 6 2" xfId="21815" xr:uid="{00000000-0005-0000-0000-0000835F0000}"/>
    <cellStyle name="Separador de milhares 7 3 3 6 2 2" xfId="30660" xr:uid="{E6C47857-6AE3-4C5E-8A1C-1510B2941D0D}"/>
    <cellStyle name="Separador de milhares 7 3 3 6 3" xfId="30659" xr:uid="{90DDAD77-340D-44AC-B404-3075028102E5}"/>
    <cellStyle name="Separador de milhares 7 3 3 7" xfId="21816" xr:uid="{00000000-0005-0000-0000-0000845F0000}"/>
    <cellStyle name="Separador de milhares 7 3 3 7 2" xfId="21817" xr:uid="{00000000-0005-0000-0000-0000855F0000}"/>
    <cellStyle name="Separador de milhares 7 3 3 7 2 2" xfId="30662" xr:uid="{84B8C947-3853-42A4-807A-5B2BB71E8C46}"/>
    <cellStyle name="Separador de milhares 7 3 3 7 3" xfId="30661" xr:uid="{2AD5C66B-D4E1-49A1-A228-C2FCCE3998D8}"/>
    <cellStyle name="Separador de milhares 7 3 3 8" xfId="21818" xr:uid="{00000000-0005-0000-0000-0000865F0000}"/>
    <cellStyle name="Separador de milhares 7 3 3 8 2" xfId="21819" xr:uid="{00000000-0005-0000-0000-0000875F0000}"/>
    <cellStyle name="Separador de milhares 7 3 3 8 2 2" xfId="30664" xr:uid="{1C168084-C060-4CD2-81D4-40B81C7E1FD0}"/>
    <cellStyle name="Separador de milhares 7 3 3 8 3" xfId="30663" xr:uid="{B03D10ED-4122-440B-9E22-8D9798E4DFE5}"/>
    <cellStyle name="Separador de milhares 7 3 3 9" xfId="21820" xr:uid="{00000000-0005-0000-0000-0000885F0000}"/>
    <cellStyle name="Separador de milhares 7 3 3 9 2" xfId="21821" xr:uid="{00000000-0005-0000-0000-0000895F0000}"/>
    <cellStyle name="Separador de milhares 7 3 3 9 2 2" xfId="30666" xr:uid="{6DFD7B6D-CA7B-41FA-B1D8-634CD69C2DFC}"/>
    <cellStyle name="Separador de milhares 7 3 3 9 3" xfId="30665" xr:uid="{FF210CF0-2642-4D69-89D1-16CDF3B1ABAD}"/>
    <cellStyle name="Separador de milhares 7 3 30" xfId="21822" xr:uid="{00000000-0005-0000-0000-00008A5F0000}"/>
    <cellStyle name="Separador de milhares 7 3 30 2" xfId="21823" xr:uid="{00000000-0005-0000-0000-00008B5F0000}"/>
    <cellStyle name="Separador de milhares 7 3 30 2 2" xfId="30668" xr:uid="{99C7B2CC-EC0C-4411-9FC6-CA59AB1ED988}"/>
    <cellStyle name="Separador de milhares 7 3 30 3" xfId="30667" xr:uid="{380ECF50-5355-44F3-B66C-353E85341A84}"/>
    <cellStyle name="Separador de milhares 7 3 31" xfId="21824" xr:uid="{00000000-0005-0000-0000-00008C5F0000}"/>
    <cellStyle name="Separador de milhares 7 3 31 2" xfId="21825" xr:uid="{00000000-0005-0000-0000-00008D5F0000}"/>
    <cellStyle name="Separador de milhares 7 3 31 2 2" xfId="30670" xr:uid="{BE6949E6-3E16-43D0-B37E-4541F4A5AB28}"/>
    <cellStyle name="Separador de milhares 7 3 31 3" xfId="30669" xr:uid="{73689C14-14F4-4704-B659-7256F2F9F01E}"/>
    <cellStyle name="Separador de milhares 7 3 32" xfId="21826" xr:uid="{00000000-0005-0000-0000-00008E5F0000}"/>
    <cellStyle name="Separador de milhares 7 3 32 2" xfId="21827" xr:uid="{00000000-0005-0000-0000-00008F5F0000}"/>
    <cellStyle name="Separador de milhares 7 3 32 2 2" xfId="30672" xr:uid="{B5D13D6A-1D1E-4858-B92D-A8F0A00358DB}"/>
    <cellStyle name="Separador de milhares 7 3 32 3" xfId="30671" xr:uid="{8F36F259-C7BA-40C3-8C09-324100F679BC}"/>
    <cellStyle name="Separador de milhares 7 3 33" xfId="21828" xr:uid="{00000000-0005-0000-0000-0000905F0000}"/>
    <cellStyle name="Separador de milhares 7 3 33 2" xfId="21829" xr:uid="{00000000-0005-0000-0000-0000915F0000}"/>
    <cellStyle name="Separador de milhares 7 3 33 2 2" xfId="30674" xr:uid="{78DD6F73-6CDB-45B3-8F22-A59AFB0C8422}"/>
    <cellStyle name="Separador de milhares 7 3 33 3" xfId="30673" xr:uid="{B993A1A7-8F45-45BD-95E6-66EBF93088CE}"/>
    <cellStyle name="Separador de milhares 7 3 34" xfId="21830" xr:uid="{00000000-0005-0000-0000-0000925F0000}"/>
    <cellStyle name="Separador de milhares 7 3 34 2" xfId="21831" xr:uid="{00000000-0005-0000-0000-0000935F0000}"/>
    <cellStyle name="Separador de milhares 7 3 34 2 2" xfId="30676" xr:uid="{D72875BB-118E-416A-A902-3B4AEEA2D532}"/>
    <cellStyle name="Separador de milhares 7 3 34 3" xfId="30675" xr:uid="{E52ECC4D-A018-459A-83A5-BB784D3766F3}"/>
    <cellStyle name="Separador de milhares 7 3 35" xfId="21832" xr:uid="{00000000-0005-0000-0000-0000945F0000}"/>
    <cellStyle name="Separador de milhares 7 3 35 2" xfId="21833" xr:uid="{00000000-0005-0000-0000-0000955F0000}"/>
    <cellStyle name="Separador de milhares 7 3 35 2 2" xfId="30678" xr:uid="{EF16FAE6-0FD7-4349-96F6-BB4690391080}"/>
    <cellStyle name="Separador de milhares 7 3 35 3" xfId="30677" xr:uid="{3F2E795E-913E-4A9D-82A5-83037B847BB2}"/>
    <cellStyle name="Separador de milhares 7 3 36" xfId="21834" xr:uid="{00000000-0005-0000-0000-0000965F0000}"/>
    <cellStyle name="Separador de milhares 7 3 36 2" xfId="21835" xr:uid="{00000000-0005-0000-0000-0000975F0000}"/>
    <cellStyle name="Separador de milhares 7 3 36 2 2" xfId="30680" xr:uid="{C4E46011-6723-4F13-8618-20D8D878AF90}"/>
    <cellStyle name="Separador de milhares 7 3 36 3" xfId="30679" xr:uid="{4F4988A0-8119-463E-9759-5016542E0F43}"/>
    <cellStyle name="Separador de milhares 7 3 37" xfId="21836" xr:uid="{00000000-0005-0000-0000-0000985F0000}"/>
    <cellStyle name="Separador de milhares 7 3 37 2" xfId="21837" xr:uid="{00000000-0005-0000-0000-0000995F0000}"/>
    <cellStyle name="Separador de milhares 7 3 37 2 2" xfId="30682" xr:uid="{58BD862B-5EDE-4955-84E0-B8BB25F1ECED}"/>
    <cellStyle name="Separador de milhares 7 3 37 3" xfId="30681" xr:uid="{7BBCA6EC-135B-4AB8-AE8E-165318F6C00E}"/>
    <cellStyle name="Separador de milhares 7 3 38" xfId="21838" xr:uid="{00000000-0005-0000-0000-00009A5F0000}"/>
    <cellStyle name="Separador de milhares 7 3 38 2" xfId="21839" xr:uid="{00000000-0005-0000-0000-00009B5F0000}"/>
    <cellStyle name="Separador de milhares 7 3 38 2 2" xfId="30684" xr:uid="{516B283D-90AD-4050-B55C-B35132B8EB32}"/>
    <cellStyle name="Separador de milhares 7 3 38 3" xfId="30683" xr:uid="{C3DB4C8A-5D55-4765-8880-465AEC806819}"/>
    <cellStyle name="Separador de milhares 7 3 39" xfId="21840" xr:uid="{00000000-0005-0000-0000-00009C5F0000}"/>
    <cellStyle name="Separador de milhares 7 3 39 2" xfId="21841" xr:uid="{00000000-0005-0000-0000-00009D5F0000}"/>
    <cellStyle name="Separador de milhares 7 3 39 2 2" xfId="30686" xr:uid="{E68C20A7-5CBD-4FF1-A31D-FB170A944F2C}"/>
    <cellStyle name="Separador de milhares 7 3 39 3" xfId="30685" xr:uid="{E0F071B5-33A3-49AD-8A06-E8395A0C3572}"/>
    <cellStyle name="Separador de milhares 7 3 4" xfId="848" xr:uid="{00000000-0005-0000-0000-00009E5F0000}"/>
    <cellStyle name="Separador de milhares 7 3 4 10" xfId="21843" xr:uid="{00000000-0005-0000-0000-00009F5F0000}"/>
    <cellStyle name="Separador de milhares 7 3 4 10 2" xfId="21844" xr:uid="{00000000-0005-0000-0000-0000A05F0000}"/>
    <cellStyle name="Separador de milhares 7 3 4 10 2 2" xfId="30688" xr:uid="{6183B3D0-788D-486D-81F7-05C0EF7B1DBA}"/>
    <cellStyle name="Separador de milhares 7 3 4 10 3" xfId="30687" xr:uid="{E99EA526-FB0A-41CA-9D23-B99163F1F9BF}"/>
    <cellStyle name="Separador de milhares 7 3 4 11" xfId="21845" xr:uid="{00000000-0005-0000-0000-0000A15F0000}"/>
    <cellStyle name="Separador de milhares 7 3 4 11 2" xfId="21846" xr:uid="{00000000-0005-0000-0000-0000A25F0000}"/>
    <cellStyle name="Separador de milhares 7 3 4 11 2 2" xfId="30690" xr:uid="{DFF33940-BC39-410E-B5E8-62014F43F553}"/>
    <cellStyle name="Separador de milhares 7 3 4 11 3" xfId="30689" xr:uid="{52B96BF0-A998-4ED9-AC52-D6684FBB7218}"/>
    <cellStyle name="Separador de milhares 7 3 4 12" xfId="21847" xr:uid="{00000000-0005-0000-0000-0000A35F0000}"/>
    <cellStyle name="Separador de milhares 7 3 4 12 2" xfId="21848" xr:uid="{00000000-0005-0000-0000-0000A45F0000}"/>
    <cellStyle name="Separador de milhares 7 3 4 12 2 2" xfId="30692" xr:uid="{2174181F-C18E-4053-9CCC-93822DA1BC39}"/>
    <cellStyle name="Separador de milhares 7 3 4 12 3" xfId="30691" xr:uid="{F908D444-9672-4DDB-8D36-4E232FDBE01F}"/>
    <cellStyle name="Separador de milhares 7 3 4 13" xfId="21849" xr:uid="{00000000-0005-0000-0000-0000A55F0000}"/>
    <cellStyle name="Separador de milhares 7 3 4 13 2" xfId="21850" xr:uid="{00000000-0005-0000-0000-0000A65F0000}"/>
    <cellStyle name="Separador de milhares 7 3 4 13 2 2" xfId="30694" xr:uid="{E7C9F3A0-6803-4C15-A3F5-8FA7BC81EFAA}"/>
    <cellStyle name="Separador de milhares 7 3 4 13 3" xfId="30693" xr:uid="{4F9A8BF4-693F-440A-BAF6-584913EFD7F2}"/>
    <cellStyle name="Separador de milhares 7 3 4 14" xfId="21851" xr:uid="{00000000-0005-0000-0000-0000A75F0000}"/>
    <cellStyle name="Separador de milhares 7 3 4 14 2" xfId="21852" xr:uid="{00000000-0005-0000-0000-0000A85F0000}"/>
    <cellStyle name="Separador de milhares 7 3 4 14 2 2" xfId="30696" xr:uid="{E6C6640E-D9A1-43DF-9BA9-B2B0822502FC}"/>
    <cellStyle name="Separador de milhares 7 3 4 14 3" xfId="30695" xr:uid="{74395310-46E3-4737-BAE0-E41151C49891}"/>
    <cellStyle name="Separador de milhares 7 3 4 15" xfId="21853" xr:uid="{00000000-0005-0000-0000-0000A95F0000}"/>
    <cellStyle name="Separador de milhares 7 3 4 15 2" xfId="21854" xr:uid="{00000000-0005-0000-0000-0000AA5F0000}"/>
    <cellStyle name="Separador de milhares 7 3 4 15 2 2" xfId="30698" xr:uid="{049138BC-38BD-4459-8155-094905A2CA26}"/>
    <cellStyle name="Separador de milhares 7 3 4 15 3" xfId="30697" xr:uid="{5A99B12F-C7F6-437E-84BE-D64F8ECE864B}"/>
    <cellStyle name="Separador de milhares 7 3 4 16" xfId="21855" xr:uid="{00000000-0005-0000-0000-0000AB5F0000}"/>
    <cellStyle name="Separador de milhares 7 3 4 16 2" xfId="21856" xr:uid="{00000000-0005-0000-0000-0000AC5F0000}"/>
    <cellStyle name="Separador de milhares 7 3 4 16 2 2" xfId="30700" xr:uid="{47D99167-C924-49B8-B404-1BC3A48571A1}"/>
    <cellStyle name="Separador de milhares 7 3 4 16 3" xfId="30699" xr:uid="{8CABD3CE-B639-40CB-A985-BBC11842E8A8}"/>
    <cellStyle name="Separador de milhares 7 3 4 17" xfId="21857" xr:uid="{00000000-0005-0000-0000-0000AD5F0000}"/>
    <cellStyle name="Separador de milhares 7 3 4 17 2" xfId="21858" xr:uid="{00000000-0005-0000-0000-0000AE5F0000}"/>
    <cellStyle name="Separador de milhares 7 3 4 17 2 2" xfId="30702" xr:uid="{7EB4A99C-4A77-44C7-9154-821BC8052786}"/>
    <cellStyle name="Separador de milhares 7 3 4 17 3" xfId="30701" xr:uid="{C41094E8-04DF-41A6-9772-AF14EFBA552B}"/>
    <cellStyle name="Separador de milhares 7 3 4 18" xfId="21859" xr:uid="{00000000-0005-0000-0000-0000AF5F0000}"/>
    <cellStyle name="Separador de milhares 7 3 4 18 2" xfId="21860" xr:uid="{00000000-0005-0000-0000-0000B05F0000}"/>
    <cellStyle name="Separador de milhares 7 3 4 18 2 2" xfId="30704" xr:uid="{6200A47F-1D21-43E3-95FE-F5BAA63FBA24}"/>
    <cellStyle name="Separador de milhares 7 3 4 18 3" xfId="30703" xr:uid="{578A5232-6159-4DFE-AD94-5ACAC1CBD9A0}"/>
    <cellStyle name="Separador de milhares 7 3 4 19" xfId="21861" xr:uid="{00000000-0005-0000-0000-0000B15F0000}"/>
    <cellStyle name="Separador de milhares 7 3 4 19 2" xfId="21862" xr:uid="{00000000-0005-0000-0000-0000B25F0000}"/>
    <cellStyle name="Separador de milhares 7 3 4 19 2 2" xfId="30706" xr:uid="{553E9346-6460-411A-9F31-C4B760916103}"/>
    <cellStyle name="Separador de milhares 7 3 4 19 3" xfId="30705" xr:uid="{B22EB6EB-6D01-4612-BE75-4BE0E4BBFD5D}"/>
    <cellStyle name="Separador de milhares 7 3 4 2" xfId="21863" xr:uid="{00000000-0005-0000-0000-0000B35F0000}"/>
    <cellStyle name="Separador de milhares 7 3 4 2 2" xfId="21864" xr:uid="{00000000-0005-0000-0000-0000B45F0000}"/>
    <cellStyle name="Separador de milhares 7 3 4 2 2 2" xfId="21865" xr:uid="{00000000-0005-0000-0000-0000B55F0000}"/>
    <cellStyle name="Separador de milhares 7 3 4 2 2 2 2" xfId="30709" xr:uid="{80BA28A8-1719-4E3C-A9AB-09C0811F5C29}"/>
    <cellStyle name="Separador de milhares 7 3 4 2 2 3" xfId="30708" xr:uid="{C5AB272C-C2CA-405B-B580-795F046E9FA8}"/>
    <cellStyle name="Separador de milhares 7 3 4 2 3" xfId="21866" xr:uid="{00000000-0005-0000-0000-0000B65F0000}"/>
    <cellStyle name="Separador de milhares 7 3 4 2 3 2" xfId="21867" xr:uid="{00000000-0005-0000-0000-0000B75F0000}"/>
    <cellStyle name="Separador de milhares 7 3 4 2 3 2 2" xfId="30711" xr:uid="{09129193-BB18-4A70-A0C5-DC5E8A6E8D02}"/>
    <cellStyle name="Separador de milhares 7 3 4 2 3 3" xfId="30710" xr:uid="{3F9F38EB-3127-4C18-B7C2-F246E0FDD990}"/>
    <cellStyle name="Separador de milhares 7 3 4 2 4" xfId="21868" xr:uid="{00000000-0005-0000-0000-0000B85F0000}"/>
    <cellStyle name="Separador de milhares 7 3 4 2 4 2" xfId="21869" xr:uid="{00000000-0005-0000-0000-0000B95F0000}"/>
    <cellStyle name="Separador de milhares 7 3 4 2 4 2 2" xfId="30713" xr:uid="{C9DA3416-1F9D-4FCD-97CD-6FF8ED9147F3}"/>
    <cellStyle name="Separador de milhares 7 3 4 2 4 3" xfId="30712" xr:uid="{3BBADB39-F93F-45E2-938A-08062CDDF9B8}"/>
    <cellStyle name="Separador de milhares 7 3 4 2 5" xfId="21870" xr:uid="{00000000-0005-0000-0000-0000BA5F0000}"/>
    <cellStyle name="Separador de milhares 7 3 4 2 5 2" xfId="21871" xr:uid="{00000000-0005-0000-0000-0000BB5F0000}"/>
    <cellStyle name="Separador de milhares 7 3 4 2 5 2 2" xfId="30715" xr:uid="{748336A3-6639-42D2-A52A-77E5E9970634}"/>
    <cellStyle name="Separador de milhares 7 3 4 2 5 3" xfId="30714" xr:uid="{D830D710-A510-4AAF-962E-DDB7D450CC50}"/>
    <cellStyle name="Separador de milhares 7 3 4 2 6" xfId="21872" xr:uid="{00000000-0005-0000-0000-0000BC5F0000}"/>
    <cellStyle name="Separador de milhares 7 3 4 2 6 2" xfId="30716" xr:uid="{8762020E-0909-4BF7-8361-C935A4945E12}"/>
    <cellStyle name="Separador de milhares 7 3 4 2 7" xfId="30707" xr:uid="{363DB39D-6F5E-4C69-8D9F-51A0FCD05E0E}"/>
    <cellStyle name="Separador de milhares 7 3 4 20" xfId="21873" xr:uid="{00000000-0005-0000-0000-0000BD5F0000}"/>
    <cellStyle name="Separador de milhares 7 3 4 20 2" xfId="21874" xr:uid="{00000000-0005-0000-0000-0000BE5F0000}"/>
    <cellStyle name="Separador de milhares 7 3 4 20 2 2" xfId="30718" xr:uid="{306DC602-2915-43D0-9FFC-4785EA99A6CE}"/>
    <cellStyle name="Separador de milhares 7 3 4 20 3" xfId="30717" xr:uid="{AF41C0C7-13B6-4336-B428-10A191FCE110}"/>
    <cellStyle name="Separador de milhares 7 3 4 21" xfId="21875" xr:uid="{00000000-0005-0000-0000-0000BF5F0000}"/>
    <cellStyle name="Separador de milhares 7 3 4 21 2" xfId="21876" xr:uid="{00000000-0005-0000-0000-0000C05F0000}"/>
    <cellStyle name="Separador de milhares 7 3 4 21 2 2" xfId="30720" xr:uid="{5FD9EF31-7524-4A6E-A111-C9B39C5B8F98}"/>
    <cellStyle name="Separador de milhares 7 3 4 21 3" xfId="30719" xr:uid="{DB4D0A3A-69FE-45A6-9C09-A22790767EEF}"/>
    <cellStyle name="Separador de milhares 7 3 4 22" xfId="21877" xr:uid="{00000000-0005-0000-0000-0000C15F0000}"/>
    <cellStyle name="Separador de milhares 7 3 4 22 2" xfId="21878" xr:uid="{00000000-0005-0000-0000-0000C25F0000}"/>
    <cellStyle name="Separador de milhares 7 3 4 22 2 2" xfId="30722" xr:uid="{B1CAD2DF-F988-4CC1-A302-7E8AD2CF422E}"/>
    <cellStyle name="Separador de milhares 7 3 4 22 3" xfId="30721" xr:uid="{A8E7F786-9385-4113-913B-56F7B3336F6C}"/>
    <cellStyle name="Separador de milhares 7 3 4 23" xfId="21879" xr:uid="{00000000-0005-0000-0000-0000C35F0000}"/>
    <cellStyle name="Separador de milhares 7 3 4 23 2" xfId="21880" xr:uid="{00000000-0005-0000-0000-0000C45F0000}"/>
    <cellStyle name="Separador de milhares 7 3 4 23 2 2" xfId="30724" xr:uid="{DA3BD14E-A0E2-42B0-80AB-B201AED5C17B}"/>
    <cellStyle name="Separador de milhares 7 3 4 23 3" xfId="30723" xr:uid="{89D9E006-773C-49FA-A7C1-91F89E341884}"/>
    <cellStyle name="Separador de milhares 7 3 4 24" xfId="21881" xr:uid="{00000000-0005-0000-0000-0000C55F0000}"/>
    <cellStyle name="Separador de milhares 7 3 4 24 2" xfId="21882" xr:uid="{00000000-0005-0000-0000-0000C65F0000}"/>
    <cellStyle name="Separador de milhares 7 3 4 24 2 2" xfId="30726" xr:uid="{6633EBE5-FF13-4AD0-B52D-7AF35B842920}"/>
    <cellStyle name="Separador de milhares 7 3 4 24 3" xfId="30725" xr:uid="{AE7607C4-6B84-4D00-9893-8E1A870B12EC}"/>
    <cellStyle name="Separador de milhares 7 3 4 25" xfId="21883" xr:uid="{00000000-0005-0000-0000-0000C75F0000}"/>
    <cellStyle name="Separador de milhares 7 3 4 25 2" xfId="21884" xr:uid="{00000000-0005-0000-0000-0000C85F0000}"/>
    <cellStyle name="Separador de milhares 7 3 4 25 2 2" xfId="30728" xr:uid="{A6D9C497-5B82-477F-9633-0FE0D3BBF4CD}"/>
    <cellStyle name="Separador de milhares 7 3 4 25 3" xfId="30727" xr:uid="{2F4C22DD-73A8-434B-86EC-18D88353AA60}"/>
    <cellStyle name="Separador de milhares 7 3 4 26" xfId="21885" xr:uid="{00000000-0005-0000-0000-0000C95F0000}"/>
    <cellStyle name="Separador de milhares 7 3 4 26 2" xfId="21886" xr:uid="{00000000-0005-0000-0000-0000CA5F0000}"/>
    <cellStyle name="Separador de milhares 7 3 4 26 2 2" xfId="30730" xr:uid="{22815CB9-0808-4DBA-8387-6216A804F353}"/>
    <cellStyle name="Separador de milhares 7 3 4 26 3" xfId="30729" xr:uid="{012B5087-2795-472C-AA88-02EBA66827C3}"/>
    <cellStyle name="Separador de milhares 7 3 4 27" xfId="21887" xr:uid="{00000000-0005-0000-0000-0000CB5F0000}"/>
    <cellStyle name="Separador de milhares 7 3 4 27 2" xfId="21888" xr:uid="{00000000-0005-0000-0000-0000CC5F0000}"/>
    <cellStyle name="Separador de milhares 7 3 4 27 2 2" xfId="30732" xr:uid="{A309B437-6BAD-47FA-9A72-9BD46A56B06C}"/>
    <cellStyle name="Separador de milhares 7 3 4 27 3" xfId="30731" xr:uid="{9A50CFED-D785-4371-8FB2-ED55D9A5F804}"/>
    <cellStyle name="Separador de milhares 7 3 4 28" xfId="21889" xr:uid="{00000000-0005-0000-0000-0000CD5F0000}"/>
    <cellStyle name="Separador de milhares 7 3 4 28 2" xfId="21890" xr:uid="{00000000-0005-0000-0000-0000CE5F0000}"/>
    <cellStyle name="Separador de milhares 7 3 4 28 2 2" xfId="30734" xr:uid="{FAFFA2F4-D8B8-496B-BA86-30D595D6E1F4}"/>
    <cellStyle name="Separador de milhares 7 3 4 28 3" xfId="30733" xr:uid="{041134AF-6C02-47CB-814B-CDFFED6F7069}"/>
    <cellStyle name="Separador de milhares 7 3 4 29" xfId="21891" xr:uid="{00000000-0005-0000-0000-0000CF5F0000}"/>
    <cellStyle name="Separador de milhares 7 3 4 29 2" xfId="21892" xr:uid="{00000000-0005-0000-0000-0000D05F0000}"/>
    <cellStyle name="Separador de milhares 7 3 4 29 2 2" xfId="30736" xr:uid="{7F5B4DAA-5EDF-4FB6-B18F-010E55EB5B9D}"/>
    <cellStyle name="Separador de milhares 7 3 4 29 3" xfId="30735" xr:uid="{A287712F-8312-482D-81E3-8E9D4102D6D5}"/>
    <cellStyle name="Separador de milhares 7 3 4 3" xfId="21893" xr:uid="{00000000-0005-0000-0000-0000D15F0000}"/>
    <cellStyle name="Separador de milhares 7 3 4 3 2" xfId="21894" xr:uid="{00000000-0005-0000-0000-0000D25F0000}"/>
    <cellStyle name="Separador de milhares 7 3 4 3 2 2" xfId="21895" xr:uid="{00000000-0005-0000-0000-0000D35F0000}"/>
    <cellStyle name="Separador de milhares 7 3 4 3 2 2 2" xfId="30739" xr:uid="{55EA66A0-5122-4000-A15F-C3A9CD716FA3}"/>
    <cellStyle name="Separador de milhares 7 3 4 3 2 3" xfId="30738" xr:uid="{C26957FA-C992-4787-A746-FF8644718C65}"/>
    <cellStyle name="Separador de milhares 7 3 4 3 3" xfId="21896" xr:uid="{00000000-0005-0000-0000-0000D45F0000}"/>
    <cellStyle name="Separador de milhares 7 3 4 3 3 2" xfId="21897" xr:uid="{00000000-0005-0000-0000-0000D55F0000}"/>
    <cellStyle name="Separador de milhares 7 3 4 3 3 2 2" xfId="30741" xr:uid="{2A313835-B129-40A3-975F-122B02CAF0C7}"/>
    <cellStyle name="Separador de milhares 7 3 4 3 3 3" xfId="30740" xr:uid="{32EBF3F2-CCA3-4985-9A2A-B19950839B29}"/>
    <cellStyle name="Separador de milhares 7 3 4 3 4" xfId="21898" xr:uid="{00000000-0005-0000-0000-0000D65F0000}"/>
    <cellStyle name="Separador de milhares 7 3 4 3 4 2" xfId="21899" xr:uid="{00000000-0005-0000-0000-0000D75F0000}"/>
    <cellStyle name="Separador de milhares 7 3 4 3 4 2 2" xfId="30743" xr:uid="{3657953B-0F3F-4380-8ED6-B9F14ABB1AC2}"/>
    <cellStyle name="Separador de milhares 7 3 4 3 4 3" xfId="30742" xr:uid="{AF1548F6-B0E8-4F08-8D40-D0D2E151B84F}"/>
    <cellStyle name="Separador de milhares 7 3 4 3 5" xfId="21900" xr:uid="{00000000-0005-0000-0000-0000D85F0000}"/>
    <cellStyle name="Separador de milhares 7 3 4 3 5 2" xfId="21901" xr:uid="{00000000-0005-0000-0000-0000D95F0000}"/>
    <cellStyle name="Separador de milhares 7 3 4 3 5 2 2" xfId="30745" xr:uid="{48214320-5B72-4406-9D4E-374E51847D25}"/>
    <cellStyle name="Separador de milhares 7 3 4 3 5 3" xfId="30744" xr:uid="{0991A25B-E293-41C6-BA3C-675DE9A1CF62}"/>
    <cellStyle name="Separador de milhares 7 3 4 3 6" xfId="21902" xr:uid="{00000000-0005-0000-0000-0000DA5F0000}"/>
    <cellStyle name="Separador de milhares 7 3 4 3 6 2" xfId="30746" xr:uid="{B889DE10-9BCE-489B-BBC2-1183F88EFF7E}"/>
    <cellStyle name="Separador de milhares 7 3 4 3 7" xfId="30737" xr:uid="{0B2F4F6F-780E-40F0-A0C8-A2B23EC4A1C3}"/>
    <cellStyle name="Separador de milhares 7 3 4 30" xfId="21903" xr:uid="{00000000-0005-0000-0000-0000DB5F0000}"/>
    <cellStyle name="Separador de milhares 7 3 4 30 2" xfId="21904" xr:uid="{00000000-0005-0000-0000-0000DC5F0000}"/>
    <cellStyle name="Separador de milhares 7 3 4 30 2 2" xfId="30748" xr:uid="{42B8AF0E-6524-4CAC-B714-6849F86A76FA}"/>
    <cellStyle name="Separador de milhares 7 3 4 30 3" xfId="30747" xr:uid="{16320A66-322F-48DB-8179-57E8DD29CC50}"/>
    <cellStyle name="Separador de milhares 7 3 4 31" xfId="21905" xr:uid="{00000000-0005-0000-0000-0000DD5F0000}"/>
    <cellStyle name="Separador de milhares 7 3 4 31 2" xfId="21906" xr:uid="{00000000-0005-0000-0000-0000DE5F0000}"/>
    <cellStyle name="Separador de milhares 7 3 4 31 2 2" xfId="30750" xr:uid="{0203332F-9572-4DC0-A835-3F6D6BE195E4}"/>
    <cellStyle name="Separador de milhares 7 3 4 31 3" xfId="30749" xr:uid="{714BDB4F-E988-41C0-ABFA-F5A381EDA3AF}"/>
    <cellStyle name="Separador de milhares 7 3 4 32" xfId="21907" xr:uid="{00000000-0005-0000-0000-0000DF5F0000}"/>
    <cellStyle name="Separador de milhares 7 3 4 32 2" xfId="21908" xr:uid="{00000000-0005-0000-0000-0000E05F0000}"/>
    <cellStyle name="Separador de milhares 7 3 4 32 2 2" xfId="30752" xr:uid="{1C087094-D529-4C34-8DCE-B1B74C4B5F41}"/>
    <cellStyle name="Separador de milhares 7 3 4 32 3" xfId="30751" xr:uid="{D3546E64-B6F0-4A53-AB5D-4946F08180A1}"/>
    <cellStyle name="Separador de milhares 7 3 4 33" xfId="21909" xr:uid="{00000000-0005-0000-0000-0000E15F0000}"/>
    <cellStyle name="Separador de milhares 7 3 4 33 2" xfId="21910" xr:uid="{00000000-0005-0000-0000-0000E25F0000}"/>
    <cellStyle name="Separador de milhares 7 3 4 33 2 2" xfId="30754" xr:uid="{9832A4F6-09CB-4DA4-B760-BC13011704F1}"/>
    <cellStyle name="Separador de milhares 7 3 4 33 3" xfId="30753" xr:uid="{8DDE6E09-5AEF-466D-A14F-F9D30229923E}"/>
    <cellStyle name="Separador de milhares 7 3 4 34" xfId="21911" xr:uid="{00000000-0005-0000-0000-0000E35F0000}"/>
    <cellStyle name="Separador de milhares 7 3 4 34 2" xfId="21912" xr:uid="{00000000-0005-0000-0000-0000E45F0000}"/>
    <cellStyle name="Separador de milhares 7 3 4 34 2 2" xfId="30756" xr:uid="{E2408ACC-8C74-4C64-B242-99153F83CDB6}"/>
    <cellStyle name="Separador de milhares 7 3 4 34 3" xfId="30755" xr:uid="{D4EEC929-EFC2-4271-B4CE-D9DB63907AF6}"/>
    <cellStyle name="Separador de milhares 7 3 4 35" xfId="21913" xr:uid="{00000000-0005-0000-0000-0000E55F0000}"/>
    <cellStyle name="Separador de milhares 7 3 4 35 2" xfId="21914" xr:uid="{00000000-0005-0000-0000-0000E65F0000}"/>
    <cellStyle name="Separador de milhares 7 3 4 35 2 2" xfId="30758" xr:uid="{83A791CD-5ACF-4791-A0AD-E388AA866AE6}"/>
    <cellStyle name="Separador de milhares 7 3 4 35 3" xfId="30757" xr:uid="{14CFD3A3-49B6-449E-8638-5DB9961D6C32}"/>
    <cellStyle name="Separador de milhares 7 3 4 36" xfId="21915" xr:uid="{00000000-0005-0000-0000-0000E75F0000}"/>
    <cellStyle name="Separador de milhares 7 3 4 36 2" xfId="21916" xr:uid="{00000000-0005-0000-0000-0000E85F0000}"/>
    <cellStyle name="Separador de milhares 7 3 4 36 2 2" xfId="30760" xr:uid="{1DBF8A42-51BA-423E-B9E7-17B1BACBCDFD}"/>
    <cellStyle name="Separador de milhares 7 3 4 36 3" xfId="30759" xr:uid="{0050A34B-FD85-43B9-B8AB-BE219F909253}"/>
    <cellStyle name="Separador de milhares 7 3 4 37" xfId="21917" xr:uid="{00000000-0005-0000-0000-0000E95F0000}"/>
    <cellStyle name="Separador de milhares 7 3 4 37 2" xfId="21918" xr:uid="{00000000-0005-0000-0000-0000EA5F0000}"/>
    <cellStyle name="Separador de milhares 7 3 4 37 2 2" xfId="30762" xr:uid="{53E5965D-34C6-4657-910A-6E35C57FD31A}"/>
    <cellStyle name="Separador de milhares 7 3 4 37 3" xfId="30761" xr:uid="{5AC35D57-491B-4820-865E-3D6CE0FC44AB}"/>
    <cellStyle name="Separador de milhares 7 3 4 38" xfId="21919" xr:uid="{00000000-0005-0000-0000-0000EB5F0000}"/>
    <cellStyle name="Separador de milhares 7 3 4 38 2" xfId="21920" xr:uid="{00000000-0005-0000-0000-0000EC5F0000}"/>
    <cellStyle name="Separador de milhares 7 3 4 38 2 2" xfId="30764" xr:uid="{7AF8B0DD-70BD-4A8B-A8E7-791086657600}"/>
    <cellStyle name="Separador de milhares 7 3 4 38 3" xfId="30763" xr:uid="{5646970D-3E1F-4761-90D2-22A8D6C6E00F}"/>
    <cellStyle name="Separador de milhares 7 3 4 39" xfId="21921" xr:uid="{00000000-0005-0000-0000-0000ED5F0000}"/>
    <cellStyle name="Separador de milhares 7 3 4 39 2" xfId="21922" xr:uid="{00000000-0005-0000-0000-0000EE5F0000}"/>
    <cellStyle name="Separador de milhares 7 3 4 39 2 2" xfId="30766" xr:uid="{708397E9-B2B6-4306-A478-AF0AA8903595}"/>
    <cellStyle name="Separador de milhares 7 3 4 39 3" xfId="30765" xr:uid="{9FFFE05D-85CD-47F0-ACFB-0606BED86BB1}"/>
    <cellStyle name="Separador de milhares 7 3 4 4" xfId="21923" xr:uid="{00000000-0005-0000-0000-0000EF5F0000}"/>
    <cellStyle name="Separador de milhares 7 3 4 4 2" xfId="21924" xr:uid="{00000000-0005-0000-0000-0000F05F0000}"/>
    <cellStyle name="Separador de milhares 7 3 4 4 2 2" xfId="21925" xr:uid="{00000000-0005-0000-0000-0000F15F0000}"/>
    <cellStyle name="Separador de milhares 7 3 4 4 2 2 2" xfId="30769" xr:uid="{A1A7863C-7A3D-41C4-B96A-995AFC882287}"/>
    <cellStyle name="Separador de milhares 7 3 4 4 2 3" xfId="30768" xr:uid="{40B2DAEE-C989-4745-8FDB-2DB219322217}"/>
    <cellStyle name="Separador de milhares 7 3 4 4 3" xfId="21926" xr:uid="{00000000-0005-0000-0000-0000F25F0000}"/>
    <cellStyle name="Separador de milhares 7 3 4 4 3 2" xfId="21927" xr:uid="{00000000-0005-0000-0000-0000F35F0000}"/>
    <cellStyle name="Separador de milhares 7 3 4 4 3 2 2" xfId="30771" xr:uid="{82BE56F3-7423-41B3-AFEA-B4761DBF1FA7}"/>
    <cellStyle name="Separador de milhares 7 3 4 4 3 3" xfId="30770" xr:uid="{A1FAF4D2-E872-4393-BC93-B20AEC593A31}"/>
    <cellStyle name="Separador de milhares 7 3 4 4 4" xfId="21928" xr:uid="{00000000-0005-0000-0000-0000F45F0000}"/>
    <cellStyle name="Separador de milhares 7 3 4 4 4 2" xfId="21929" xr:uid="{00000000-0005-0000-0000-0000F55F0000}"/>
    <cellStyle name="Separador de milhares 7 3 4 4 4 2 2" xfId="30773" xr:uid="{B76A1B1A-5244-412D-B939-8DCFB22F45D5}"/>
    <cellStyle name="Separador de milhares 7 3 4 4 4 3" xfId="30772" xr:uid="{86F96AB6-18A9-4750-8994-730EC77276AD}"/>
    <cellStyle name="Separador de milhares 7 3 4 4 5" xfId="21930" xr:uid="{00000000-0005-0000-0000-0000F65F0000}"/>
    <cellStyle name="Separador de milhares 7 3 4 4 5 2" xfId="21931" xr:uid="{00000000-0005-0000-0000-0000F75F0000}"/>
    <cellStyle name="Separador de milhares 7 3 4 4 5 2 2" xfId="30775" xr:uid="{5569913B-CD54-4FBD-B917-A25692EB7EDB}"/>
    <cellStyle name="Separador de milhares 7 3 4 4 5 3" xfId="30774" xr:uid="{4A15D3F5-FC6D-4528-A65A-7E17496B2BEB}"/>
    <cellStyle name="Separador de milhares 7 3 4 4 6" xfId="21932" xr:uid="{00000000-0005-0000-0000-0000F85F0000}"/>
    <cellStyle name="Separador de milhares 7 3 4 4 6 2" xfId="30776" xr:uid="{69BBA476-36E5-4DBD-8729-C8DA58C9EE2A}"/>
    <cellStyle name="Separador de milhares 7 3 4 4 7" xfId="30767" xr:uid="{78124F87-5AB3-49B8-A71D-D07DBAA006C0}"/>
    <cellStyle name="Separador de milhares 7 3 4 40" xfId="21933" xr:uid="{00000000-0005-0000-0000-0000F95F0000}"/>
    <cellStyle name="Separador de milhares 7 3 4 40 2" xfId="21934" xr:uid="{00000000-0005-0000-0000-0000FA5F0000}"/>
    <cellStyle name="Separador de milhares 7 3 4 40 2 2" xfId="30778" xr:uid="{A102D839-4F33-41DC-8F86-09B4760AA313}"/>
    <cellStyle name="Separador de milhares 7 3 4 40 3" xfId="30777" xr:uid="{D0EA4A81-552F-4BCB-945E-134C8C36B9E9}"/>
    <cellStyle name="Separador de milhares 7 3 4 41" xfId="21935" xr:uid="{00000000-0005-0000-0000-0000FB5F0000}"/>
    <cellStyle name="Separador de milhares 7 3 4 41 2" xfId="21936" xr:uid="{00000000-0005-0000-0000-0000FC5F0000}"/>
    <cellStyle name="Separador de milhares 7 3 4 41 2 2" xfId="30780" xr:uid="{6701C4B9-0CEF-4E87-B5D2-9C60063EB3CD}"/>
    <cellStyle name="Separador de milhares 7 3 4 41 3" xfId="30779" xr:uid="{FCBF84F3-2117-411C-BE5D-B1B507E06957}"/>
    <cellStyle name="Separador de milhares 7 3 4 42" xfId="21937" xr:uid="{00000000-0005-0000-0000-0000FD5F0000}"/>
    <cellStyle name="Separador de milhares 7 3 4 42 2" xfId="21938" xr:uid="{00000000-0005-0000-0000-0000FE5F0000}"/>
    <cellStyle name="Separador de milhares 7 3 4 42 2 2" xfId="30782" xr:uid="{65C77FB4-451F-42F7-8236-BB02C3B0C34A}"/>
    <cellStyle name="Separador de milhares 7 3 4 42 3" xfId="30781" xr:uid="{DCBBF021-6269-4F1A-81B9-B94AA9977A6D}"/>
    <cellStyle name="Separador de milhares 7 3 4 43" xfId="21939" xr:uid="{00000000-0005-0000-0000-0000FF5F0000}"/>
    <cellStyle name="Separador de milhares 7 3 4 43 2" xfId="21940" xr:uid="{00000000-0005-0000-0000-000000600000}"/>
    <cellStyle name="Separador de milhares 7 3 4 43 2 2" xfId="30784" xr:uid="{5F69B397-6751-419F-BEF2-23B8A0985B4C}"/>
    <cellStyle name="Separador de milhares 7 3 4 43 3" xfId="30783" xr:uid="{A9D4749A-3A53-44CD-9CC1-8C6A56605C58}"/>
    <cellStyle name="Separador de milhares 7 3 4 44" xfId="21941" xr:uid="{00000000-0005-0000-0000-000001600000}"/>
    <cellStyle name="Separador de milhares 7 3 4 44 2" xfId="21942" xr:uid="{00000000-0005-0000-0000-000002600000}"/>
    <cellStyle name="Separador de milhares 7 3 4 44 2 2" xfId="30786" xr:uid="{32AD7DA4-0374-489A-818C-230EB391B692}"/>
    <cellStyle name="Separador de milhares 7 3 4 44 3" xfId="30785" xr:uid="{EBE57022-6C24-4B9B-BA57-03875B943CA5}"/>
    <cellStyle name="Separador de milhares 7 3 4 45" xfId="21943" xr:uid="{00000000-0005-0000-0000-000003600000}"/>
    <cellStyle name="Separador de milhares 7 3 4 45 2" xfId="21944" xr:uid="{00000000-0005-0000-0000-000004600000}"/>
    <cellStyle name="Separador de milhares 7 3 4 45 2 2" xfId="30788" xr:uid="{6A8FF727-0A88-4B4D-9135-06E5A184326A}"/>
    <cellStyle name="Separador de milhares 7 3 4 45 3" xfId="30787" xr:uid="{DED837BE-DDB6-4C8E-8A1F-82B33071FC99}"/>
    <cellStyle name="Separador de milhares 7 3 4 46" xfId="21945" xr:uid="{00000000-0005-0000-0000-000005600000}"/>
    <cellStyle name="Separador de milhares 7 3 4 46 2" xfId="30789" xr:uid="{0C664E53-D5C7-4368-ACFB-06DD12B869C7}"/>
    <cellStyle name="Separador de milhares 7 3 4 47" xfId="21842" xr:uid="{00000000-0005-0000-0000-000006600000}"/>
    <cellStyle name="Separador de milhares 7 3 4 48" xfId="28080" xr:uid="{B0466E7F-C674-4558-A769-3284F278EA75}"/>
    <cellStyle name="Separador de milhares 7 3 4 5" xfId="21946" xr:uid="{00000000-0005-0000-0000-000007600000}"/>
    <cellStyle name="Separador de milhares 7 3 4 5 2" xfId="21947" xr:uid="{00000000-0005-0000-0000-000008600000}"/>
    <cellStyle name="Separador de milhares 7 3 4 5 2 2" xfId="30791" xr:uid="{0A761BC2-05E9-41EB-9681-6591C71D3474}"/>
    <cellStyle name="Separador de milhares 7 3 4 5 3" xfId="30790" xr:uid="{F1FEE835-CB3D-4504-A80E-D404AC97539F}"/>
    <cellStyle name="Separador de milhares 7 3 4 6" xfId="21948" xr:uid="{00000000-0005-0000-0000-000009600000}"/>
    <cellStyle name="Separador de milhares 7 3 4 6 2" xfId="21949" xr:uid="{00000000-0005-0000-0000-00000A600000}"/>
    <cellStyle name="Separador de milhares 7 3 4 6 2 2" xfId="30793" xr:uid="{57BEF2D2-9774-450E-B434-917EA4030D84}"/>
    <cellStyle name="Separador de milhares 7 3 4 6 3" xfId="30792" xr:uid="{59142E69-63BB-40BC-8DB3-DA6203CC92F5}"/>
    <cellStyle name="Separador de milhares 7 3 4 7" xfId="21950" xr:uid="{00000000-0005-0000-0000-00000B600000}"/>
    <cellStyle name="Separador de milhares 7 3 4 7 2" xfId="21951" xr:uid="{00000000-0005-0000-0000-00000C600000}"/>
    <cellStyle name="Separador de milhares 7 3 4 7 2 2" xfId="30795" xr:uid="{028025EC-9CCB-436E-82F0-3344D6EEE2AA}"/>
    <cellStyle name="Separador de milhares 7 3 4 7 3" xfId="30794" xr:uid="{2406F314-F951-4D02-BBF9-0EF4195791C9}"/>
    <cellStyle name="Separador de milhares 7 3 4 8" xfId="21952" xr:uid="{00000000-0005-0000-0000-00000D600000}"/>
    <cellStyle name="Separador de milhares 7 3 4 8 2" xfId="21953" xr:uid="{00000000-0005-0000-0000-00000E600000}"/>
    <cellStyle name="Separador de milhares 7 3 4 8 2 2" xfId="30797" xr:uid="{B5E20D8A-E22F-4BCB-806D-D8186E8942B2}"/>
    <cellStyle name="Separador de milhares 7 3 4 8 3" xfId="30796" xr:uid="{68FA4252-43C5-40E5-89A9-7292C2AFAEEC}"/>
    <cellStyle name="Separador de milhares 7 3 4 9" xfId="21954" xr:uid="{00000000-0005-0000-0000-00000F600000}"/>
    <cellStyle name="Separador de milhares 7 3 4 9 2" xfId="21955" xr:uid="{00000000-0005-0000-0000-000010600000}"/>
    <cellStyle name="Separador de milhares 7 3 4 9 2 2" xfId="30799" xr:uid="{EE33E7CC-26AF-49AA-A444-F72D4E1FB370}"/>
    <cellStyle name="Separador de milhares 7 3 4 9 3" xfId="30798" xr:uid="{8567A0FF-F376-4F6B-AAA7-861890AF7E91}"/>
    <cellStyle name="Separador de milhares 7 3 40" xfId="21956" xr:uid="{00000000-0005-0000-0000-000011600000}"/>
    <cellStyle name="Separador de milhares 7 3 40 2" xfId="21957" xr:uid="{00000000-0005-0000-0000-000012600000}"/>
    <cellStyle name="Separador de milhares 7 3 40 2 2" xfId="30801" xr:uid="{7ECE2857-D98E-4F35-987D-6B8193F4D175}"/>
    <cellStyle name="Separador de milhares 7 3 40 3" xfId="30800" xr:uid="{6FEB7C44-1F32-4342-B07A-28EBCA0EE09D}"/>
    <cellStyle name="Separador de milhares 7 3 41" xfId="21958" xr:uid="{00000000-0005-0000-0000-000013600000}"/>
    <cellStyle name="Separador de milhares 7 3 41 2" xfId="21959" xr:uid="{00000000-0005-0000-0000-000014600000}"/>
    <cellStyle name="Separador de milhares 7 3 41 2 2" xfId="30803" xr:uid="{177AF4B0-D29E-4C5F-8F14-379E77A367D2}"/>
    <cellStyle name="Separador de milhares 7 3 41 3" xfId="30802" xr:uid="{26A37DAA-6CBB-40A7-BC29-27F2617ECBBC}"/>
    <cellStyle name="Separador de milhares 7 3 42" xfId="21960" xr:uid="{00000000-0005-0000-0000-000015600000}"/>
    <cellStyle name="Separador de milhares 7 3 42 2" xfId="21961" xr:uid="{00000000-0005-0000-0000-000016600000}"/>
    <cellStyle name="Separador de milhares 7 3 42 2 2" xfId="30805" xr:uid="{BDA952AC-3813-4666-9AC1-1328EAC84E7C}"/>
    <cellStyle name="Separador de milhares 7 3 42 3" xfId="30804" xr:uid="{5FEB13E0-CCCC-45EC-B9D0-7BBA0FCA843E}"/>
    <cellStyle name="Separador de milhares 7 3 43" xfId="21962" xr:uid="{00000000-0005-0000-0000-000017600000}"/>
    <cellStyle name="Separador de milhares 7 3 43 2" xfId="21963" xr:uid="{00000000-0005-0000-0000-000018600000}"/>
    <cellStyle name="Separador de milhares 7 3 43 2 2" xfId="30807" xr:uid="{01ABD13D-5640-4272-AF03-6533D1BFCDDD}"/>
    <cellStyle name="Separador de milhares 7 3 43 3" xfId="30806" xr:uid="{A72C244F-6EF8-4635-AF8F-74322E21D704}"/>
    <cellStyle name="Separador de milhares 7 3 44" xfId="21964" xr:uid="{00000000-0005-0000-0000-000019600000}"/>
    <cellStyle name="Separador de milhares 7 3 44 2" xfId="21965" xr:uid="{00000000-0005-0000-0000-00001A600000}"/>
    <cellStyle name="Separador de milhares 7 3 44 2 2" xfId="30809" xr:uid="{A6CA73C7-F32A-49C7-AF06-9806EED62675}"/>
    <cellStyle name="Separador de milhares 7 3 44 3" xfId="30808" xr:uid="{63D39B90-0B3E-440A-91F5-BA7B4C8AF8D6}"/>
    <cellStyle name="Separador de milhares 7 3 45" xfId="21966" xr:uid="{00000000-0005-0000-0000-00001B600000}"/>
    <cellStyle name="Separador de milhares 7 3 45 2" xfId="21967" xr:uid="{00000000-0005-0000-0000-00001C600000}"/>
    <cellStyle name="Separador de milhares 7 3 45 2 2" xfId="30811" xr:uid="{9D1B3300-26EF-4EAA-936E-EF5B6E3E7EBD}"/>
    <cellStyle name="Separador de milhares 7 3 45 3" xfId="30810" xr:uid="{23D1BF75-2D84-4070-9442-38A9DCCBCC8B}"/>
    <cellStyle name="Separador de milhares 7 3 46" xfId="21968" xr:uid="{00000000-0005-0000-0000-00001D600000}"/>
    <cellStyle name="Separador de milhares 7 3 46 2" xfId="21969" xr:uid="{00000000-0005-0000-0000-00001E600000}"/>
    <cellStyle name="Separador de milhares 7 3 46 2 2" xfId="30813" xr:uid="{93BC90BE-98AE-4134-866A-7A7C24ED6456}"/>
    <cellStyle name="Separador de milhares 7 3 46 3" xfId="30812" xr:uid="{1284F8A9-E7A5-4557-923F-677F544BE88F}"/>
    <cellStyle name="Separador de milhares 7 3 47" xfId="21970" xr:uid="{00000000-0005-0000-0000-00001F600000}"/>
    <cellStyle name="Separador de milhares 7 3 47 2" xfId="21971" xr:uid="{00000000-0005-0000-0000-000020600000}"/>
    <cellStyle name="Separador de milhares 7 3 47 2 2" xfId="30815" xr:uid="{D0673D7D-FA88-4054-A1C5-BDA86E2CADA3}"/>
    <cellStyle name="Separador de milhares 7 3 47 3" xfId="30814" xr:uid="{A89A03B9-7511-4905-87FA-11B051485851}"/>
    <cellStyle name="Separador de milhares 7 3 48" xfId="21972" xr:uid="{00000000-0005-0000-0000-000021600000}"/>
    <cellStyle name="Separador de milhares 7 3 48 2" xfId="21973" xr:uid="{00000000-0005-0000-0000-000022600000}"/>
    <cellStyle name="Separador de milhares 7 3 48 2 2" xfId="30817" xr:uid="{39F44A90-D4F5-45F8-BD4F-02C702F7AE70}"/>
    <cellStyle name="Separador de milhares 7 3 48 3" xfId="30816" xr:uid="{A709BF6A-9E5C-4164-96E6-FE23558F0BA9}"/>
    <cellStyle name="Separador de milhares 7 3 49" xfId="21974" xr:uid="{00000000-0005-0000-0000-000023600000}"/>
    <cellStyle name="Separador de milhares 7 3 49 2" xfId="21975" xr:uid="{00000000-0005-0000-0000-000024600000}"/>
    <cellStyle name="Separador de milhares 7 3 49 2 2" xfId="30819" xr:uid="{D87CC7CE-F3AD-4094-A858-27A5DC3842FF}"/>
    <cellStyle name="Separador de milhares 7 3 49 3" xfId="30818" xr:uid="{BCC28393-B454-4EEE-820B-81535DCB3E28}"/>
    <cellStyle name="Separador de milhares 7 3 5" xfId="21976" xr:uid="{00000000-0005-0000-0000-000025600000}"/>
    <cellStyle name="Separador de milhares 7 3 5 10" xfId="21977" xr:uid="{00000000-0005-0000-0000-000026600000}"/>
    <cellStyle name="Separador de milhares 7 3 5 10 2" xfId="21978" xr:uid="{00000000-0005-0000-0000-000027600000}"/>
    <cellStyle name="Separador de milhares 7 3 5 10 2 2" xfId="30821" xr:uid="{7C6B3188-9E2B-4BF1-83D7-FDAAB6C4B49D}"/>
    <cellStyle name="Separador de milhares 7 3 5 10 3" xfId="30820" xr:uid="{C9892347-8ACF-4E04-B4C5-F158D14120F8}"/>
    <cellStyle name="Separador de milhares 7 3 5 11" xfId="21979" xr:uid="{00000000-0005-0000-0000-000028600000}"/>
    <cellStyle name="Separador de milhares 7 3 5 11 2" xfId="21980" xr:uid="{00000000-0005-0000-0000-000029600000}"/>
    <cellStyle name="Separador de milhares 7 3 5 11 2 2" xfId="30823" xr:uid="{A0C3DD72-C6AE-4242-94F0-562824DC1057}"/>
    <cellStyle name="Separador de milhares 7 3 5 11 3" xfId="30822" xr:uid="{51B0D86D-D136-40CA-B028-5D3B67C49BDE}"/>
    <cellStyle name="Separador de milhares 7 3 5 12" xfId="21981" xr:uid="{00000000-0005-0000-0000-00002A600000}"/>
    <cellStyle name="Separador de milhares 7 3 5 12 2" xfId="21982" xr:uid="{00000000-0005-0000-0000-00002B600000}"/>
    <cellStyle name="Separador de milhares 7 3 5 12 2 2" xfId="30825" xr:uid="{B207DACC-0FE2-4DC7-947C-D4B49A7E54A9}"/>
    <cellStyle name="Separador de milhares 7 3 5 12 3" xfId="30824" xr:uid="{0C81298B-1995-48A8-9D08-321076613EFF}"/>
    <cellStyle name="Separador de milhares 7 3 5 13" xfId="21983" xr:uid="{00000000-0005-0000-0000-00002C600000}"/>
    <cellStyle name="Separador de milhares 7 3 5 13 2" xfId="21984" xr:uid="{00000000-0005-0000-0000-00002D600000}"/>
    <cellStyle name="Separador de milhares 7 3 5 13 2 2" xfId="30827" xr:uid="{95073288-4917-4F4A-BD91-84D37B1C8D03}"/>
    <cellStyle name="Separador de milhares 7 3 5 13 3" xfId="30826" xr:uid="{85694790-8E25-4D32-A60B-FAD7A8F27465}"/>
    <cellStyle name="Separador de milhares 7 3 5 14" xfId="21985" xr:uid="{00000000-0005-0000-0000-00002E600000}"/>
    <cellStyle name="Separador de milhares 7 3 5 14 2" xfId="21986" xr:uid="{00000000-0005-0000-0000-00002F600000}"/>
    <cellStyle name="Separador de milhares 7 3 5 14 2 2" xfId="30829" xr:uid="{4FD00507-FD4A-4D89-8D83-91E0EF2971B1}"/>
    <cellStyle name="Separador de milhares 7 3 5 14 3" xfId="30828" xr:uid="{12160115-D25F-44C3-BA73-CD0D693C4F48}"/>
    <cellStyle name="Separador de milhares 7 3 5 15" xfId="21987" xr:uid="{00000000-0005-0000-0000-000030600000}"/>
    <cellStyle name="Separador de milhares 7 3 5 15 2" xfId="21988" xr:uid="{00000000-0005-0000-0000-000031600000}"/>
    <cellStyle name="Separador de milhares 7 3 5 15 2 2" xfId="30831" xr:uid="{C0D3F6F3-4E38-4C80-9ED9-A459736382C8}"/>
    <cellStyle name="Separador de milhares 7 3 5 15 3" xfId="30830" xr:uid="{C51141B1-D80E-41E4-9A9D-B124CEFFD889}"/>
    <cellStyle name="Separador de milhares 7 3 5 16" xfId="21989" xr:uid="{00000000-0005-0000-0000-000032600000}"/>
    <cellStyle name="Separador de milhares 7 3 5 16 2" xfId="21990" xr:uid="{00000000-0005-0000-0000-000033600000}"/>
    <cellStyle name="Separador de milhares 7 3 5 16 2 2" xfId="30833" xr:uid="{F676ABBF-4E58-4312-95D6-43626DB4567F}"/>
    <cellStyle name="Separador de milhares 7 3 5 16 3" xfId="30832" xr:uid="{DB46FEA9-C8DC-42F9-B293-E62174872F78}"/>
    <cellStyle name="Separador de milhares 7 3 5 17" xfId="21991" xr:uid="{00000000-0005-0000-0000-000034600000}"/>
    <cellStyle name="Separador de milhares 7 3 5 17 2" xfId="21992" xr:uid="{00000000-0005-0000-0000-000035600000}"/>
    <cellStyle name="Separador de milhares 7 3 5 17 2 2" xfId="30835" xr:uid="{C8CF028E-EE28-4083-85D0-410574973378}"/>
    <cellStyle name="Separador de milhares 7 3 5 17 3" xfId="30834" xr:uid="{FB1B6450-E01E-498A-B77C-0514CBF01A6C}"/>
    <cellStyle name="Separador de milhares 7 3 5 18" xfId="21993" xr:uid="{00000000-0005-0000-0000-000036600000}"/>
    <cellStyle name="Separador de milhares 7 3 5 18 2" xfId="21994" xr:uid="{00000000-0005-0000-0000-000037600000}"/>
    <cellStyle name="Separador de milhares 7 3 5 18 2 2" xfId="30837" xr:uid="{4EF1EEE9-73A0-4AD5-AA87-2E1AB5F85042}"/>
    <cellStyle name="Separador de milhares 7 3 5 18 3" xfId="30836" xr:uid="{FD847056-015C-4594-B955-AC109E3198AC}"/>
    <cellStyle name="Separador de milhares 7 3 5 19" xfId="21995" xr:uid="{00000000-0005-0000-0000-000038600000}"/>
    <cellStyle name="Separador de milhares 7 3 5 19 2" xfId="21996" xr:uid="{00000000-0005-0000-0000-000039600000}"/>
    <cellStyle name="Separador de milhares 7 3 5 19 2 2" xfId="30839" xr:uid="{56CAFBD8-6A6E-42FE-A571-8A676758CBBB}"/>
    <cellStyle name="Separador de milhares 7 3 5 19 3" xfId="30838" xr:uid="{B74CF925-0AD0-45AE-9A37-3DDF8BBBA744}"/>
    <cellStyle name="Separador de milhares 7 3 5 2" xfId="21997" xr:uid="{00000000-0005-0000-0000-00003A600000}"/>
    <cellStyle name="Separador de milhares 7 3 5 2 2" xfId="21998" xr:uid="{00000000-0005-0000-0000-00003B600000}"/>
    <cellStyle name="Separador de milhares 7 3 5 2 2 2" xfId="30841" xr:uid="{63A02482-6889-4734-86B3-A0F49BA6F6B5}"/>
    <cellStyle name="Separador de milhares 7 3 5 2 3" xfId="30840" xr:uid="{0311D6E9-0C85-4846-AFCB-F3BCC396ED13}"/>
    <cellStyle name="Separador de milhares 7 3 5 20" xfId="21999" xr:uid="{00000000-0005-0000-0000-00003C600000}"/>
    <cellStyle name="Separador de milhares 7 3 5 20 2" xfId="22000" xr:uid="{00000000-0005-0000-0000-00003D600000}"/>
    <cellStyle name="Separador de milhares 7 3 5 20 2 2" xfId="30843" xr:uid="{CA70B15B-D814-4FB3-A642-F8A925B59532}"/>
    <cellStyle name="Separador de milhares 7 3 5 20 3" xfId="30842" xr:uid="{58BB2156-6217-47AE-B555-4A14DE8CBFB2}"/>
    <cellStyle name="Separador de milhares 7 3 5 21" xfId="22001" xr:uid="{00000000-0005-0000-0000-00003E600000}"/>
    <cellStyle name="Separador de milhares 7 3 5 21 2" xfId="22002" xr:uid="{00000000-0005-0000-0000-00003F600000}"/>
    <cellStyle name="Separador de milhares 7 3 5 21 2 2" xfId="30845" xr:uid="{CFFD8CAE-DC12-422B-A885-30F57CF62D66}"/>
    <cellStyle name="Separador de milhares 7 3 5 21 3" xfId="30844" xr:uid="{8D761F7E-1545-45D0-811A-4C9BA91F8E8F}"/>
    <cellStyle name="Separador de milhares 7 3 5 22" xfId="22003" xr:uid="{00000000-0005-0000-0000-000040600000}"/>
    <cellStyle name="Separador de milhares 7 3 5 22 2" xfId="22004" xr:uid="{00000000-0005-0000-0000-000041600000}"/>
    <cellStyle name="Separador de milhares 7 3 5 22 2 2" xfId="30847" xr:uid="{8648393E-7934-4ED4-9F07-034ED756C701}"/>
    <cellStyle name="Separador de milhares 7 3 5 22 3" xfId="30846" xr:uid="{51E7C1F9-3473-47AF-91AF-02FA8EA8C84C}"/>
    <cellStyle name="Separador de milhares 7 3 5 23" xfId="22005" xr:uid="{00000000-0005-0000-0000-000042600000}"/>
    <cellStyle name="Separador de milhares 7 3 5 23 2" xfId="22006" xr:uid="{00000000-0005-0000-0000-000043600000}"/>
    <cellStyle name="Separador de milhares 7 3 5 23 2 2" xfId="30849" xr:uid="{25C24156-AFC4-4F0B-8499-A09283134429}"/>
    <cellStyle name="Separador de milhares 7 3 5 23 3" xfId="30848" xr:uid="{7B45446D-6978-48D7-8711-4E51C095620A}"/>
    <cellStyle name="Separador de milhares 7 3 5 24" xfId="22007" xr:uid="{00000000-0005-0000-0000-000044600000}"/>
    <cellStyle name="Separador de milhares 7 3 5 24 2" xfId="22008" xr:uid="{00000000-0005-0000-0000-000045600000}"/>
    <cellStyle name="Separador de milhares 7 3 5 24 2 2" xfId="30851" xr:uid="{C76B6C13-EFD0-41D3-A037-1B744165EF21}"/>
    <cellStyle name="Separador de milhares 7 3 5 24 3" xfId="30850" xr:uid="{4B68AF28-9BD1-4E29-9FCD-0C83DF09AA9D}"/>
    <cellStyle name="Separador de milhares 7 3 5 25" xfId="22009" xr:uid="{00000000-0005-0000-0000-000046600000}"/>
    <cellStyle name="Separador de milhares 7 3 5 25 2" xfId="22010" xr:uid="{00000000-0005-0000-0000-000047600000}"/>
    <cellStyle name="Separador de milhares 7 3 5 25 2 2" xfId="30853" xr:uid="{70561357-0640-46BD-8684-C2EF12104091}"/>
    <cellStyle name="Separador de milhares 7 3 5 25 3" xfId="30852" xr:uid="{FC6CF96B-D7FB-4C4C-B3E7-8CA895ED333D}"/>
    <cellStyle name="Separador de milhares 7 3 5 26" xfId="22011" xr:uid="{00000000-0005-0000-0000-000048600000}"/>
    <cellStyle name="Separador de milhares 7 3 5 26 2" xfId="22012" xr:uid="{00000000-0005-0000-0000-000049600000}"/>
    <cellStyle name="Separador de milhares 7 3 5 26 2 2" xfId="30855" xr:uid="{4F46F2EE-FAB9-44EE-BCD4-37E0570FEDFF}"/>
    <cellStyle name="Separador de milhares 7 3 5 26 3" xfId="30854" xr:uid="{D9FC7AF7-F913-4501-9ED6-7DE458253474}"/>
    <cellStyle name="Separador de milhares 7 3 5 27" xfId="22013" xr:uid="{00000000-0005-0000-0000-00004A600000}"/>
    <cellStyle name="Separador de milhares 7 3 5 27 2" xfId="22014" xr:uid="{00000000-0005-0000-0000-00004B600000}"/>
    <cellStyle name="Separador de milhares 7 3 5 27 2 2" xfId="30857" xr:uid="{96D39109-9220-49FF-8B9C-F9CCE9A814D8}"/>
    <cellStyle name="Separador de milhares 7 3 5 27 3" xfId="30856" xr:uid="{092CE54F-C160-470A-9C63-CCE1B7E99C8B}"/>
    <cellStyle name="Separador de milhares 7 3 5 28" xfId="22015" xr:uid="{00000000-0005-0000-0000-00004C600000}"/>
    <cellStyle name="Separador de milhares 7 3 5 28 2" xfId="22016" xr:uid="{00000000-0005-0000-0000-00004D600000}"/>
    <cellStyle name="Separador de milhares 7 3 5 28 2 2" xfId="30859" xr:uid="{8F967292-6E6E-4B2C-9ABE-731D49002B21}"/>
    <cellStyle name="Separador de milhares 7 3 5 28 3" xfId="30858" xr:uid="{542A8DD5-C930-42FC-8EA8-46155440CB39}"/>
    <cellStyle name="Separador de milhares 7 3 5 29" xfId="22017" xr:uid="{00000000-0005-0000-0000-00004E600000}"/>
    <cellStyle name="Separador de milhares 7 3 5 29 2" xfId="22018" xr:uid="{00000000-0005-0000-0000-00004F600000}"/>
    <cellStyle name="Separador de milhares 7 3 5 29 2 2" xfId="30861" xr:uid="{BD9DA425-31FD-4190-8F52-BC700E399778}"/>
    <cellStyle name="Separador de milhares 7 3 5 29 3" xfId="30860" xr:uid="{12C3D8BE-772B-40C6-8372-1A8C88CDB3EC}"/>
    <cellStyle name="Separador de milhares 7 3 5 3" xfId="22019" xr:uid="{00000000-0005-0000-0000-000050600000}"/>
    <cellStyle name="Separador de milhares 7 3 5 3 2" xfId="22020" xr:uid="{00000000-0005-0000-0000-000051600000}"/>
    <cellStyle name="Separador de milhares 7 3 5 3 2 2" xfId="30863" xr:uid="{723DF78A-89A4-4F3A-A963-AA8D31A178A2}"/>
    <cellStyle name="Separador de milhares 7 3 5 3 3" xfId="30862" xr:uid="{B3F71979-7D07-42EB-B0BC-1975F1A60ED7}"/>
    <cellStyle name="Separador de milhares 7 3 5 30" xfId="22021" xr:uid="{00000000-0005-0000-0000-000052600000}"/>
    <cellStyle name="Separador de milhares 7 3 5 30 2" xfId="22022" xr:uid="{00000000-0005-0000-0000-000053600000}"/>
    <cellStyle name="Separador de milhares 7 3 5 30 2 2" xfId="30865" xr:uid="{93F09986-D8A0-40AE-A933-754CFC9EF9F8}"/>
    <cellStyle name="Separador de milhares 7 3 5 30 3" xfId="30864" xr:uid="{E7D678AC-1C33-44AC-B117-87BCAEDE7ADD}"/>
    <cellStyle name="Separador de milhares 7 3 5 31" xfId="22023" xr:uid="{00000000-0005-0000-0000-000054600000}"/>
    <cellStyle name="Separador de milhares 7 3 5 31 2" xfId="22024" xr:uid="{00000000-0005-0000-0000-000055600000}"/>
    <cellStyle name="Separador de milhares 7 3 5 31 2 2" xfId="30867" xr:uid="{8BC3116E-23EC-4B6B-ADD9-8C9FB5FCDA9A}"/>
    <cellStyle name="Separador de milhares 7 3 5 31 3" xfId="30866" xr:uid="{3465BBE6-043F-4787-9B5A-5D9904492353}"/>
    <cellStyle name="Separador de milhares 7 3 5 32" xfId="22025" xr:uid="{00000000-0005-0000-0000-000056600000}"/>
    <cellStyle name="Separador de milhares 7 3 5 32 2" xfId="22026" xr:uid="{00000000-0005-0000-0000-000057600000}"/>
    <cellStyle name="Separador de milhares 7 3 5 32 2 2" xfId="30869" xr:uid="{207DE436-1CE7-4E43-9E63-251C3A7A7A9D}"/>
    <cellStyle name="Separador de milhares 7 3 5 32 3" xfId="30868" xr:uid="{1FB558CD-A564-4DBE-A74A-B4B47011E151}"/>
    <cellStyle name="Separador de milhares 7 3 5 33" xfId="22027" xr:uid="{00000000-0005-0000-0000-000058600000}"/>
    <cellStyle name="Separador de milhares 7 3 5 33 2" xfId="22028" xr:uid="{00000000-0005-0000-0000-000059600000}"/>
    <cellStyle name="Separador de milhares 7 3 5 33 2 2" xfId="30871" xr:uid="{4AFDE338-3C01-458B-B6C0-BBB0F95E6105}"/>
    <cellStyle name="Separador de milhares 7 3 5 33 3" xfId="30870" xr:uid="{ACF384D9-AC7E-4795-8EFD-A3E7CDF9FB1D}"/>
    <cellStyle name="Separador de milhares 7 3 5 34" xfId="22029" xr:uid="{00000000-0005-0000-0000-00005A600000}"/>
    <cellStyle name="Separador de milhares 7 3 5 34 2" xfId="22030" xr:uid="{00000000-0005-0000-0000-00005B600000}"/>
    <cellStyle name="Separador de milhares 7 3 5 34 2 2" xfId="30873" xr:uid="{322B6961-1697-4732-906C-3B33A74CC2AE}"/>
    <cellStyle name="Separador de milhares 7 3 5 34 3" xfId="30872" xr:uid="{5ACCC914-B677-457B-8A4E-72576E232136}"/>
    <cellStyle name="Separador de milhares 7 3 5 35" xfId="22031" xr:uid="{00000000-0005-0000-0000-00005C600000}"/>
    <cellStyle name="Separador de milhares 7 3 5 35 2" xfId="30874" xr:uid="{BCA7B1D8-7E9E-45FD-8282-0F7FD44812A9}"/>
    <cellStyle name="Separador de milhares 7 3 5 4" xfId="22032" xr:uid="{00000000-0005-0000-0000-00005D600000}"/>
    <cellStyle name="Separador de milhares 7 3 5 4 2" xfId="22033" xr:uid="{00000000-0005-0000-0000-00005E600000}"/>
    <cellStyle name="Separador de milhares 7 3 5 4 2 2" xfId="30876" xr:uid="{797C0453-4D6B-4894-B849-810ABDDAEA5F}"/>
    <cellStyle name="Separador de milhares 7 3 5 4 3" xfId="30875" xr:uid="{4C971630-899D-4520-B74A-3716BBCDA50A}"/>
    <cellStyle name="Separador de milhares 7 3 5 5" xfId="22034" xr:uid="{00000000-0005-0000-0000-00005F600000}"/>
    <cellStyle name="Separador de milhares 7 3 5 5 2" xfId="22035" xr:uid="{00000000-0005-0000-0000-000060600000}"/>
    <cellStyle name="Separador de milhares 7 3 5 5 2 2" xfId="30878" xr:uid="{4F552A4B-FDC5-4540-9200-CD15B37E1913}"/>
    <cellStyle name="Separador de milhares 7 3 5 5 3" xfId="30877" xr:uid="{71340485-7E56-4EEB-9089-808E8FF4F6ED}"/>
    <cellStyle name="Separador de milhares 7 3 5 6" xfId="22036" xr:uid="{00000000-0005-0000-0000-000061600000}"/>
    <cellStyle name="Separador de milhares 7 3 5 6 2" xfId="22037" xr:uid="{00000000-0005-0000-0000-000062600000}"/>
    <cellStyle name="Separador de milhares 7 3 5 6 2 2" xfId="30880" xr:uid="{E509FF39-44DB-42B5-929D-570FD6EBF825}"/>
    <cellStyle name="Separador de milhares 7 3 5 6 3" xfId="30879" xr:uid="{2D9606C5-332A-4853-8377-F51C3A409FBF}"/>
    <cellStyle name="Separador de milhares 7 3 5 7" xfId="22038" xr:uid="{00000000-0005-0000-0000-000063600000}"/>
    <cellStyle name="Separador de milhares 7 3 5 7 2" xfId="22039" xr:uid="{00000000-0005-0000-0000-000064600000}"/>
    <cellStyle name="Separador de milhares 7 3 5 7 2 2" xfId="30882" xr:uid="{D15DA83F-E0A2-45A0-8F38-FD8757B8E402}"/>
    <cellStyle name="Separador de milhares 7 3 5 7 3" xfId="30881" xr:uid="{8304632D-059B-48EA-BB01-9088CEBBF0E2}"/>
    <cellStyle name="Separador de milhares 7 3 5 8" xfId="22040" xr:uid="{00000000-0005-0000-0000-000065600000}"/>
    <cellStyle name="Separador de milhares 7 3 5 8 2" xfId="22041" xr:uid="{00000000-0005-0000-0000-000066600000}"/>
    <cellStyle name="Separador de milhares 7 3 5 8 2 2" xfId="30884" xr:uid="{4830DDD9-1B7B-45D8-9369-5864BEF61658}"/>
    <cellStyle name="Separador de milhares 7 3 5 8 3" xfId="30883" xr:uid="{20F3960C-1228-4301-8E9F-53E6F08DA91E}"/>
    <cellStyle name="Separador de milhares 7 3 5 9" xfId="22042" xr:uid="{00000000-0005-0000-0000-000067600000}"/>
    <cellStyle name="Separador de milhares 7 3 5 9 2" xfId="22043" xr:uid="{00000000-0005-0000-0000-000068600000}"/>
    <cellStyle name="Separador de milhares 7 3 5 9 2 2" xfId="30886" xr:uid="{FC461667-6C78-4790-BE32-DFD8A4828A87}"/>
    <cellStyle name="Separador de milhares 7 3 5 9 3" xfId="30885" xr:uid="{22543FD6-CB11-4319-B8FC-A38C50C36D92}"/>
    <cellStyle name="Separador de milhares 7 3 50" xfId="22044" xr:uid="{00000000-0005-0000-0000-000069600000}"/>
    <cellStyle name="Separador de milhares 7 3 50 2" xfId="22045" xr:uid="{00000000-0005-0000-0000-00006A600000}"/>
    <cellStyle name="Separador de milhares 7 3 50 2 2" xfId="30888" xr:uid="{08A1B7A7-C6D9-4AD8-A453-725A3772527F}"/>
    <cellStyle name="Separador de milhares 7 3 50 3" xfId="30887" xr:uid="{92C1401E-98D5-4A7B-A994-B86D1DD52E56}"/>
    <cellStyle name="Separador de milhares 7 3 51" xfId="22046" xr:uid="{00000000-0005-0000-0000-00006B600000}"/>
    <cellStyle name="Separador de milhares 7 3 51 2" xfId="30889" xr:uid="{D6055E8E-F1CA-44C4-AE56-A25476582D5D}"/>
    <cellStyle name="Separador de milhares 7 3 52" xfId="21317" xr:uid="{00000000-0005-0000-0000-00006C600000}"/>
    <cellStyle name="Separador de milhares 7 3 53" xfId="28073" xr:uid="{7F33E995-2629-4BA6-9578-8D92D1932074}"/>
    <cellStyle name="Separador de milhares 7 3 6" xfId="22047" xr:uid="{00000000-0005-0000-0000-00006D600000}"/>
    <cellStyle name="Separador de milhares 7 3 6 2" xfId="22048" xr:uid="{00000000-0005-0000-0000-00006E600000}"/>
    <cellStyle name="Separador de milhares 7 3 6 2 2" xfId="22049" xr:uid="{00000000-0005-0000-0000-00006F600000}"/>
    <cellStyle name="Separador de milhares 7 3 6 2 2 2" xfId="30891" xr:uid="{8B709C5B-78D9-4FD6-A0DB-35711A48ADC9}"/>
    <cellStyle name="Separador de milhares 7 3 6 2 3" xfId="30890" xr:uid="{4D1B0C4B-8F32-4D2F-8C19-6560CBD6D90A}"/>
    <cellStyle name="Separador de milhares 7 3 6 3" xfId="22050" xr:uid="{00000000-0005-0000-0000-000070600000}"/>
    <cellStyle name="Separador de milhares 7 3 6 3 2" xfId="22051" xr:uid="{00000000-0005-0000-0000-000071600000}"/>
    <cellStyle name="Separador de milhares 7 3 6 3 2 2" xfId="30893" xr:uid="{2086CE44-8696-4E72-9AD2-578BC6764AD7}"/>
    <cellStyle name="Separador de milhares 7 3 6 3 3" xfId="30892" xr:uid="{FD55557A-E3A3-4076-8730-252D01B736D4}"/>
    <cellStyle name="Separador de milhares 7 3 6 4" xfId="22052" xr:uid="{00000000-0005-0000-0000-000072600000}"/>
    <cellStyle name="Separador de milhares 7 3 6 4 2" xfId="22053" xr:uid="{00000000-0005-0000-0000-000073600000}"/>
    <cellStyle name="Separador de milhares 7 3 6 4 2 2" xfId="30895" xr:uid="{479AD02E-AFC5-41B9-B7A0-7C00AA2B5F50}"/>
    <cellStyle name="Separador de milhares 7 3 6 4 3" xfId="30894" xr:uid="{5C9A2D5F-AA12-4BF0-9AEE-C880DE6368C5}"/>
    <cellStyle name="Separador de milhares 7 3 6 5" xfId="22054" xr:uid="{00000000-0005-0000-0000-000074600000}"/>
    <cellStyle name="Separador de milhares 7 3 6 5 2" xfId="22055" xr:uid="{00000000-0005-0000-0000-000075600000}"/>
    <cellStyle name="Separador de milhares 7 3 6 5 2 2" xfId="30897" xr:uid="{47A3009B-265C-4553-9927-C6CACEF27936}"/>
    <cellStyle name="Separador de milhares 7 3 6 5 3" xfId="30896" xr:uid="{BB1701AA-A3E0-4F51-A82E-11FBF3541CA7}"/>
    <cellStyle name="Separador de milhares 7 3 6 6" xfId="22056" xr:uid="{00000000-0005-0000-0000-000076600000}"/>
    <cellStyle name="Separador de milhares 7 3 6 6 2" xfId="30898" xr:uid="{327AD57F-0F02-415B-8307-B6F5549C0C73}"/>
    <cellStyle name="Separador de milhares 7 3 7" xfId="22057" xr:uid="{00000000-0005-0000-0000-000077600000}"/>
    <cellStyle name="Separador de milhares 7 3 7 2" xfId="22058" xr:uid="{00000000-0005-0000-0000-000078600000}"/>
    <cellStyle name="Separador de milhares 7 3 7 2 2" xfId="22059" xr:uid="{00000000-0005-0000-0000-000079600000}"/>
    <cellStyle name="Separador de milhares 7 3 7 2 2 2" xfId="30900" xr:uid="{005E9818-0C1D-440B-B8B0-A5B88241847B}"/>
    <cellStyle name="Separador de milhares 7 3 7 2 3" xfId="30899" xr:uid="{5EE1015F-7504-4AFB-8E5F-EC6877EBA431}"/>
    <cellStyle name="Separador de milhares 7 3 7 3" xfId="22060" xr:uid="{00000000-0005-0000-0000-00007A600000}"/>
    <cellStyle name="Separador de milhares 7 3 7 3 2" xfId="22061" xr:uid="{00000000-0005-0000-0000-00007B600000}"/>
    <cellStyle name="Separador de milhares 7 3 7 3 2 2" xfId="30902" xr:uid="{F43C9547-74DB-4C9B-B8F4-DE5867CBD833}"/>
    <cellStyle name="Separador de milhares 7 3 7 3 3" xfId="30901" xr:uid="{1DBC4F83-38E3-48CD-B5D5-B9F0EC77A926}"/>
    <cellStyle name="Separador de milhares 7 3 7 4" xfId="22062" xr:uid="{00000000-0005-0000-0000-00007C600000}"/>
    <cellStyle name="Separador de milhares 7 3 7 4 2" xfId="22063" xr:uid="{00000000-0005-0000-0000-00007D600000}"/>
    <cellStyle name="Separador de milhares 7 3 7 4 2 2" xfId="30904" xr:uid="{3A31D509-2DFC-4A99-A7E4-F89C4B603A1B}"/>
    <cellStyle name="Separador de milhares 7 3 7 4 3" xfId="30903" xr:uid="{35697F31-F801-48C6-A715-1454733E181A}"/>
    <cellStyle name="Separador de milhares 7 3 7 5" xfId="22064" xr:uid="{00000000-0005-0000-0000-00007E600000}"/>
    <cellStyle name="Separador de milhares 7 3 7 5 2" xfId="22065" xr:uid="{00000000-0005-0000-0000-00007F600000}"/>
    <cellStyle name="Separador de milhares 7 3 7 5 2 2" xfId="30906" xr:uid="{B033DBDF-EE70-4F7A-9624-3644A12D4515}"/>
    <cellStyle name="Separador de milhares 7 3 7 5 3" xfId="30905" xr:uid="{8EB8BBFF-5925-4895-86E9-212B14B36FC4}"/>
    <cellStyle name="Separador de milhares 7 3 7 6" xfId="22066" xr:uid="{00000000-0005-0000-0000-000080600000}"/>
    <cellStyle name="Separador de milhares 7 3 7 6 2" xfId="30907" xr:uid="{62EABCE3-A38E-4A5A-8FF0-5267A4789AF7}"/>
    <cellStyle name="Separador de milhares 7 3 8" xfId="22067" xr:uid="{00000000-0005-0000-0000-000081600000}"/>
    <cellStyle name="Separador de milhares 7 3 8 2" xfId="22068" xr:uid="{00000000-0005-0000-0000-000082600000}"/>
    <cellStyle name="Separador de milhares 7 3 8 2 2" xfId="30908" xr:uid="{38DC157B-082A-4003-BBBD-F657E0ABDB0A}"/>
    <cellStyle name="Separador de milhares 7 3 9" xfId="22069" xr:uid="{00000000-0005-0000-0000-000083600000}"/>
    <cellStyle name="Separador de milhares 7 3 9 2" xfId="22070" xr:uid="{00000000-0005-0000-0000-000084600000}"/>
    <cellStyle name="Separador de milhares 7 3 9 2 2" xfId="30909" xr:uid="{7CBA9024-9043-4249-8573-C33B9D65A9D4}"/>
    <cellStyle name="Separador de milhares 7 30" xfId="22071" xr:uid="{00000000-0005-0000-0000-000085600000}"/>
    <cellStyle name="Separador de milhares 7 30 2" xfId="22072" xr:uid="{00000000-0005-0000-0000-000086600000}"/>
    <cellStyle name="Separador de milhares 7 30 2 2" xfId="30911" xr:uid="{032DFC49-E38C-4950-9E4B-353F1655DB2D}"/>
    <cellStyle name="Separador de milhares 7 30 3" xfId="30910" xr:uid="{466C94CC-89F7-4DA5-80F1-F2B0C949DBE7}"/>
    <cellStyle name="Separador de milhares 7 31" xfId="22073" xr:uid="{00000000-0005-0000-0000-000087600000}"/>
    <cellStyle name="Separador de milhares 7 31 2" xfId="22074" xr:uid="{00000000-0005-0000-0000-000088600000}"/>
    <cellStyle name="Separador de milhares 7 31 2 2" xfId="30913" xr:uid="{7F7B66F8-DC4B-403C-AAD8-A9E8B66605A3}"/>
    <cellStyle name="Separador de milhares 7 31 3" xfId="30912" xr:uid="{1BF85C65-B2A8-4254-93F3-C80DD6602DBC}"/>
    <cellStyle name="Separador de milhares 7 32" xfId="22075" xr:uid="{00000000-0005-0000-0000-000089600000}"/>
    <cellStyle name="Separador de milhares 7 32 2" xfId="22076" xr:uid="{00000000-0005-0000-0000-00008A600000}"/>
    <cellStyle name="Separador de milhares 7 32 2 2" xfId="30915" xr:uid="{F22C02DB-D24F-42A4-9B40-CE43CC0058ED}"/>
    <cellStyle name="Separador de milhares 7 32 3" xfId="30914" xr:uid="{9A5BFE14-7DB7-412D-925C-5181808D06FB}"/>
    <cellStyle name="Separador de milhares 7 33" xfId="22077" xr:uid="{00000000-0005-0000-0000-00008B600000}"/>
    <cellStyle name="Separador de milhares 7 33 2" xfId="22078" xr:uid="{00000000-0005-0000-0000-00008C600000}"/>
    <cellStyle name="Separador de milhares 7 33 2 2" xfId="30917" xr:uid="{2224AFFE-5523-4051-BFFD-EF950B46CF0E}"/>
    <cellStyle name="Separador de milhares 7 33 3" xfId="30916" xr:uid="{FB0AC7D7-561E-41AB-9CDC-0E58FCB4DB88}"/>
    <cellStyle name="Separador de milhares 7 34" xfId="22079" xr:uid="{00000000-0005-0000-0000-00008D600000}"/>
    <cellStyle name="Separador de milhares 7 34 2" xfId="22080" xr:uid="{00000000-0005-0000-0000-00008E600000}"/>
    <cellStyle name="Separador de milhares 7 34 2 2" xfId="30919" xr:uid="{9A2F59A2-C3F6-4519-A795-5AC98B6F97C9}"/>
    <cellStyle name="Separador de milhares 7 34 3" xfId="30918" xr:uid="{703C120C-A969-4130-B917-49807418767C}"/>
    <cellStyle name="Separador de milhares 7 35" xfId="22081" xr:uid="{00000000-0005-0000-0000-00008F600000}"/>
    <cellStyle name="Separador de milhares 7 35 2" xfId="22082" xr:uid="{00000000-0005-0000-0000-000090600000}"/>
    <cellStyle name="Separador de milhares 7 35 2 2" xfId="30921" xr:uid="{783E5FB9-DBB7-47A1-BD19-90C2F777BB5B}"/>
    <cellStyle name="Separador de milhares 7 35 3" xfId="30920" xr:uid="{9B2149AE-CE0C-4D26-8F25-43FB9FAC5374}"/>
    <cellStyle name="Separador de milhares 7 36" xfId="22083" xr:uid="{00000000-0005-0000-0000-000091600000}"/>
    <cellStyle name="Separador de milhares 7 36 2" xfId="22084" xr:uid="{00000000-0005-0000-0000-000092600000}"/>
    <cellStyle name="Separador de milhares 7 36 2 2" xfId="30923" xr:uid="{D81E2C52-4F7E-4024-9853-BAFD46561C5E}"/>
    <cellStyle name="Separador de milhares 7 36 3" xfId="30922" xr:uid="{6B6B1CAE-C0AF-4F2F-8981-E23F466D1A01}"/>
    <cellStyle name="Separador de milhares 7 37" xfId="22085" xr:uid="{00000000-0005-0000-0000-000093600000}"/>
    <cellStyle name="Separador de milhares 7 37 2" xfId="22086" xr:uid="{00000000-0005-0000-0000-000094600000}"/>
    <cellStyle name="Separador de milhares 7 37 2 2" xfId="30925" xr:uid="{70EE9A8F-5CBA-432E-B90A-755B84F2624A}"/>
    <cellStyle name="Separador de milhares 7 37 3" xfId="30924" xr:uid="{330B68EE-56D8-4A54-8074-51DA0D691098}"/>
    <cellStyle name="Separador de milhares 7 38" xfId="22087" xr:uid="{00000000-0005-0000-0000-000095600000}"/>
    <cellStyle name="Separador de milhares 7 38 2" xfId="22088" xr:uid="{00000000-0005-0000-0000-000096600000}"/>
    <cellStyle name="Separador de milhares 7 38 2 2" xfId="30927" xr:uid="{545B21C3-5D6A-4CF8-A145-649DE4D125E1}"/>
    <cellStyle name="Separador de milhares 7 38 3" xfId="30926" xr:uid="{BFF66A6E-0B5F-41B4-B643-90253EF191DD}"/>
    <cellStyle name="Separador de milhares 7 39" xfId="22089" xr:uid="{00000000-0005-0000-0000-000097600000}"/>
    <cellStyle name="Separador de milhares 7 39 2" xfId="22090" xr:uid="{00000000-0005-0000-0000-000098600000}"/>
    <cellStyle name="Separador de milhares 7 39 2 2" xfId="30929" xr:uid="{FE461E8A-3D8F-4415-B464-CAA521F8D2E7}"/>
    <cellStyle name="Separador de milhares 7 39 3" xfId="30928" xr:uid="{E2581FAB-5078-472E-B526-5680D54B2EFD}"/>
    <cellStyle name="Separador de milhares 7 4" xfId="849" xr:uid="{00000000-0005-0000-0000-000099600000}"/>
    <cellStyle name="Separador de milhares 7 4 10" xfId="22092" xr:uid="{00000000-0005-0000-0000-00009A600000}"/>
    <cellStyle name="Separador de milhares 7 4 10 2" xfId="22093" xr:uid="{00000000-0005-0000-0000-00009B600000}"/>
    <cellStyle name="Separador de milhares 7 4 10 2 2" xfId="30930" xr:uid="{42EFB278-D8ED-4161-B424-FBCA40AAFD52}"/>
    <cellStyle name="Separador de milhares 7 4 11" xfId="22094" xr:uid="{00000000-0005-0000-0000-00009C600000}"/>
    <cellStyle name="Separador de milhares 7 4 11 2" xfId="22095" xr:uid="{00000000-0005-0000-0000-00009D600000}"/>
    <cellStyle name="Separador de milhares 7 4 11 2 2" xfId="30932" xr:uid="{D18CFB12-F4DD-4D28-9C25-8E6FFBF04ABB}"/>
    <cellStyle name="Separador de milhares 7 4 11 3" xfId="30931" xr:uid="{8E9C2A8E-9F20-46F5-BAF1-45C199F8564C}"/>
    <cellStyle name="Separador de milhares 7 4 12" xfId="22096" xr:uid="{00000000-0005-0000-0000-00009E600000}"/>
    <cellStyle name="Separador de milhares 7 4 12 2" xfId="22097" xr:uid="{00000000-0005-0000-0000-00009F600000}"/>
    <cellStyle name="Separador de milhares 7 4 12 2 2" xfId="30934" xr:uid="{499A1DD7-A90B-4BBE-A05C-3B04BA57AF8E}"/>
    <cellStyle name="Separador de milhares 7 4 12 3" xfId="30933" xr:uid="{4D551544-7487-4435-BD6C-21604F74EB01}"/>
    <cellStyle name="Separador de milhares 7 4 13" xfId="22098" xr:uid="{00000000-0005-0000-0000-0000A0600000}"/>
    <cellStyle name="Separador de milhares 7 4 13 2" xfId="22099" xr:uid="{00000000-0005-0000-0000-0000A1600000}"/>
    <cellStyle name="Separador de milhares 7 4 13 2 2" xfId="30936" xr:uid="{B1D480F9-55EE-43D7-8F81-0AC34073CA72}"/>
    <cellStyle name="Separador de milhares 7 4 13 3" xfId="30935" xr:uid="{CA53B078-23A2-4DCB-8280-1AAD6A42E15A}"/>
    <cellStyle name="Separador de milhares 7 4 14" xfId="22100" xr:uid="{00000000-0005-0000-0000-0000A2600000}"/>
    <cellStyle name="Separador de milhares 7 4 14 2" xfId="22101" xr:uid="{00000000-0005-0000-0000-0000A3600000}"/>
    <cellStyle name="Separador de milhares 7 4 14 2 2" xfId="30938" xr:uid="{81111790-89F1-4439-B4F9-E3079D282E2B}"/>
    <cellStyle name="Separador de milhares 7 4 14 3" xfId="30937" xr:uid="{A3356B86-E957-47DF-AA7F-704F14892B73}"/>
    <cellStyle name="Separador de milhares 7 4 15" xfId="22102" xr:uid="{00000000-0005-0000-0000-0000A4600000}"/>
    <cellStyle name="Separador de milhares 7 4 15 2" xfId="22103" xr:uid="{00000000-0005-0000-0000-0000A5600000}"/>
    <cellStyle name="Separador de milhares 7 4 15 2 2" xfId="30940" xr:uid="{580947E2-1233-40E6-B1AA-E69ABAA179E8}"/>
    <cellStyle name="Separador de milhares 7 4 15 3" xfId="30939" xr:uid="{29718CD0-DCC9-4F37-8982-811A50804421}"/>
    <cellStyle name="Separador de milhares 7 4 16" xfId="22104" xr:uid="{00000000-0005-0000-0000-0000A6600000}"/>
    <cellStyle name="Separador de milhares 7 4 16 2" xfId="22105" xr:uid="{00000000-0005-0000-0000-0000A7600000}"/>
    <cellStyle name="Separador de milhares 7 4 16 2 2" xfId="30942" xr:uid="{E125A1FF-E75A-41E5-8F71-3385D6795EF5}"/>
    <cellStyle name="Separador de milhares 7 4 16 3" xfId="30941" xr:uid="{69A3A8A2-1E42-440C-8E02-D84A0F5575C1}"/>
    <cellStyle name="Separador de milhares 7 4 17" xfId="22106" xr:uid="{00000000-0005-0000-0000-0000A8600000}"/>
    <cellStyle name="Separador de milhares 7 4 17 2" xfId="22107" xr:uid="{00000000-0005-0000-0000-0000A9600000}"/>
    <cellStyle name="Separador de milhares 7 4 17 2 2" xfId="30944" xr:uid="{B1C1DF6F-A77C-429A-B792-58F8719639CA}"/>
    <cellStyle name="Separador de milhares 7 4 17 3" xfId="30943" xr:uid="{EB71A77E-885F-4036-B608-DD34E69022BB}"/>
    <cellStyle name="Separador de milhares 7 4 18" xfId="22108" xr:uid="{00000000-0005-0000-0000-0000AA600000}"/>
    <cellStyle name="Separador de milhares 7 4 18 2" xfId="22109" xr:uid="{00000000-0005-0000-0000-0000AB600000}"/>
    <cellStyle name="Separador de milhares 7 4 18 2 2" xfId="30946" xr:uid="{FD945907-CE53-428B-BB51-0A67D16B699F}"/>
    <cellStyle name="Separador de milhares 7 4 18 3" xfId="30945" xr:uid="{66B92CBB-3C3D-4220-AA1D-F26FAA67B54E}"/>
    <cellStyle name="Separador de milhares 7 4 19" xfId="22110" xr:uid="{00000000-0005-0000-0000-0000AC600000}"/>
    <cellStyle name="Separador de milhares 7 4 19 2" xfId="22111" xr:uid="{00000000-0005-0000-0000-0000AD600000}"/>
    <cellStyle name="Separador de milhares 7 4 19 2 2" xfId="30948" xr:uid="{31850ABD-1365-43FA-9E29-84DC183334DB}"/>
    <cellStyle name="Separador de milhares 7 4 19 3" xfId="30947" xr:uid="{D4661ED8-357C-4BE4-B4EA-B944D128CC9F}"/>
    <cellStyle name="Separador de milhares 7 4 2" xfId="850" xr:uid="{00000000-0005-0000-0000-0000AE600000}"/>
    <cellStyle name="Separador de milhares 7 4 2 10" xfId="22113" xr:uid="{00000000-0005-0000-0000-0000AF600000}"/>
    <cellStyle name="Separador de milhares 7 4 2 10 2" xfId="22114" xr:uid="{00000000-0005-0000-0000-0000B0600000}"/>
    <cellStyle name="Separador de milhares 7 4 2 10 2 2" xfId="30950" xr:uid="{AF163BAB-6E0B-49A2-A422-6F21738A21AA}"/>
    <cellStyle name="Separador de milhares 7 4 2 10 3" xfId="30949" xr:uid="{06440A8C-A2D3-4EC8-9E54-B5BDC2A24626}"/>
    <cellStyle name="Separador de milhares 7 4 2 11" xfId="22115" xr:uid="{00000000-0005-0000-0000-0000B1600000}"/>
    <cellStyle name="Separador de milhares 7 4 2 11 2" xfId="22116" xr:uid="{00000000-0005-0000-0000-0000B2600000}"/>
    <cellStyle name="Separador de milhares 7 4 2 11 2 2" xfId="30952" xr:uid="{EC26C82F-E28E-4F20-BB73-2F3B2B4859C1}"/>
    <cellStyle name="Separador de milhares 7 4 2 11 3" xfId="30951" xr:uid="{FB4B8654-5228-4DB6-B206-4CAE744AB4BF}"/>
    <cellStyle name="Separador de milhares 7 4 2 12" xfId="22117" xr:uid="{00000000-0005-0000-0000-0000B3600000}"/>
    <cellStyle name="Separador de milhares 7 4 2 12 2" xfId="22118" xr:uid="{00000000-0005-0000-0000-0000B4600000}"/>
    <cellStyle name="Separador de milhares 7 4 2 12 2 2" xfId="30954" xr:uid="{DED58C7A-E308-4267-B1B9-80DFB995F779}"/>
    <cellStyle name="Separador de milhares 7 4 2 12 3" xfId="30953" xr:uid="{3D92D527-22AF-433C-BA03-81C714D8B5DF}"/>
    <cellStyle name="Separador de milhares 7 4 2 13" xfId="22119" xr:uid="{00000000-0005-0000-0000-0000B5600000}"/>
    <cellStyle name="Separador de milhares 7 4 2 13 2" xfId="22120" xr:uid="{00000000-0005-0000-0000-0000B6600000}"/>
    <cellStyle name="Separador de milhares 7 4 2 13 2 2" xfId="30956" xr:uid="{98E49F86-7448-4E4D-A912-47B190E04E83}"/>
    <cellStyle name="Separador de milhares 7 4 2 13 3" xfId="30955" xr:uid="{71CD9697-E791-4196-BB77-C3FBC103BF76}"/>
    <cellStyle name="Separador de milhares 7 4 2 14" xfId="22121" xr:uid="{00000000-0005-0000-0000-0000B7600000}"/>
    <cellStyle name="Separador de milhares 7 4 2 14 2" xfId="22122" xr:uid="{00000000-0005-0000-0000-0000B8600000}"/>
    <cellStyle name="Separador de milhares 7 4 2 14 2 2" xfId="30958" xr:uid="{A5C6E407-B94B-415B-A422-B46C2CAFB52C}"/>
    <cellStyle name="Separador de milhares 7 4 2 14 3" xfId="30957" xr:uid="{59508D7A-A8DC-4914-9307-7F7D81F046AD}"/>
    <cellStyle name="Separador de milhares 7 4 2 15" xfId="22123" xr:uid="{00000000-0005-0000-0000-0000B9600000}"/>
    <cellStyle name="Separador de milhares 7 4 2 15 2" xfId="22124" xr:uid="{00000000-0005-0000-0000-0000BA600000}"/>
    <cellStyle name="Separador de milhares 7 4 2 15 2 2" xfId="30960" xr:uid="{C2BAA7C5-CBDE-4927-AE8E-A90F05B34BC5}"/>
    <cellStyle name="Separador de milhares 7 4 2 15 3" xfId="30959" xr:uid="{13454A49-F92F-4828-8FC4-8820F9C127DF}"/>
    <cellStyle name="Separador de milhares 7 4 2 16" xfId="22125" xr:uid="{00000000-0005-0000-0000-0000BB600000}"/>
    <cellStyle name="Separador de milhares 7 4 2 16 2" xfId="22126" xr:uid="{00000000-0005-0000-0000-0000BC600000}"/>
    <cellStyle name="Separador de milhares 7 4 2 16 2 2" xfId="30962" xr:uid="{64D499BF-6717-4012-8F44-1FA56C94F9A7}"/>
    <cellStyle name="Separador de milhares 7 4 2 16 3" xfId="30961" xr:uid="{B2DDCEF6-43C9-4117-BE12-AD626D488EA3}"/>
    <cellStyle name="Separador de milhares 7 4 2 17" xfId="22127" xr:uid="{00000000-0005-0000-0000-0000BD600000}"/>
    <cellStyle name="Separador de milhares 7 4 2 17 2" xfId="22128" xr:uid="{00000000-0005-0000-0000-0000BE600000}"/>
    <cellStyle name="Separador de milhares 7 4 2 17 2 2" xfId="30964" xr:uid="{10A804DF-DADC-48E1-A419-8CAA0EFD8AAC}"/>
    <cellStyle name="Separador de milhares 7 4 2 17 3" xfId="30963" xr:uid="{84ACFC1D-C9D8-4A42-83BE-4C43FC397E0C}"/>
    <cellStyle name="Separador de milhares 7 4 2 18" xfId="22129" xr:uid="{00000000-0005-0000-0000-0000BF600000}"/>
    <cellStyle name="Separador de milhares 7 4 2 18 2" xfId="22130" xr:uid="{00000000-0005-0000-0000-0000C0600000}"/>
    <cellStyle name="Separador de milhares 7 4 2 18 2 2" xfId="30966" xr:uid="{C015DAD6-8769-4944-A261-F03C4187F263}"/>
    <cellStyle name="Separador de milhares 7 4 2 18 3" xfId="30965" xr:uid="{ED9EDA06-B35B-4128-BFB7-54FC24CB74C1}"/>
    <cellStyle name="Separador de milhares 7 4 2 19" xfId="22131" xr:uid="{00000000-0005-0000-0000-0000C1600000}"/>
    <cellStyle name="Separador de milhares 7 4 2 19 2" xfId="22132" xr:uid="{00000000-0005-0000-0000-0000C2600000}"/>
    <cellStyle name="Separador de milhares 7 4 2 19 2 2" xfId="30968" xr:uid="{AA7A8C90-7DDC-41CB-9B00-2E6C2DB0B1E6}"/>
    <cellStyle name="Separador de milhares 7 4 2 19 3" xfId="30967" xr:uid="{9A82AB51-5AAA-4FCB-BBF0-C8E4CD498386}"/>
    <cellStyle name="Separador de milhares 7 4 2 2" xfId="851" xr:uid="{00000000-0005-0000-0000-0000C3600000}"/>
    <cellStyle name="Separador de milhares 7 4 2 2 10" xfId="22134" xr:uid="{00000000-0005-0000-0000-0000C4600000}"/>
    <cellStyle name="Separador de milhares 7 4 2 2 10 2" xfId="22135" xr:uid="{00000000-0005-0000-0000-0000C5600000}"/>
    <cellStyle name="Separador de milhares 7 4 2 2 10 2 2" xfId="30971" xr:uid="{D7F6CD79-8482-4836-AC42-0624B4D215A4}"/>
    <cellStyle name="Separador de milhares 7 4 2 2 10 3" xfId="30970" xr:uid="{06046686-F1FB-4208-AD3D-334498561C74}"/>
    <cellStyle name="Separador de milhares 7 4 2 2 11" xfId="22136" xr:uid="{00000000-0005-0000-0000-0000C6600000}"/>
    <cellStyle name="Separador de milhares 7 4 2 2 11 2" xfId="22137" xr:uid="{00000000-0005-0000-0000-0000C7600000}"/>
    <cellStyle name="Separador de milhares 7 4 2 2 11 2 2" xfId="30973" xr:uid="{DD307529-219A-4E0D-9CC5-3496BB9070ED}"/>
    <cellStyle name="Separador de milhares 7 4 2 2 11 3" xfId="30972" xr:uid="{BF384937-29E5-4FFE-A5D0-0EBC38D9412C}"/>
    <cellStyle name="Separador de milhares 7 4 2 2 12" xfId="22138" xr:uid="{00000000-0005-0000-0000-0000C8600000}"/>
    <cellStyle name="Separador de milhares 7 4 2 2 12 2" xfId="22139" xr:uid="{00000000-0005-0000-0000-0000C9600000}"/>
    <cellStyle name="Separador de milhares 7 4 2 2 12 2 2" xfId="30975" xr:uid="{48028E58-A42C-4C3E-8572-8276AAF3D58C}"/>
    <cellStyle name="Separador de milhares 7 4 2 2 12 3" xfId="30974" xr:uid="{3115CCEB-67F4-4416-8AEB-DEEA6ADF9163}"/>
    <cellStyle name="Separador de milhares 7 4 2 2 13" xfId="22140" xr:uid="{00000000-0005-0000-0000-0000CA600000}"/>
    <cellStyle name="Separador de milhares 7 4 2 2 13 2" xfId="22141" xr:uid="{00000000-0005-0000-0000-0000CB600000}"/>
    <cellStyle name="Separador de milhares 7 4 2 2 13 2 2" xfId="30977" xr:uid="{798E7F0A-A9BA-4F40-90BC-39CC8A8A13F8}"/>
    <cellStyle name="Separador de milhares 7 4 2 2 13 3" xfId="30976" xr:uid="{E1F6C5EB-948C-4357-A017-B53774F88A21}"/>
    <cellStyle name="Separador de milhares 7 4 2 2 14" xfId="22142" xr:uid="{00000000-0005-0000-0000-0000CC600000}"/>
    <cellStyle name="Separador de milhares 7 4 2 2 14 2" xfId="22143" xr:uid="{00000000-0005-0000-0000-0000CD600000}"/>
    <cellStyle name="Separador de milhares 7 4 2 2 14 2 2" xfId="30979" xr:uid="{A0D4C27A-9EC7-4D24-9EBA-3EBF2CBE19B6}"/>
    <cellStyle name="Separador de milhares 7 4 2 2 14 3" xfId="30978" xr:uid="{157C665F-A856-49AD-ABC8-3C62B2506364}"/>
    <cellStyle name="Separador de milhares 7 4 2 2 15" xfId="22144" xr:uid="{00000000-0005-0000-0000-0000CE600000}"/>
    <cellStyle name="Separador de milhares 7 4 2 2 15 2" xfId="22145" xr:uid="{00000000-0005-0000-0000-0000CF600000}"/>
    <cellStyle name="Separador de milhares 7 4 2 2 15 2 2" xfId="30981" xr:uid="{EDFC1C40-8F82-491D-B20A-DE43A0BAD10A}"/>
    <cellStyle name="Separador de milhares 7 4 2 2 15 3" xfId="30980" xr:uid="{F21B1C55-39A6-49F9-8B4B-08568D325A41}"/>
    <cellStyle name="Separador de milhares 7 4 2 2 16" xfId="22146" xr:uid="{00000000-0005-0000-0000-0000D0600000}"/>
    <cellStyle name="Separador de milhares 7 4 2 2 16 2" xfId="22147" xr:uid="{00000000-0005-0000-0000-0000D1600000}"/>
    <cellStyle name="Separador de milhares 7 4 2 2 16 2 2" xfId="30983" xr:uid="{5750826F-D014-4282-B2A1-3218308562AC}"/>
    <cellStyle name="Separador de milhares 7 4 2 2 16 3" xfId="30982" xr:uid="{6A885A52-DA88-46DB-A3F1-537E5FD190B0}"/>
    <cellStyle name="Separador de milhares 7 4 2 2 17" xfId="22148" xr:uid="{00000000-0005-0000-0000-0000D2600000}"/>
    <cellStyle name="Separador de milhares 7 4 2 2 17 2" xfId="22149" xr:uid="{00000000-0005-0000-0000-0000D3600000}"/>
    <cellStyle name="Separador de milhares 7 4 2 2 17 2 2" xfId="30985" xr:uid="{29CFB687-D208-4E03-85E3-533950C76352}"/>
    <cellStyle name="Separador de milhares 7 4 2 2 17 3" xfId="30984" xr:uid="{8DC28955-B922-4A81-B1A6-E03DF1FF2C99}"/>
    <cellStyle name="Separador de milhares 7 4 2 2 18" xfId="22150" xr:uid="{00000000-0005-0000-0000-0000D4600000}"/>
    <cellStyle name="Separador de milhares 7 4 2 2 18 2" xfId="22151" xr:uid="{00000000-0005-0000-0000-0000D5600000}"/>
    <cellStyle name="Separador de milhares 7 4 2 2 18 2 2" xfId="30987" xr:uid="{AADEC8AE-4659-46EB-865B-6EA386904421}"/>
    <cellStyle name="Separador de milhares 7 4 2 2 18 3" xfId="30986" xr:uid="{3285F46F-D107-43B0-ABF5-622AC6F635A4}"/>
    <cellStyle name="Separador de milhares 7 4 2 2 19" xfId="22152" xr:uid="{00000000-0005-0000-0000-0000D6600000}"/>
    <cellStyle name="Separador de milhares 7 4 2 2 19 2" xfId="22153" xr:uid="{00000000-0005-0000-0000-0000D7600000}"/>
    <cellStyle name="Separador de milhares 7 4 2 2 19 2 2" xfId="30989" xr:uid="{835BF6BF-0F8F-4B6F-A2A2-F89015057979}"/>
    <cellStyle name="Separador de milhares 7 4 2 2 19 3" xfId="30988" xr:uid="{1DA20D19-2DF9-4085-8113-CC6AD2C94431}"/>
    <cellStyle name="Separador de milhares 7 4 2 2 2" xfId="22154" xr:uid="{00000000-0005-0000-0000-0000D8600000}"/>
    <cellStyle name="Separador de milhares 7 4 2 2 2 2" xfId="22155" xr:uid="{00000000-0005-0000-0000-0000D9600000}"/>
    <cellStyle name="Separador de milhares 7 4 2 2 2 2 2" xfId="30991" xr:uid="{265E9F67-7D06-41F2-8911-53539128FCD4}"/>
    <cellStyle name="Separador de milhares 7 4 2 2 2 3" xfId="30990" xr:uid="{E045FEA2-E957-4A06-BFA6-130D04340F73}"/>
    <cellStyle name="Separador de milhares 7 4 2 2 20" xfId="22156" xr:uid="{00000000-0005-0000-0000-0000DA600000}"/>
    <cellStyle name="Separador de milhares 7 4 2 2 20 2" xfId="22157" xr:uid="{00000000-0005-0000-0000-0000DB600000}"/>
    <cellStyle name="Separador de milhares 7 4 2 2 20 2 2" xfId="30993" xr:uid="{41140166-A048-4885-9349-C4A29F956EF4}"/>
    <cellStyle name="Separador de milhares 7 4 2 2 20 3" xfId="30992" xr:uid="{9B8CAB51-D785-4124-87A1-6D367161731D}"/>
    <cellStyle name="Separador de milhares 7 4 2 2 21" xfId="22158" xr:uid="{00000000-0005-0000-0000-0000DC600000}"/>
    <cellStyle name="Separador de milhares 7 4 2 2 21 2" xfId="22159" xr:uid="{00000000-0005-0000-0000-0000DD600000}"/>
    <cellStyle name="Separador de milhares 7 4 2 2 21 2 2" xfId="30995" xr:uid="{6B81AFA7-1411-4326-B41E-F1AC87BD4F88}"/>
    <cellStyle name="Separador de milhares 7 4 2 2 21 3" xfId="30994" xr:uid="{E70026A5-424E-48B5-848C-8673B0F715AD}"/>
    <cellStyle name="Separador de milhares 7 4 2 2 22" xfId="22160" xr:uid="{00000000-0005-0000-0000-0000DE600000}"/>
    <cellStyle name="Separador de milhares 7 4 2 2 22 2" xfId="22161" xr:uid="{00000000-0005-0000-0000-0000DF600000}"/>
    <cellStyle name="Separador de milhares 7 4 2 2 22 2 2" xfId="30997" xr:uid="{7DB7F101-8F0F-4BE1-8423-89A3D84FBAA6}"/>
    <cellStyle name="Separador de milhares 7 4 2 2 22 3" xfId="30996" xr:uid="{D6449834-16F2-4BAD-A337-EA1FCF844846}"/>
    <cellStyle name="Separador de milhares 7 4 2 2 23" xfId="22162" xr:uid="{00000000-0005-0000-0000-0000E0600000}"/>
    <cellStyle name="Separador de milhares 7 4 2 2 23 2" xfId="22163" xr:uid="{00000000-0005-0000-0000-0000E1600000}"/>
    <cellStyle name="Separador de milhares 7 4 2 2 23 2 2" xfId="30999" xr:uid="{DB95CBA9-112E-4E54-9F68-92B525482351}"/>
    <cellStyle name="Separador de milhares 7 4 2 2 23 3" xfId="30998" xr:uid="{2DA5438F-20A8-45C0-A571-D5187A50EB52}"/>
    <cellStyle name="Separador de milhares 7 4 2 2 24" xfId="22164" xr:uid="{00000000-0005-0000-0000-0000E2600000}"/>
    <cellStyle name="Separador de milhares 7 4 2 2 24 2" xfId="22165" xr:uid="{00000000-0005-0000-0000-0000E3600000}"/>
    <cellStyle name="Separador de milhares 7 4 2 2 24 2 2" xfId="31001" xr:uid="{C92D4166-ABE7-4D4A-8EAC-F3C526619DB0}"/>
    <cellStyle name="Separador de milhares 7 4 2 2 24 3" xfId="31000" xr:uid="{0A936A52-A75C-435E-A0A0-5BF41791435D}"/>
    <cellStyle name="Separador de milhares 7 4 2 2 25" xfId="22166" xr:uid="{00000000-0005-0000-0000-0000E4600000}"/>
    <cellStyle name="Separador de milhares 7 4 2 2 25 2" xfId="22167" xr:uid="{00000000-0005-0000-0000-0000E5600000}"/>
    <cellStyle name="Separador de milhares 7 4 2 2 25 2 2" xfId="31003" xr:uid="{6D25EE46-5678-47AF-943E-3D22267048E3}"/>
    <cellStyle name="Separador de milhares 7 4 2 2 25 3" xfId="31002" xr:uid="{6267AB9A-2088-4EAE-8609-473C34766705}"/>
    <cellStyle name="Separador de milhares 7 4 2 2 26" xfId="22168" xr:uid="{00000000-0005-0000-0000-0000E6600000}"/>
    <cellStyle name="Separador de milhares 7 4 2 2 26 2" xfId="22169" xr:uid="{00000000-0005-0000-0000-0000E7600000}"/>
    <cellStyle name="Separador de milhares 7 4 2 2 26 2 2" xfId="31005" xr:uid="{0FA06502-A28D-4053-8E39-0800371AA2A2}"/>
    <cellStyle name="Separador de milhares 7 4 2 2 26 3" xfId="31004" xr:uid="{6BC51089-A004-4606-9109-2896EE89A377}"/>
    <cellStyle name="Separador de milhares 7 4 2 2 27" xfId="22170" xr:uid="{00000000-0005-0000-0000-0000E8600000}"/>
    <cellStyle name="Separador de milhares 7 4 2 2 27 2" xfId="22171" xr:uid="{00000000-0005-0000-0000-0000E9600000}"/>
    <cellStyle name="Separador de milhares 7 4 2 2 27 2 2" xfId="31007" xr:uid="{BDEF9D03-4B5E-4A61-B81D-051396612A54}"/>
    <cellStyle name="Separador de milhares 7 4 2 2 27 3" xfId="31006" xr:uid="{0F163900-8EDB-492F-B002-A6ADFEF72F43}"/>
    <cellStyle name="Separador de milhares 7 4 2 2 28" xfId="22172" xr:uid="{00000000-0005-0000-0000-0000EA600000}"/>
    <cellStyle name="Separador de milhares 7 4 2 2 28 2" xfId="22173" xr:uid="{00000000-0005-0000-0000-0000EB600000}"/>
    <cellStyle name="Separador de milhares 7 4 2 2 28 2 2" xfId="31009" xr:uid="{9B3B8DF6-D9FE-4374-8863-9F1D51944D9A}"/>
    <cellStyle name="Separador de milhares 7 4 2 2 28 3" xfId="31008" xr:uid="{64C2CF08-5002-43CF-BA30-2F20D7F29F1D}"/>
    <cellStyle name="Separador de milhares 7 4 2 2 29" xfId="22174" xr:uid="{00000000-0005-0000-0000-0000EC600000}"/>
    <cellStyle name="Separador de milhares 7 4 2 2 29 2" xfId="22175" xr:uid="{00000000-0005-0000-0000-0000ED600000}"/>
    <cellStyle name="Separador de milhares 7 4 2 2 29 2 2" xfId="31011" xr:uid="{7FE09298-BCC7-4A3D-AB6F-8B88D6B72056}"/>
    <cellStyle name="Separador de milhares 7 4 2 2 29 3" xfId="31010" xr:uid="{021322AF-F93E-4E90-9B81-5B787EBF985D}"/>
    <cellStyle name="Separador de milhares 7 4 2 2 3" xfId="22176" xr:uid="{00000000-0005-0000-0000-0000EE600000}"/>
    <cellStyle name="Separador de milhares 7 4 2 2 3 2" xfId="22177" xr:uid="{00000000-0005-0000-0000-0000EF600000}"/>
    <cellStyle name="Separador de milhares 7 4 2 2 3 2 2" xfId="31013" xr:uid="{2AE48A1D-9C6C-46B0-A7E8-614C86414024}"/>
    <cellStyle name="Separador de milhares 7 4 2 2 3 3" xfId="31012" xr:uid="{B31EB48A-96E8-4C65-AF20-CF54E19FF529}"/>
    <cellStyle name="Separador de milhares 7 4 2 2 30" xfId="22178" xr:uid="{00000000-0005-0000-0000-0000F0600000}"/>
    <cellStyle name="Separador de milhares 7 4 2 2 30 2" xfId="22179" xr:uid="{00000000-0005-0000-0000-0000F1600000}"/>
    <cellStyle name="Separador de milhares 7 4 2 2 30 2 2" xfId="31015" xr:uid="{A7FCB2DC-8F91-41F4-89B2-36423B57B2E9}"/>
    <cellStyle name="Separador de milhares 7 4 2 2 30 3" xfId="31014" xr:uid="{F4C833E8-D2AD-4C0E-90F0-9D469C56BECC}"/>
    <cellStyle name="Separador de milhares 7 4 2 2 31" xfId="22180" xr:uid="{00000000-0005-0000-0000-0000F2600000}"/>
    <cellStyle name="Separador de milhares 7 4 2 2 31 2" xfId="22181" xr:uid="{00000000-0005-0000-0000-0000F3600000}"/>
    <cellStyle name="Separador de milhares 7 4 2 2 31 2 2" xfId="31017" xr:uid="{5B2F4FA2-E372-4044-9997-A7704D3D683F}"/>
    <cellStyle name="Separador de milhares 7 4 2 2 31 3" xfId="31016" xr:uid="{0B2AC5C4-F92A-43C2-B95E-63D8710C6B55}"/>
    <cellStyle name="Separador de milhares 7 4 2 2 32" xfId="22182" xr:uid="{00000000-0005-0000-0000-0000F4600000}"/>
    <cellStyle name="Separador de milhares 7 4 2 2 32 2" xfId="22183" xr:uid="{00000000-0005-0000-0000-0000F5600000}"/>
    <cellStyle name="Separador de milhares 7 4 2 2 32 2 2" xfId="31019" xr:uid="{DC7625F2-C3B8-4921-B030-0A5888A428C3}"/>
    <cellStyle name="Separador de milhares 7 4 2 2 32 3" xfId="31018" xr:uid="{62542DBE-53C0-4DDF-BED9-3452356913DA}"/>
    <cellStyle name="Separador de milhares 7 4 2 2 33" xfId="22184" xr:uid="{00000000-0005-0000-0000-0000F6600000}"/>
    <cellStyle name="Separador de milhares 7 4 2 2 33 2" xfId="22185" xr:uid="{00000000-0005-0000-0000-0000F7600000}"/>
    <cellStyle name="Separador de milhares 7 4 2 2 33 2 2" xfId="31021" xr:uid="{FD257B72-5831-4C5A-82D2-08EAC9EE4450}"/>
    <cellStyle name="Separador de milhares 7 4 2 2 33 3" xfId="31020" xr:uid="{41455332-4663-41C5-AC99-2E61A773E7FD}"/>
    <cellStyle name="Separador de milhares 7 4 2 2 34" xfId="22186" xr:uid="{00000000-0005-0000-0000-0000F8600000}"/>
    <cellStyle name="Separador de milhares 7 4 2 2 34 2" xfId="22187" xr:uid="{00000000-0005-0000-0000-0000F9600000}"/>
    <cellStyle name="Separador de milhares 7 4 2 2 34 2 2" xfId="31023" xr:uid="{04B6D54C-5452-44CC-82D1-CC811FBE4049}"/>
    <cellStyle name="Separador de milhares 7 4 2 2 34 3" xfId="31022" xr:uid="{8E090CA1-0C17-4F87-BA6E-03C50915E4D1}"/>
    <cellStyle name="Separador de milhares 7 4 2 2 35" xfId="22188" xr:uid="{00000000-0005-0000-0000-0000FA600000}"/>
    <cellStyle name="Separador de milhares 7 4 2 2 35 2" xfId="31024" xr:uid="{7AB78783-6504-4F5B-BC15-60C208630582}"/>
    <cellStyle name="Separador de milhares 7 4 2 2 36" xfId="22133" xr:uid="{00000000-0005-0000-0000-0000FB600000}"/>
    <cellStyle name="Separador de milhares 7 4 2 2 36 2" xfId="30969" xr:uid="{ED5E0BD2-31A5-4DA9-AC43-1EC2F239218C}"/>
    <cellStyle name="Separador de milhares 7 4 2 2 37" xfId="28083" xr:uid="{D0EA2464-DB04-4B74-8EE2-93DE6C64C84B}"/>
    <cellStyle name="Separador de milhares 7 4 2 2 4" xfId="22189" xr:uid="{00000000-0005-0000-0000-0000FC600000}"/>
    <cellStyle name="Separador de milhares 7 4 2 2 4 2" xfId="22190" xr:uid="{00000000-0005-0000-0000-0000FD600000}"/>
    <cellStyle name="Separador de milhares 7 4 2 2 4 2 2" xfId="31026" xr:uid="{B71D94AA-DA21-48E2-B85B-B892408CAC2B}"/>
    <cellStyle name="Separador de milhares 7 4 2 2 4 3" xfId="31025" xr:uid="{643D24AC-C5C8-4E89-AA17-4826376DB60C}"/>
    <cellStyle name="Separador de milhares 7 4 2 2 5" xfId="22191" xr:uid="{00000000-0005-0000-0000-0000FE600000}"/>
    <cellStyle name="Separador de milhares 7 4 2 2 5 2" xfId="22192" xr:uid="{00000000-0005-0000-0000-0000FF600000}"/>
    <cellStyle name="Separador de milhares 7 4 2 2 5 2 2" xfId="31028" xr:uid="{33127D46-F416-4FC3-86F1-D84492D96076}"/>
    <cellStyle name="Separador de milhares 7 4 2 2 5 3" xfId="31027" xr:uid="{98E604D0-E702-4690-97EC-9C121DF231CD}"/>
    <cellStyle name="Separador de milhares 7 4 2 2 6" xfId="22193" xr:uid="{00000000-0005-0000-0000-000000610000}"/>
    <cellStyle name="Separador de milhares 7 4 2 2 6 2" xfId="22194" xr:uid="{00000000-0005-0000-0000-000001610000}"/>
    <cellStyle name="Separador de milhares 7 4 2 2 6 2 2" xfId="31030" xr:uid="{08964DE3-748F-4DB9-8AAC-E5D950F60335}"/>
    <cellStyle name="Separador de milhares 7 4 2 2 6 3" xfId="31029" xr:uid="{6FDDD74D-9AB9-48BD-A54A-8D0E2BCB7ED4}"/>
    <cellStyle name="Separador de milhares 7 4 2 2 7" xfId="22195" xr:uid="{00000000-0005-0000-0000-000002610000}"/>
    <cellStyle name="Separador de milhares 7 4 2 2 7 2" xfId="22196" xr:uid="{00000000-0005-0000-0000-000003610000}"/>
    <cellStyle name="Separador de milhares 7 4 2 2 7 2 2" xfId="31032" xr:uid="{4FCDEAFB-DBF1-4C31-A5D4-C07F42D28F16}"/>
    <cellStyle name="Separador de milhares 7 4 2 2 7 3" xfId="31031" xr:uid="{C78A5474-A74F-466F-905E-6348CCFC26F9}"/>
    <cellStyle name="Separador de milhares 7 4 2 2 8" xfId="22197" xr:uid="{00000000-0005-0000-0000-000004610000}"/>
    <cellStyle name="Separador de milhares 7 4 2 2 8 2" xfId="22198" xr:uid="{00000000-0005-0000-0000-000005610000}"/>
    <cellStyle name="Separador de milhares 7 4 2 2 8 2 2" xfId="31034" xr:uid="{EF420608-633B-4F44-A7A1-E5E05AF6F143}"/>
    <cellStyle name="Separador de milhares 7 4 2 2 8 3" xfId="31033" xr:uid="{634FFC5F-4F4D-43D8-9C1F-68E188C6B939}"/>
    <cellStyle name="Separador de milhares 7 4 2 2 9" xfId="22199" xr:uid="{00000000-0005-0000-0000-000006610000}"/>
    <cellStyle name="Separador de milhares 7 4 2 2 9 2" xfId="22200" xr:uid="{00000000-0005-0000-0000-000007610000}"/>
    <cellStyle name="Separador de milhares 7 4 2 2 9 2 2" xfId="31036" xr:uid="{9905DCF4-FFF5-4651-87C7-2D667A8CFEE6}"/>
    <cellStyle name="Separador de milhares 7 4 2 2 9 3" xfId="31035" xr:uid="{972394EF-6E55-4A0C-B86F-FF47F0C4DB7B}"/>
    <cellStyle name="Separador de milhares 7 4 2 20" xfId="22201" xr:uid="{00000000-0005-0000-0000-000008610000}"/>
    <cellStyle name="Separador de milhares 7 4 2 20 2" xfId="22202" xr:uid="{00000000-0005-0000-0000-000009610000}"/>
    <cellStyle name="Separador de milhares 7 4 2 20 2 2" xfId="31038" xr:uid="{2ADC4FE8-C800-4B61-819F-D43597273C96}"/>
    <cellStyle name="Separador de milhares 7 4 2 20 3" xfId="31037" xr:uid="{7D52BA1C-3F19-4D38-820C-928A57F8D79C}"/>
    <cellStyle name="Separador de milhares 7 4 2 21" xfId="22203" xr:uid="{00000000-0005-0000-0000-00000A610000}"/>
    <cellStyle name="Separador de milhares 7 4 2 21 2" xfId="22204" xr:uid="{00000000-0005-0000-0000-00000B610000}"/>
    <cellStyle name="Separador de milhares 7 4 2 21 2 2" xfId="31040" xr:uid="{5803FBD0-27E2-484D-AE4A-3CDB85310A7A}"/>
    <cellStyle name="Separador de milhares 7 4 2 21 3" xfId="31039" xr:uid="{C9808D85-045C-473D-AFF8-BBA75009D4F1}"/>
    <cellStyle name="Separador de milhares 7 4 2 22" xfId="22205" xr:uid="{00000000-0005-0000-0000-00000C610000}"/>
    <cellStyle name="Separador de milhares 7 4 2 22 2" xfId="22206" xr:uid="{00000000-0005-0000-0000-00000D610000}"/>
    <cellStyle name="Separador de milhares 7 4 2 22 2 2" xfId="31042" xr:uid="{EDD57B3C-2952-40B0-9F74-64C557A7A997}"/>
    <cellStyle name="Separador de milhares 7 4 2 22 3" xfId="31041" xr:uid="{63B52BAE-0796-48FB-B863-BD866E5604ED}"/>
    <cellStyle name="Separador de milhares 7 4 2 23" xfId="22207" xr:uid="{00000000-0005-0000-0000-00000E610000}"/>
    <cellStyle name="Separador de milhares 7 4 2 23 2" xfId="22208" xr:uid="{00000000-0005-0000-0000-00000F610000}"/>
    <cellStyle name="Separador de milhares 7 4 2 23 2 2" xfId="31044" xr:uid="{6975C508-DE46-404B-A285-DA377CFD3D11}"/>
    <cellStyle name="Separador de milhares 7 4 2 23 3" xfId="31043" xr:uid="{EAD9B0D7-59B5-4B00-A383-B0966F8C3339}"/>
    <cellStyle name="Separador de milhares 7 4 2 24" xfId="22209" xr:uid="{00000000-0005-0000-0000-000010610000}"/>
    <cellStyle name="Separador de milhares 7 4 2 24 2" xfId="22210" xr:uid="{00000000-0005-0000-0000-000011610000}"/>
    <cellStyle name="Separador de milhares 7 4 2 24 2 2" xfId="31046" xr:uid="{3BA4A7DB-6AC7-47D6-BDE1-1FDCF0D01D25}"/>
    <cellStyle name="Separador de milhares 7 4 2 24 3" xfId="31045" xr:uid="{492EAC91-63B7-4471-8A5D-AA7F41363F71}"/>
    <cellStyle name="Separador de milhares 7 4 2 25" xfId="22211" xr:uid="{00000000-0005-0000-0000-000012610000}"/>
    <cellStyle name="Separador de milhares 7 4 2 25 2" xfId="22212" xr:uid="{00000000-0005-0000-0000-000013610000}"/>
    <cellStyle name="Separador de milhares 7 4 2 25 2 2" xfId="31048" xr:uid="{B2462EF5-A312-44E1-9E15-164EC2D3C5E2}"/>
    <cellStyle name="Separador de milhares 7 4 2 25 3" xfId="31047" xr:uid="{6587D0D2-B09C-4B25-90B5-4BD0746A832F}"/>
    <cellStyle name="Separador de milhares 7 4 2 26" xfId="22213" xr:uid="{00000000-0005-0000-0000-000014610000}"/>
    <cellStyle name="Separador de milhares 7 4 2 26 2" xfId="22214" xr:uid="{00000000-0005-0000-0000-000015610000}"/>
    <cellStyle name="Separador de milhares 7 4 2 26 2 2" xfId="31050" xr:uid="{4C44A8CB-D844-4D07-BDBC-35CAE3EB9760}"/>
    <cellStyle name="Separador de milhares 7 4 2 26 3" xfId="31049" xr:uid="{F71A45C8-8D49-4DC4-ADC6-3E7E5B47ADEA}"/>
    <cellStyle name="Separador de milhares 7 4 2 27" xfId="22215" xr:uid="{00000000-0005-0000-0000-000016610000}"/>
    <cellStyle name="Separador de milhares 7 4 2 27 2" xfId="22216" xr:uid="{00000000-0005-0000-0000-000017610000}"/>
    <cellStyle name="Separador de milhares 7 4 2 27 2 2" xfId="31052" xr:uid="{81022C1E-CBBD-4050-BF29-198877A13E72}"/>
    <cellStyle name="Separador de milhares 7 4 2 27 3" xfId="31051" xr:uid="{F8083337-7804-49E2-840B-BFCAC857EBDF}"/>
    <cellStyle name="Separador de milhares 7 4 2 28" xfId="22217" xr:uid="{00000000-0005-0000-0000-000018610000}"/>
    <cellStyle name="Separador de milhares 7 4 2 28 2" xfId="22218" xr:uid="{00000000-0005-0000-0000-000019610000}"/>
    <cellStyle name="Separador de milhares 7 4 2 28 2 2" xfId="31054" xr:uid="{CB62938F-FDD6-4A33-88CC-87FFACA1F0BA}"/>
    <cellStyle name="Separador de milhares 7 4 2 28 3" xfId="31053" xr:uid="{1BDA6EA2-3B67-4C73-A5A6-9EDD568BFAD9}"/>
    <cellStyle name="Separador de milhares 7 4 2 29" xfId="22219" xr:uid="{00000000-0005-0000-0000-00001A610000}"/>
    <cellStyle name="Separador de milhares 7 4 2 29 2" xfId="22220" xr:uid="{00000000-0005-0000-0000-00001B610000}"/>
    <cellStyle name="Separador de milhares 7 4 2 29 2 2" xfId="31056" xr:uid="{E968C52B-1137-487C-8155-68A1F4729DD4}"/>
    <cellStyle name="Separador de milhares 7 4 2 29 3" xfId="31055" xr:uid="{45FB8765-4D9D-42DF-A1FB-6FAE2838487D}"/>
    <cellStyle name="Separador de milhares 7 4 2 3" xfId="22221" xr:uid="{00000000-0005-0000-0000-00001C610000}"/>
    <cellStyle name="Separador de milhares 7 4 2 3 10" xfId="22222" xr:uid="{00000000-0005-0000-0000-00001D610000}"/>
    <cellStyle name="Separador de milhares 7 4 2 3 10 2" xfId="22223" xr:uid="{00000000-0005-0000-0000-00001E610000}"/>
    <cellStyle name="Separador de milhares 7 4 2 3 10 2 2" xfId="31059" xr:uid="{C33C0A6E-BD25-412D-AA3C-2DB1678BD49F}"/>
    <cellStyle name="Separador de milhares 7 4 2 3 10 3" xfId="31058" xr:uid="{5E735C95-0516-4AC3-88E8-68678C555BF2}"/>
    <cellStyle name="Separador de milhares 7 4 2 3 11" xfId="22224" xr:uid="{00000000-0005-0000-0000-00001F610000}"/>
    <cellStyle name="Separador de milhares 7 4 2 3 11 2" xfId="22225" xr:uid="{00000000-0005-0000-0000-000020610000}"/>
    <cellStyle name="Separador de milhares 7 4 2 3 11 2 2" xfId="31061" xr:uid="{BC9208A2-E67E-4CEC-B655-92941F741FF6}"/>
    <cellStyle name="Separador de milhares 7 4 2 3 11 3" xfId="31060" xr:uid="{A96A5108-FB06-4B6F-B000-00E5312018DB}"/>
    <cellStyle name="Separador de milhares 7 4 2 3 12" xfId="22226" xr:uid="{00000000-0005-0000-0000-000021610000}"/>
    <cellStyle name="Separador de milhares 7 4 2 3 12 2" xfId="22227" xr:uid="{00000000-0005-0000-0000-000022610000}"/>
    <cellStyle name="Separador de milhares 7 4 2 3 12 2 2" xfId="31063" xr:uid="{ADB7B771-E085-443C-85C6-81A5A2C6B346}"/>
    <cellStyle name="Separador de milhares 7 4 2 3 12 3" xfId="31062" xr:uid="{A46B5102-9F61-4C3C-9FCA-41380953BC17}"/>
    <cellStyle name="Separador de milhares 7 4 2 3 13" xfId="22228" xr:uid="{00000000-0005-0000-0000-000023610000}"/>
    <cellStyle name="Separador de milhares 7 4 2 3 13 2" xfId="22229" xr:uid="{00000000-0005-0000-0000-000024610000}"/>
    <cellStyle name="Separador de milhares 7 4 2 3 13 2 2" xfId="31065" xr:uid="{212DE36B-E1C7-4050-9E6A-9C30BB79121C}"/>
    <cellStyle name="Separador de milhares 7 4 2 3 13 3" xfId="31064" xr:uid="{C2DCD50C-A7F8-4CDF-8F0D-7FECD5863D20}"/>
    <cellStyle name="Separador de milhares 7 4 2 3 14" xfId="22230" xr:uid="{00000000-0005-0000-0000-000025610000}"/>
    <cellStyle name="Separador de milhares 7 4 2 3 14 2" xfId="22231" xr:uid="{00000000-0005-0000-0000-000026610000}"/>
    <cellStyle name="Separador de milhares 7 4 2 3 14 2 2" xfId="31067" xr:uid="{60053BF8-639A-48E4-BFBB-FC0DD47270DE}"/>
    <cellStyle name="Separador de milhares 7 4 2 3 14 3" xfId="31066" xr:uid="{0EC352B4-EA61-4CFC-81D9-F918494DD4A8}"/>
    <cellStyle name="Separador de milhares 7 4 2 3 15" xfId="22232" xr:uid="{00000000-0005-0000-0000-000027610000}"/>
    <cellStyle name="Separador de milhares 7 4 2 3 15 2" xfId="22233" xr:uid="{00000000-0005-0000-0000-000028610000}"/>
    <cellStyle name="Separador de milhares 7 4 2 3 15 2 2" xfId="31069" xr:uid="{43F4EC3C-B5C2-4E0B-9C4B-34D8C9183851}"/>
    <cellStyle name="Separador de milhares 7 4 2 3 15 3" xfId="31068" xr:uid="{B6643896-84D1-403F-81D0-2B07C8E8389D}"/>
    <cellStyle name="Separador de milhares 7 4 2 3 16" xfId="22234" xr:uid="{00000000-0005-0000-0000-000029610000}"/>
    <cellStyle name="Separador de milhares 7 4 2 3 16 2" xfId="22235" xr:uid="{00000000-0005-0000-0000-00002A610000}"/>
    <cellStyle name="Separador de milhares 7 4 2 3 16 2 2" xfId="31071" xr:uid="{DDC1AC03-3D1D-4F2D-A1D5-185B68E35668}"/>
    <cellStyle name="Separador de milhares 7 4 2 3 16 3" xfId="31070" xr:uid="{331C55E9-9CE7-4FFF-962C-EB229649F187}"/>
    <cellStyle name="Separador de milhares 7 4 2 3 17" xfId="22236" xr:uid="{00000000-0005-0000-0000-00002B610000}"/>
    <cellStyle name="Separador de milhares 7 4 2 3 17 2" xfId="22237" xr:uid="{00000000-0005-0000-0000-00002C610000}"/>
    <cellStyle name="Separador de milhares 7 4 2 3 17 2 2" xfId="31073" xr:uid="{7CD63BC4-A3A0-4DA9-9F10-F74784EE5F2F}"/>
    <cellStyle name="Separador de milhares 7 4 2 3 17 3" xfId="31072" xr:uid="{ECB361C6-F2EC-4D80-B0CB-324CEFA826FE}"/>
    <cellStyle name="Separador de milhares 7 4 2 3 18" xfId="22238" xr:uid="{00000000-0005-0000-0000-00002D610000}"/>
    <cellStyle name="Separador de milhares 7 4 2 3 18 2" xfId="22239" xr:uid="{00000000-0005-0000-0000-00002E610000}"/>
    <cellStyle name="Separador de milhares 7 4 2 3 18 2 2" xfId="31075" xr:uid="{F92ECD75-E0BF-430D-9899-426B2848DD08}"/>
    <cellStyle name="Separador de milhares 7 4 2 3 18 3" xfId="31074" xr:uid="{7599D017-4A12-4460-BDBF-9C8FA1BB17C8}"/>
    <cellStyle name="Separador de milhares 7 4 2 3 19" xfId="22240" xr:uid="{00000000-0005-0000-0000-00002F610000}"/>
    <cellStyle name="Separador de milhares 7 4 2 3 19 2" xfId="22241" xr:uid="{00000000-0005-0000-0000-000030610000}"/>
    <cellStyle name="Separador de milhares 7 4 2 3 19 2 2" xfId="31077" xr:uid="{E0D21EE6-0D9F-4B71-8CB5-682E61C1C411}"/>
    <cellStyle name="Separador de milhares 7 4 2 3 19 3" xfId="31076" xr:uid="{DAE7BB15-B309-428E-9F01-62890F3F2D52}"/>
    <cellStyle name="Separador de milhares 7 4 2 3 2" xfId="22242" xr:uid="{00000000-0005-0000-0000-000031610000}"/>
    <cellStyle name="Separador de milhares 7 4 2 3 2 2" xfId="22243" xr:uid="{00000000-0005-0000-0000-000032610000}"/>
    <cellStyle name="Separador de milhares 7 4 2 3 2 2 2" xfId="31079" xr:uid="{B8E104C9-7D31-44D5-95D4-66AF7A9DD27B}"/>
    <cellStyle name="Separador de milhares 7 4 2 3 2 3" xfId="31078" xr:uid="{7BAFCD3E-EE23-41A6-AB9A-95E7F7BF5E40}"/>
    <cellStyle name="Separador de milhares 7 4 2 3 20" xfId="22244" xr:uid="{00000000-0005-0000-0000-000033610000}"/>
    <cellStyle name="Separador de milhares 7 4 2 3 20 2" xfId="22245" xr:uid="{00000000-0005-0000-0000-000034610000}"/>
    <cellStyle name="Separador de milhares 7 4 2 3 20 2 2" xfId="31081" xr:uid="{82DACB16-4145-42BA-A063-F0B658B8D81F}"/>
    <cellStyle name="Separador de milhares 7 4 2 3 20 3" xfId="31080" xr:uid="{588B29E5-77E8-4037-841C-4D91EE05DB5B}"/>
    <cellStyle name="Separador de milhares 7 4 2 3 21" xfId="22246" xr:uid="{00000000-0005-0000-0000-000035610000}"/>
    <cellStyle name="Separador de milhares 7 4 2 3 21 2" xfId="22247" xr:uid="{00000000-0005-0000-0000-000036610000}"/>
    <cellStyle name="Separador de milhares 7 4 2 3 21 2 2" xfId="31083" xr:uid="{86A5ADDA-BF05-4ED8-80E6-30E3AAFFF27A}"/>
    <cellStyle name="Separador de milhares 7 4 2 3 21 3" xfId="31082" xr:uid="{8C887327-DB90-460D-86AA-23FE2227E9BE}"/>
    <cellStyle name="Separador de milhares 7 4 2 3 22" xfId="22248" xr:uid="{00000000-0005-0000-0000-000037610000}"/>
    <cellStyle name="Separador de milhares 7 4 2 3 22 2" xfId="22249" xr:uid="{00000000-0005-0000-0000-000038610000}"/>
    <cellStyle name="Separador de milhares 7 4 2 3 22 2 2" xfId="31085" xr:uid="{D4E06C6F-11A6-41F8-A672-54460996F068}"/>
    <cellStyle name="Separador de milhares 7 4 2 3 22 3" xfId="31084" xr:uid="{6F8E05A0-80C9-41CE-A5BB-BEABDE8092D1}"/>
    <cellStyle name="Separador de milhares 7 4 2 3 23" xfId="22250" xr:uid="{00000000-0005-0000-0000-000039610000}"/>
    <cellStyle name="Separador de milhares 7 4 2 3 23 2" xfId="22251" xr:uid="{00000000-0005-0000-0000-00003A610000}"/>
    <cellStyle name="Separador de milhares 7 4 2 3 23 2 2" xfId="31087" xr:uid="{7359FC8F-B393-4C6C-8B17-89FE0A7BB0B5}"/>
    <cellStyle name="Separador de milhares 7 4 2 3 23 3" xfId="31086" xr:uid="{0A4DA2D5-98A5-419E-A766-2B268A9D695B}"/>
    <cellStyle name="Separador de milhares 7 4 2 3 24" xfId="22252" xr:uid="{00000000-0005-0000-0000-00003B610000}"/>
    <cellStyle name="Separador de milhares 7 4 2 3 24 2" xfId="22253" xr:uid="{00000000-0005-0000-0000-00003C610000}"/>
    <cellStyle name="Separador de milhares 7 4 2 3 24 2 2" xfId="31089" xr:uid="{1E2325B9-5C3E-4B1D-9A4C-9D6675CD23FF}"/>
    <cellStyle name="Separador de milhares 7 4 2 3 24 3" xfId="31088" xr:uid="{45A4DE3D-B193-46B5-B37B-5A0A5C65210A}"/>
    <cellStyle name="Separador de milhares 7 4 2 3 25" xfId="22254" xr:uid="{00000000-0005-0000-0000-00003D610000}"/>
    <cellStyle name="Separador de milhares 7 4 2 3 25 2" xfId="22255" xr:uid="{00000000-0005-0000-0000-00003E610000}"/>
    <cellStyle name="Separador de milhares 7 4 2 3 25 2 2" xfId="31091" xr:uid="{E559A472-FCF5-4D86-AAA6-A2F6677564E4}"/>
    <cellStyle name="Separador de milhares 7 4 2 3 25 3" xfId="31090" xr:uid="{C347259A-30AF-4227-8612-80CEED5EC712}"/>
    <cellStyle name="Separador de milhares 7 4 2 3 26" xfId="22256" xr:uid="{00000000-0005-0000-0000-00003F610000}"/>
    <cellStyle name="Separador de milhares 7 4 2 3 26 2" xfId="22257" xr:uid="{00000000-0005-0000-0000-000040610000}"/>
    <cellStyle name="Separador de milhares 7 4 2 3 26 2 2" xfId="31093" xr:uid="{C595D1C8-0908-43EB-A16A-684DF32DCC8D}"/>
    <cellStyle name="Separador de milhares 7 4 2 3 26 3" xfId="31092" xr:uid="{97F1E48B-5E8A-4934-9923-E16A91633F60}"/>
    <cellStyle name="Separador de milhares 7 4 2 3 27" xfId="22258" xr:uid="{00000000-0005-0000-0000-000041610000}"/>
    <cellStyle name="Separador de milhares 7 4 2 3 27 2" xfId="22259" xr:uid="{00000000-0005-0000-0000-000042610000}"/>
    <cellStyle name="Separador de milhares 7 4 2 3 27 2 2" xfId="31095" xr:uid="{BBF23596-87C8-468D-849C-41172CCB1AFE}"/>
    <cellStyle name="Separador de milhares 7 4 2 3 27 3" xfId="31094" xr:uid="{B77CD188-714D-4F3A-A0D2-154D47321995}"/>
    <cellStyle name="Separador de milhares 7 4 2 3 28" xfId="22260" xr:uid="{00000000-0005-0000-0000-000043610000}"/>
    <cellStyle name="Separador de milhares 7 4 2 3 28 2" xfId="22261" xr:uid="{00000000-0005-0000-0000-000044610000}"/>
    <cellStyle name="Separador de milhares 7 4 2 3 28 2 2" xfId="31097" xr:uid="{E2D57AEA-AF49-4E36-9E24-005235DEF3B1}"/>
    <cellStyle name="Separador de milhares 7 4 2 3 28 3" xfId="31096" xr:uid="{D05D8290-45DE-4520-86DD-15E52FA9D6A6}"/>
    <cellStyle name="Separador de milhares 7 4 2 3 29" xfId="22262" xr:uid="{00000000-0005-0000-0000-000045610000}"/>
    <cellStyle name="Separador de milhares 7 4 2 3 29 2" xfId="22263" xr:uid="{00000000-0005-0000-0000-000046610000}"/>
    <cellStyle name="Separador de milhares 7 4 2 3 29 2 2" xfId="31099" xr:uid="{D1635AAB-AFC0-4F98-B601-588496FB77F9}"/>
    <cellStyle name="Separador de milhares 7 4 2 3 29 3" xfId="31098" xr:uid="{FF910B42-BCE7-424C-A4AF-0A22C8BF51BD}"/>
    <cellStyle name="Separador de milhares 7 4 2 3 3" xfId="22264" xr:uid="{00000000-0005-0000-0000-000047610000}"/>
    <cellStyle name="Separador de milhares 7 4 2 3 3 2" xfId="22265" xr:uid="{00000000-0005-0000-0000-000048610000}"/>
    <cellStyle name="Separador de milhares 7 4 2 3 3 2 2" xfId="31101" xr:uid="{A221621E-A3A2-425B-B9C5-303FF3FE126B}"/>
    <cellStyle name="Separador de milhares 7 4 2 3 3 3" xfId="31100" xr:uid="{87C1EA11-0990-4D54-B6D3-4ECDE6AA97B0}"/>
    <cellStyle name="Separador de milhares 7 4 2 3 30" xfId="22266" xr:uid="{00000000-0005-0000-0000-000049610000}"/>
    <cellStyle name="Separador de milhares 7 4 2 3 30 2" xfId="22267" xr:uid="{00000000-0005-0000-0000-00004A610000}"/>
    <cellStyle name="Separador de milhares 7 4 2 3 30 2 2" xfId="31103" xr:uid="{87BECC6E-3485-4115-ADAD-1FDC847B3F39}"/>
    <cellStyle name="Separador de milhares 7 4 2 3 30 3" xfId="31102" xr:uid="{A5882C5F-C256-4F92-B76B-645E072E82B2}"/>
    <cellStyle name="Separador de milhares 7 4 2 3 31" xfId="22268" xr:uid="{00000000-0005-0000-0000-00004B610000}"/>
    <cellStyle name="Separador de milhares 7 4 2 3 31 2" xfId="22269" xr:uid="{00000000-0005-0000-0000-00004C610000}"/>
    <cellStyle name="Separador de milhares 7 4 2 3 31 2 2" xfId="31105" xr:uid="{875B57F4-6D56-43FE-8B09-CB5E54E089F6}"/>
    <cellStyle name="Separador de milhares 7 4 2 3 31 3" xfId="31104" xr:uid="{C1D74AA3-4177-40EB-B275-416A35CDFE80}"/>
    <cellStyle name="Separador de milhares 7 4 2 3 32" xfId="22270" xr:uid="{00000000-0005-0000-0000-00004D610000}"/>
    <cellStyle name="Separador de milhares 7 4 2 3 32 2" xfId="22271" xr:uid="{00000000-0005-0000-0000-00004E610000}"/>
    <cellStyle name="Separador de milhares 7 4 2 3 32 2 2" xfId="31107" xr:uid="{BCBAA498-BBA8-4520-944B-1C0F67F1CC4F}"/>
    <cellStyle name="Separador de milhares 7 4 2 3 32 3" xfId="31106" xr:uid="{A2A92FF9-F524-4304-B13C-0981E029975C}"/>
    <cellStyle name="Separador de milhares 7 4 2 3 33" xfId="22272" xr:uid="{00000000-0005-0000-0000-00004F610000}"/>
    <cellStyle name="Separador de milhares 7 4 2 3 33 2" xfId="22273" xr:uid="{00000000-0005-0000-0000-000050610000}"/>
    <cellStyle name="Separador de milhares 7 4 2 3 33 2 2" xfId="31109" xr:uid="{06E81D29-F2B1-4440-AFB5-6CE9D82BE4A8}"/>
    <cellStyle name="Separador de milhares 7 4 2 3 33 3" xfId="31108" xr:uid="{3BC7639C-2916-4536-9473-9EAE0B38770A}"/>
    <cellStyle name="Separador de milhares 7 4 2 3 34" xfId="22274" xr:uid="{00000000-0005-0000-0000-000051610000}"/>
    <cellStyle name="Separador de milhares 7 4 2 3 34 2" xfId="22275" xr:uid="{00000000-0005-0000-0000-000052610000}"/>
    <cellStyle name="Separador de milhares 7 4 2 3 34 2 2" xfId="31111" xr:uid="{5BEE2CA5-4E6D-433D-A0FC-47D4B982D621}"/>
    <cellStyle name="Separador de milhares 7 4 2 3 34 3" xfId="31110" xr:uid="{B819F5A0-5A9F-4155-B1D9-C22F57FE02BC}"/>
    <cellStyle name="Separador de milhares 7 4 2 3 35" xfId="22276" xr:uid="{00000000-0005-0000-0000-000053610000}"/>
    <cellStyle name="Separador de milhares 7 4 2 3 35 2" xfId="31112" xr:uid="{5F26C0EA-8F09-4AD4-BA81-3C6525C248C8}"/>
    <cellStyle name="Separador de milhares 7 4 2 3 36" xfId="31057" xr:uid="{E76906D1-1761-4F6C-9AAA-95E3C59C49F9}"/>
    <cellStyle name="Separador de milhares 7 4 2 3 4" xfId="22277" xr:uid="{00000000-0005-0000-0000-000054610000}"/>
    <cellStyle name="Separador de milhares 7 4 2 3 4 2" xfId="22278" xr:uid="{00000000-0005-0000-0000-000055610000}"/>
    <cellStyle name="Separador de milhares 7 4 2 3 4 2 2" xfId="31114" xr:uid="{11B6D881-6BAF-4BFA-93A6-6FE0CA26B5D4}"/>
    <cellStyle name="Separador de milhares 7 4 2 3 4 3" xfId="31113" xr:uid="{91A9B835-1F04-4687-BAD8-BAC2840FFB2A}"/>
    <cellStyle name="Separador de milhares 7 4 2 3 5" xfId="22279" xr:uid="{00000000-0005-0000-0000-000056610000}"/>
    <cellStyle name="Separador de milhares 7 4 2 3 5 2" xfId="22280" xr:uid="{00000000-0005-0000-0000-000057610000}"/>
    <cellStyle name="Separador de milhares 7 4 2 3 5 2 2" xfId="31116" xr:uid="{77F599F6-4E33-42A8-B065-B0C840C4BCD7}"/>
    <cellStyle name="Separador de milhares 7 4 2 3 5 3" xfId="31115" xr:uid="{1DEF4C08-26F5-41D5-998D-F57AD41824A3}"/>
    <cellStyle name="Separador de milhares 7 4 2 3 6" xfId="22281" xr:uid="{00000000-0005-0000-0000-000058610000}"/>
    <cellStyle name="Separador de milhares 7 4 2 3 6 2" xfId="22282" xr:uid="{00000000-0005-0000-0000-000059610000}"/>
    <cellStyle name="Separador de milhares 7 4 2 3 6 2 2" xfId="31118" xr:uid="{CA4EA3E3-EC32-45E2-9597-07D9FB4F832A}"/>
    <cellStyle name="Separador de milhares 7 4 2 3 6 3" xfId="31117" xr:uid="{0D283E74-C7A2-43F0-894A-0AC6372F1E08}"/>
    <cellStyle name="Separador de milhares 7 4 2 3 7" xfId="22283" xr:uid="{00000000-0005-0000-0000-00005A610000}"/>
    <cellStyle name="Separador de milhares 7 4 2 3 7 2" xfId="22284" xr:uid="{00000000-0005-0000-0000-00005B610000}"/>
    <cellStyle name="Separador de milhares 7 4 2 3 7 2 2" xfId="31120" xr:uid="{4D6D635D-CBD1-4BE1-A4CF-D4B8C7876646}"/>
    <cellStyle name="Separador de milhares 7 4 2 3 7 3" xfId="31119" xr:uid="{DC72717E-4C36-48B1-8958-714467A7744C}"/>
    <cellStyle name="Separador de milhares 7 4 2 3 8" xfId="22285" xr:uid="{00000000-0005-0000-0000-00005C610000}"/>
    <cellStyle name="Separador de milhares 7 4 2 3 8 2" xfId="22286" xr:uid="{00000000-0005-0000-0000-00005D610000}"/>
    <cellStyle name="Separador de milhares 7 4 2 3 8 2 2" xfId="31122" xr:uid="{2A285104-1EE4-4491-913D-FF6ECD62745C}"/>
    <cellStyle name="Separador de milhares 7 4 2 3 8 3" xfId="31121" xr:uid="{B4C5D4F2-A30B-4898-8D74-7D1815D63163}"/>
    <cellStyle name="Separador de milhares 7 4 2 3 9" xfId="22287" xr:uid="{00000000-0005-0000-0000-00005E610000}"/>
    <cellStyle name="Separador de milhares 7 4 2 3 9 2" xfId="22288" xr:uid="{00000000-0005-0000-0000-00005F610000}"/>
    <cellStyle name="Separador de milhares 7 4 2 3 9 2 2" xfId="31124" xr:uid="{2E685BFC-3F23-4EC0-B264-ADE12BF3256B}"/>
    <cellStyle name="Separador de milhares 7 4 2 3 9 3" xfId="31123" xr:uid="{E00291F2-D1F1-45D8-8C27-A4A14FF90CF9}"/>
    <cellStyle name="Separador de milhares 7 4 2 30" xfId="22289" xr:uid="{00000000-0005-0000-0000-000060610000}"/>
    <cellStyle name="Separador de milhares 7 4 2 30 2" xfId="22290" xr:uid="{00000000-0005-0000-0000-000061610000}"/>
    <cellStyle name="Separador de milhares 7 4 2 30 2 2" xfId="31126" xr:uid="{0CF50F79-7CA3-432D-BE18-20E863EFD0F8}"/>
    <cellStyle name="Separador de milhares 7 4 2 30 3" xfId="31125" xr:uid="{E9A71A9F-9EF1-4509-AC42-DA28EE3FFEC0}"/>
    <cellStyle name="Separador de milhares 7 4 2 31" xfId="22291" xr:uid="{00000000-0005-0000-0000-000062610000}"/>
    <cellStyle name="Separador de milhares 7 4 2 31 2" xfId="22292" xr:uid="{00000000-0005-0000-0000-000063610000}"/>
    <cellStyle name="Separador de milhares 7 4 2 31 2 2" xfId="31128" xr:uid="{046E0173-5297-4D47-800B-EE433A6FBEE9}"/>
    <cellStyle name="Separador de milhares 7 4 2 31 3" xfId="31127" xr:uid="{3FE0C76A-8AE8-46EF-956F-0320FC4B3EA6}"/>
    <cellStyle name="Separador de milhares 7 4 2 32" xfId="22293" xr:uid="{00000000-0005-0000-0000-000064610000}"/>
    <cellStyle name="Separador de milhares 7 4 2 32 2" xfId="22294" xr:uid="{00000000-0005-0000-0000-000065610000}"/>
    <cellStyle name="Separador de milhares 7 4 2 32 2 2" xfId="31130" xr:uid="{824DC7D5-7E18-40E1-9B5B-CDAC0F2FE788}"/>
    <cellStyle name="Separador de milhares 7 4 2 32 3" xfId="31129" xr:uid="{23505497-0A66-4583-9769-2F29548F3AC8}"/>
    <cellStyle name="Separador de milhares 7 4 2 33" xfId="22295" xr:uid="{00000000-0005-0000-0000-000066610000}"/>
    <cellStyle name="Separador de milhares 7 4 2 33 2" xfId="22296" xr:uid="{00000000-0005-0000-0000-000067610000}"/>
    <cellStyle name="Separador de milhares 7 4 2 33 2 2" xfId="31132" xr:uid="{338DF674-3E06-4391-A3B8-44C99CA06A70}"/>
    <cellStyle name="Separador de milhares 7 4 2 33 3" xfId="31131" xr:uid="{1A90B999-8A36-4D96-9B55-BFFF89BE1DFF}"/>
    <cellStyle name="Separador de milhares 7 4 2 34" xfId="22297" xr:uid="{00000000-0005-0000-0000-000068610000}"/>
    <cellStyle name="Separador de milhares 7 4 2 34 2" xfId="22298" xr:uid="{00000000-0005-0000-0000-000069610000}"/>
    <cellStyle name="Separador de milhares 7 4 2 34 2 2" xfId="31134" xr:uid="{A4F32334-E236-470A-ADA3-214B32293833}"/>
    <cellStyle name="Separador de milhares 7 4 2 34 3" xfId="31133" xr:uid="{FD225BAF-EA0B-48AF-95D4-721CFCC38FFF}"/>
    <cellStyle name="Separador de milhares 7 4 2 35" xfId="22299" xr:uid="{00000000-0005-0000-0000-00006A610000}"/>
    <cellStyle name="Separador de milhares 7 4 2 35 2" xfId="22300" xr:uid="{00000000-0005-0000-0000-00006B610000}"/>
    <cellStyle name="Separador de milhares 7 4 2 35 2 2" xfId="31136" xr:uid="{5D6723F8-B15E-4982-8BB0-36E1B8D8BCAD}"/>
    <cellStyle name="Separador de milhares 7 4 2 35 3" xfId="31135" xr:uid="{362B4E9A-D504-473E-ACE7-4E589E305125}"/>
    <cellStyle name="Separador de milhares 7 4 2 36" xfId="22301" xr:uid="{00000000-0005-0000-0000-00006C610000}"/>
    <cellStyle name="Separador de milhares 7 4 2 36 2" xfId="22302" xr:uid="{00000000-0005-0000-0000-00006D610000}"/>
    <cellStyle name="Separador de milhares 7 4 2 36 2 2" xfId="31138" xr:uid="{49179D92-1D6F-4B92-A99B-5130481427E9}"/>
    <cellStyle name="Separador de milhares 7 4 2 36 3" xfId="31137" xr:uid="{3FD6CCE6-9CD5-481F-88DD-E453070DCEF8}"/>
    <cellStyle name="Separador de milhares 7 4 2 37" xfId="22303" xr:uid="{00000000-0005-0000-0000-00006E610000}"/>
    <cellStyle name="Separador de milhares 7 4 2 37 2" xfId="22304" xr:uid="{00000000-0005-0000-0000-00006F610000}"/>
    <cellStyle name="Separador de milhares 7 4 2 37 2 2" xfId="31140" xr:uid="{4D9A75EE-9078-4BC7-AAEE-A43671BE8DCE}"/>
    <cellStyle name="Separador de milhares 7 4 2 37 3" xfId="31139" xr:uid="{29EC18DC-0667-4618-AF88-1E2A9ECCEDB7}"/>
    <cellStyle name="Separador de milhares 7 4 2 38" xfId="22305" xr:uid="{00000000-0005-0000-0000-000070610000}"/>
    <cellStyle name="Separador de milhares 7 4 2 38 2" xfId="22306" xr:uid="{00000000-0005-0000-0000-000071610000}"/>
    <cellStyle name="Separador de milhares 7 4 2 38 2 2" xfId="31142" xr:uid="{63BA5994-2BA5-46C5-B503-8641D5ADFF91}"/>
    <cellStyle name="Separador de milhares 7 4 2 38 3" xfId="31141" xr:uid="{1AD007D8-FB1C-41ED-80B0-2862AD994FBF}"/>
    <cellStyle name="Separador de milhares 7 4 2 39" xfId="22307" xr:uid="{00000000-0005-0000-0000-000072610000}"/>
    <cellStyle name="Separador de milhares 7 4 2 39 2" xfId="22308" xr:uid="{00000000-0005-0000-0000-000073610000}"/>
    <cellStyle name="Separador de milhares 7 4 2 39 2 2" xfId="31144" xr:uid="{9692D5E6-126B-42AD-BE3D-0F2814CF7BE4}"/>
    <cellStyle name="Separador de milhares 7 4 2 39 3" xfId="31143" xr:uid="{57D4CAE6-4CCE-41B0-9C09-B584C3091F6A}"/>
    <cellStyle name="Separador de milhares 7 4 2 4" xfId="22309" xr:uid="{00000000-0005-0000-0000-000074610000}"/>
    <cellStyle name="Separador de milhares 7 4 2 4 2" xfId="22310" xr:uid="{00000000-0005-0000-0000-000075610000}"/>
    <cellStyle name="Separador de milhares 7 4 2 4 2 2" xfId="22311" xr:uid="{00000000-0005-0000-0000-000076610000}"/>
    <cellStyle name="Separador de milhares 7 4 2 4 2 2 2" xfId="31147" xr:uid="{2E664B40-772E-4484-8EF0-354EF8AA446F}"/>
    <cellStyle name="Separador de milhares 7 4 2 4 2 3" xfId="31146" xr:uid="{422640F4-B57A-438F-BF4E-5DA9558198F9}"/>
    <cellStyle name="Separador de milhares 7 4 2 4 3" xfId="22312" xr:uid="{00000000-0005-0000-0000-000077610000}"/>
    <cellStyle name="Separador de milhares 7 4 2 4 3 2" xfId="22313" xr:uid="{00000000-0005-0000-0000-000078610000}"/>
    <cellStyle name="Separador de milhares 7 4 2 4 3 2 2" xfId="31149" xr:uid="{3AE440D6-A445-42DC-990D-6A298897ED4A}"/>
    <cellStyle name="Separador de milhares 7 4 2 4 3 3" xfId="31148" xr:uid="{30899D31-BF9D-4C13-960C-6C8CAFC50E69}"/>
    <cellStyle name="Separador de milhares 7 4 2 4 4" xfId="22314" xr:uid="{00000000-0005-0000-0000-000079610000}"/>
    <cellStyle name="Separador de milhares 7 4 2 4 4 2" xfId="22315" xr:uid="{00000000-0005-0000-0000-00007A610000}"/>
    <cellStyle name="Separador de milhares 7 4 2 4 4 2 2" xfId="31151" xr:uid="{9669A416-F38B-4083-8450-D84ECA10E5A1}"/>
    <cellStyle name="Separador de milhares 7 4 2 4 4 3" xfId="31150" xr:uid="{A0988026-13CC-428F-8591-4AB93882D83C}"/>
    <cellStyle name="Separador de milhares 7 4 2 4 5" xfId="22316" xr:uid="{00000000-0005-0000-0000-00007B610000}"/>
    <cellStyle name="Separador de milhares 7 4 2 4 5 2" xfId="22317" xr:uid="{00000000-0005-0000-0000-00007C610000}"/>
    <cellStyle name="Separador de milhares 7 4 2 4 5 2 2" xfId="31153" xr:uid="{407543FC-96E9-41D9-ABCC-DA7493303474}"/>
    <cellStyle name="Separador de milhares 7 4 2 4 5 3" xfId="31152" xr:uid="{EC00751C-5CEB-4E51-80C8-1E6342CB9904}"/>
    <cellStyle name="Separador de milhares 7 4 2 4 6" xfId="22318" xr:uid="{00000000-0005-0000-0000-00007D610000}"/>
    <cellStyle name="Separador de milhares 7 4 2 4 6 2" xfId="31154" xr:uid="{2F75357F-1629-4545-90D0-0001595F5992}"/>
    <cellStyle name="Separador de milhares 7 4 2 4 7" xfId="31145" xr:uid="{F67A2E45-3BC4-4D7A-BB9B-200835C64ED5}"/>
    <cellStyle name="Separador de milhares 7 4 2 40" xfId="22319" xr:uid="{00000000-0005-0000-0000-00007E610000}"/>
    <cellStyle name="Separador de milhares 7 4 2 40 2" xfId="22320" xr:uid="{00000000-0005-0000-0000-00007F610000}"/>
    <cellStyle name="Separador de milhares 7 4 2 40 2 2" xfId="31156" xr:uid="{EEBED647-4AF7-4105-A205-A66C53B077BD}"/>
    <cellStyle name="Separador de milhares 7 4 2 40 3" xfId="31155" xr:uid="{9EE30F88-69F7-47A0-87CE-E75EEE48E656}"/>
    <cellStyle name="Separador de milhares 7 4 2 41" xfId="22321" xr:uid="{00000000-0005-0000-0000-000080610000}"/>
    <cellStyle name="Separador de milhares 7 4 2 41 2" xfId="22322" xr:uid="{00000000-0005-0000-0000-000081610000}"/>
    <cellStyle name="Separador de milhares 7 4 2 41 2 2" xfId="31158" xr:uid="{CA6ECE2D-A068-42B1-902A-92C3BC31BF2C}"/>
    <cellStyle name="Separador de milhares 7 4 2 41 3" xfId="31157" xr:uid="{9279BF0C-D598-4212-8CF8-E12B408B64EB}"/>
    <cellStyle name="Separador de milhares 7 4 2 42" xfId="22323" xr:uid="{00000000-0005-0000-0000-000082610000}"/>
    <cellStyle name="Separador de milhares 7 4 2 42 2" xfId="22324" xr:uid="{00000000-0005-0000-0000-000083610000}"/>
    <cellStyle name="Separador de milhares 7 4 2 42 2 2" xfId="31160" xr:uid="{6549C3B4-89FE-470C-9E73-4E6A18554B74}"/>
    <cellStyle name="Separador de milhares 7 4 2 42 3" xfId="31159" xr:uid="{9289AE35-5AEF-407D-9997-25D898835E5C}"/>
    <cellStyle name="Separador de milhares 7 4 2 43" xfId="22325" xr:uid="{00000000-0005-0000-0000-000084610000}"/>
    <cellStyle name="Separador de milhares 7 4 2 43 2" xfId="22326" xr:uid="{00000000-0005-0000-0000-000085610000}"/>
    <cellStyle name="Separador de milhares 7 4 2 43 2 2" xfId="31162" xr:uid="{E74848EC-A223-46A5-8915-E61CA0BBAE74}"/>
    <cellStyle name="Separador de milhares 7 4 2 43 3" xfId="31161" xr:uid="{2DA2A112-A613-4431-B039-B2662CA619B9}"/>
    <cellStyle name="Separador de milhares 7 4 2 44" xfId="22327" xr:uid="{00000000-0005-0000-0000-000086610000}"/>
    <cellStyle name="Separador de milhares 7 4 2 44 2" xfId="22328" xr:uid="{00000000-0005-0000-0000-000087610000}"/>
    <cellStyle name="Separador de milhares 7 4 2 44 2 2" xfId="31164" xr:uid="{A15D0AD9-D947-4794-A1B1-9FFD28E66D75}"/>
    <cellStyle name="Separador de milhares 7 4 2 44 3" xfId="31163" xr:uid="{E37D93E0-BB6B-4FB7-BC84-BEB9DBD51538}"/>
    <cellStyle name="Separador de milhares 7 4 2 45" xfId="22329" xr:uid="{00000000-0005-0000-0000-000088610000}"/>
    <cellStyle name="Separador de milhares 7 4 2 45 2" xfId="22330" xr:uid="{00000000-0005-0000-0000-000089610000}"/>
    <cellStyle name="Separador de milhares 7 4 2 45 2 2" xfId="31166" xr:uid="{6FB3E48F-585A-4EF3-8C39-BCC85F5F0DDF}"/>
    <cellStyle name="Separador de milhares 7 4 2 45 3" xfId="31165" xr:uid="{341B89C7-A36E-4A9D-A0A9-9A0D30761D5F}"/>
    <cellStyle name="Separador de milhares 7 4 2 46" xfId="22331" xr:uid="{00000000-0005-0000-0000-00008A610000}"/>
    <cellStyle name="Separador de milhares 7 4 2 46 2" xfId="22332" xr:uid="{00000000-0005-0000-0000-00008B610000}"/>
    <cellStyle name="Separador de milhares 7 4 2 46 2 2" xfId="31168" xr:uid="{4932FF75-B395-4A3E-B2BF-BE1F7588515F}"/>
    <cellStyle name="Separador de milhares 7 4 2 46 3" xfId="31167" xr:uid="{3872948B-7EDD-4C96-AABC-E1B3C926A827}"/>
    <cellStyle name="Separador de milhares 7 4 2 47" xfId="22333" xr:uid="{00000000-0005-0000-0000-00008C610000}"/>
    <cellStyle name="Separador de milhares 7 4 2 47 2" xfId="31169" xr:uid="{ECDFEDA6-FB22-4519-937F-4B0758995A09}"/>
    <cellStyle name="Separador de milhares 7 4 2 48" xfId="22112" xr:uid="{00000000-0005-0000-0000-00008D610000}"/>
    <cellStyle name="Separador de milhares 7 4 2 49" xfId="28082" xr:uid="{C69BA899-5452-4D78-9273-738F1D180392}"/>
    <cellStyle name="Separador de milhares 7 4 2 5" xfId="22334" xr:uid="{00000000-0005-0000-0000-00008E610000}"/>
    <cellStyle name="Separador de milhares 7 4 2 5 2" xfId="22335" xr:uid="{00000000-0005-0000-0000-00008F610000}"/>
    <cellStyle name="Separador de milhares 7 4 2 5 2 2" xfId="31171" xr:uid="{D9EB368D-C7BC-450E-83CE-BEBFA8C773D0}"/>
    <cellStyle name="Separador de milhares 7 4 2 5 3" xfId="31170" xr:uid="{A310696B-7E35-4ACD-8A20-485EA7DF3B74}"/>
    <cellStyle name="Separador de milhares 7 4 2 6" xfId="22336" xr:uid="{00000000-0005-0000-0000-000090610000}"/>
    <cellStyle name="Separador de milhares 7 4 2 6 2" xfId="22337" xr:uid="{00000000-0005-0000-0000-000091610000}"/>
    <cellStyle name="Separador de milhares 7 4 2 6 2 2" xfId="31173" xr:uid="{C2F00553-08E3-4A7A-A744-9975B4906FF1}"/>
    <cellStyle name="Separador de milhares 7 4 2 6 3" xfId="31172" xr:uid="{22EBACED-7FBA-4EAB-A770-90D318F00086}"/>
    <cellStyle name="Separador de milhares 7 4 2 7" xfId="22338" xr:uid="{00000000-0005-0000-0000-000092610000}"/>
    <cellStyle name="Separador de milhares 7 4 2 7 2" xfId="22339" xr:uid="{00000000-0005-0000-0000-000093610000}"/>
    <cellStyle name="Separador de milhares 7 4 2 7 2 2" xfId="31175" xr:uid="{A258534C-BF9E-4BF3-A77E-BEAE9BD04CF4}"/>
    <cellStyle name="Separador de milhares 7 4 2 7 3" xfId="31174" xr:uid="{F38BDB91-3FF1-4374-AB2E-4F8BCB8F2E7E}"/>
    <cellStyle name="Separador de milhares 7 4 2 8" xfId="22340" xr:uid="{00000000-0005-0000-0000-000094610000}"/>
    <cellStyle name="Separador de milhares 7 4 2 8 2" xfId="22341" xr:uid="{00000000-0005-0000-0000-000095610000}"/>
    <cellStyle name="Separador de milhares 7 4 2 8 2 2" xfId="31177" xr:uid="{CE31598E-E9D0-4AF0-9D28-3EFC1D7D6567}"/>
    <cellStyle name="Separador de milhares 7 4 2 8 3" xfId="31176" xr:uid="{7D6194CD-4815-4E0A-AEC3-C6D07575F58B}"/>
    <cellStyle name="Separador de milhares 7 4 2 9" xfId="22342" xr:uid="{00000000-0005-0000-0000-000096610000}"/>
    <cellStyle name="Separador de milhares 7 4 2 9 2" xfId="22343" xr:uid="{00000000-0005-0000-0000-000097610000}"/>
    <cellStyle name="Separador de milhares 7 4 2 9 2 2" xfId="31179" xr:uid="{990F086C-C57B-4C2A-B05C-797B7EF25A45}"/>
    <cellStyle name="Separador de milhares 7 4 2 9 3" xfId="31178" xr:uid="{9710A004-60F0-4F0B-A7C2-2A107752B6F8}"/>
    <cellStyle name="Separador de milhares 7 4 20" xfId="22344" xr:uid="{00000000-0005-0000-0000-000098610000}"/>
    <cellStyle name="Separador de milhares 7 4 20 2" xfId="22345" xr:uid="{00000000-0005-0000-0000-000099610000}"/>
    <cellStyle name="Separador de milhares 7 4 20 2 2" xfId="31181" xr:uid="{3A394389-B69E-4E75-9520-4F00FA420F8A}"/>
    <cellStyle name="Separador de milhares 7 4 20 3" xfId="31180" xr:uid="{6ADB0BAA-5BA3-4C62-B61B-659D9221535D}"/>
    <cellStyle name="Separador de milhares 7 4 21" xfId="22346" xr:uid="{00000000-0005-0000-0000-00009A610000}"/>
    <cellStyle name="Separador de milhares 7 4 21 2" xfId="22347" xr:uid="{00000000-0005-0000-0000-00009B610000}"/>
    <cellStyle name="Separador de milhares 7 4 21 2 2" xfId="31183" xr:uid="{F96550A2-3145-483C-9A37-2C4490313E44}"/>
    <cellStyle name="Separador de milhares 7 4 21 3" xfId="31182" xr:uid="{57F5919C-F93B-4EF2-ACEF-83CF6F9B60C9}"/>
    <cellStyle name="Separador de milhares 7 4 22" xfId="22348" xr:uid="{00000000-0005-0000-0000-00009C610000}"/>
    <cellStyle name="Separador de milhares 7 4 22 2" xfId="22349" xr:uid="{00000000-0005-0000-0000-00009D610000}"/>
    <cellStyle name="Separador de milhares 7 4 22 2 2" xfId="31185" xr:uid="{A5B0EC38-E94E-42C4-B5A9-215DF063A463}"/>
    <cellStyle name="Separador de milhares 7 4 22 3" xfId="31184" xr:uid="{E82CB2D2-8881-44DD-B427-4540A008738F}"/>
    <cellStyle name="Separador de milhares 7 4 23" xfId="22350" xr:uid="{00000000-0005-0000-0000-00009E610000}"/>
    <cellStyle name="Separador de milhares 7 4 23 2" xfId="22351" xr:uid="{00000000-0005-0000-0000-00009F610000}"/>
    <cellStyle name="Separador de milhares 7 4 23 2 2" xfId="31187" xr:uid="{616E7EB9-AAEC-43E3-8994-B05CC971BB88}"/>
    <cellStyle name="Separador de milhares 7 4 23 3" xfId="31186" xr:uid="{B1BB2BE4-F38F-4324-9623-B55AF31C4226}"/>
    <cellStyle name="Separador de milhares 7 4 24" xfId="22352" xr:uid="{00000000-0005-0000-0000-0000A0610000}"/>
    <cellStyle name="Separador de milhares 7 4 24 2" xfId="22353" xr:uid="{00000000-0005-0000-0000-0000A1610000}"/>
    <cellStyle name="Separador de milhares 7 4 24 2 2" xfId="31189" xr:uid="{B6042AE4-1883-4FA9-AD47-436395D88307}"/>
    <cellStyle name="Separador de milhares 7 4 24 3" xfId="31188" xr:uid="{8B5A91C0-3A83-4406-BE6A-6288C9638F4F}"/>
    <cellStyle name="Separador de milhares 7 4 25" xfId="22354" xr:uid="{00000000-0005-0000-0000-0000A2610000}"/>
    <cellStyle name="Separador de milhares 7 4 25 2" xfId="22355" xr:uid="{00000000-0005-0000-0000-0000A3610000}"/>
    <cellStyle name="Separador de milhares 7 4 25 2 2" xfId="31191" xr:uid="{8A7055A7-BD20-4AB7-B7C4-D34766E22B99}"/>
    <cellStyle name="Separador de milhares 7 4 25 3" xfId="31190" xr:uid="{F0829CF3-3E1C-4677-AFFF-9E0382BDCA4F}"/>
    <cellStyle name="Separador de milhares 7 4 26" xfId="22356" xr:uid="{00000000-0005-0000-0000-0000A4610000}"/>
    <cellStyle name="Separador de milhares 7 4 26 2" xfId="22357" xr:uid="{00000000-0005-0000-0000-0000A5610000}"/>
    <cellStyle name="Separador de milhares 7 4 26 2 2" xfId="31193" xr:uid="{FD4EDD75-FE1C-4CE9-BDDA-6C6BB2AA2FC5}"/>
    <cellStyle name="Separador de milhares 7 4 26 3" xfId="31192" xr:uid="{B9CCFCA2-F3A9-44C8-831F-3D73AD624B08}"/>
    <cellStyle name="Separador de milhares 7 4 27" xfId="22358" xr:uid="{00000000-0005-0000-0000-0000A6610000}"/>
    <cellStyle name="Separador de milhares 7 4 27 2" xfId="22359" xr:uid="{00000000-0005-0000-0000-0000A7610000}"/>
    <cellStyle name="Separador de milhares 7 4 27 2 2" xfId="31195" xr:uid="{79752C86-34B5-47FD-961A-B7EE86B2B951}"/>
    <cellStyle name="Separador de milhares 7 4 27 3" xfId="31194" xr:uid="{6ED9CE71-F016-4D79-80B4-6D0EB0460549}"/>
    <cellStyle name="Separador de milhares 7 4 28" xfId="22360" xr:uid="{00000000-0005-0000-0000-0000A8610000}"/>
    <cellStyle name="Separador de milhares 7 4 28 2" xfId="22361" xr:uid="{00000000-0005-0000-0000-0000A9610000}"/>
    <cellStyle name="Separador de milhares 7 4 28 2 2" xfId="31197" xr:uid="{20BD518B-BD2C-48EB-B24A-4050F60077D1}"/>
    <cellStyle name="Separador de milhares 7 4 28 3" xfId="31196" xr:uid="{5CEA49B9-0CC7-42F7-ABD2-0544AA43BEA5}"/>
    <cellStyle name="Separador de milhares 7 4 29" xfId="22362" xr:uid="{00000000-0005-0000-0000-0000AA610000}"/>
    <cellStyle name="Separador de milhares 7 4 29 2" xfId="22363" xr:uid="{00000000-0005-0000-0000-0000AB610000}"/>
    <cellStyle name="Separador de milhares 7 4 29 2 2" xfId="31199" xr:uid="{27CC3E6E-B5D5-44BD-965B-D2609A491B2F}"/>
    <cellStyle name="Separador de milhares 7 4 29 3" xfId="31198" xr:uid="{CEAD961D-D18A-4CAF-B47E-E75971B5E085}"/>
    <cellStyle name="Separador de milhares 7 4 3" xfId="852" xr:uid="{00000000-0005-0000-0000-0000AC610000}"/>
    <cellStyle name="Separador de milhares 7 4 3 10" xfId="22365" xr:uid="{00000000-0005-0000-0000-0000AD610000}"/>
    <cellStyle name="Separador de milhares 7 4 3 10 2" xfId="22366" xr:uid="{00000000-0005-0000-0000-0000AE610000}"/>
    <cellStyle name="Separador de milhares 7 4 3 10 2 2" xfId="31201" xr:uid="{20B12870-A4D9-4EBC-AE85-4FA8586F63A1}"/>
    <cellStyle name="Separador de milhares 7 4 3 10 3" xfId="31200" xr:uid="{5EB9FE02-CBAE-44AA-9FEB-ED84BA21F2D8}"/>
    <cellStyle name="Separador de milhares 7 4 3 11" xfId="22367" xr:uid="{00000000-0005-0000-0000-0000AF610000}"/>
    <cellStyle name="Separador de milhares 7 4 3 11 2" xfId="22368" xr:uid="{00000000-0005-0000-0000-0000B0610000}"/>
    <cellStyle name="Separador de milhares 7 4 3 11 2 2" xfId="31203" xr:uid="{EDF0366B-3B8B-4FDC-96E5-48CF8F75F7F4}"/>
    <cellStyle name="Separador de milhares 7 4 3 11 3" xfId="31202" xr:uid="{B083BD0D-3E1B-42ED-9C50-55BFE5B3AE25}"/>
    <cellStyle name="Separador de milhares 7 4 3 12" xfId="22369" xr:uid="{00000000-0005-0000-0000-0000B1610000}"/>
    <cellStyle name="Separador de milhares 7 4 3 12 2" xfId="22370" xr:uid="{00000000-0005-0000-0000-0000B2610000}"/>
    <cellStyle name="Separador de milhares 7 4 3 12 2 2" xfId="31205" xr:uid="{1B830DC7-B0F5-4F87-92D8-3B7FD877A26E}"/>
    <cellStyle name="Separador de milhares 7 4 3 12 3" xfId="31204" xr:uid="{6A45DBD1-E78D-4374-9CED-1466A0BD4711}"/>
    <cellStyle name="Separador de milhares 7 4 3 13" xfId="22371" xr:uid="{00000000-0005-0000-0000-0000B3610000}"/>
    <cellStyle name="Separador de milhares 7 4 3 13 2" xfId="22372" xr:uid="{00000000-0005-0000-0000-0000B4610000}"/>
    <cellStyle name="Separador de milhares 7 4 3 13 2 2" xfId="31207" xr:uid="{E5CEEECE-1F99-4D03-B232-714451740F40}"/>
    <cellStyle name="Separador de milhares 7 4 3 13 3" xfId="31206" xr:uid="{F95B2A7B-5A83-42A4-B578-63F90C4475EC}"/>
    <cellStyle name="Separador de milhares 7 4 3 14" xfId="22373" xr:uid="{00000000-0005-0000-0000-0000B5610000}"/>
    <cellStyle name="Separador de milhares 7 4 3 14 2" xfId="22374" xr:uid="{00000000-0005-0000-0000-0000B6610000}"/>
    <cellStyle name="Separador de milhares 7 4 3 14 2 2" xfId="31209" xr:uid="{ADD15CC9-D277-462D-AD70-16ABB718E6EB}"/>
    <cellStyle name="Separador de milhares 7 4 3 14 3" xfId="31208" xr:uid="{3C88CB72-A200-45CA-B086-ED13ED2D9066}"/>
    <cellStyle name="Separador de milhares 7 4 3 15" xfId="22375" xr:uid="{00000000-0005-0000-0000-0000B7610000}"/>
    <cellStyle name="Separador de milhares 7 4 3 15 2" xfId="22376" xr:uid="{00000000-0005-0000-0000-0000B8610000}"/>
    <cellStyle name="Separador de milhares 7 4 3 15 2 2" xfId="31211" xr:uid="{05396C14-2E14-45BA-9CFC-99F5D2AA915D}"/>
    <cellStyle name="Separador de milhares 7 4 3 15 3" xfId="31210" xr:uid="{4F31DB04-1B5F-44DE-A3AA-49DE5C626F27}"/>
    <cellStyle name="Separador de milhares 7 4 3 16" xfId="22377" xr:uid="{00000000-0005-0000-0000-0000B9610000}"/>
    <cellStyle name="Separador de milhares 7 4 3 16 2" xfId="22378" xr:uid="{00000000-0005-0000-0000-0000BA610000}"/>
    <cellStyle name="Separador de milhares 7 4 3 16 2 2" xfId="31213" xr:uid="{7AF10804-D228-444C-9435-E52121D4253B}"/>
    <cellStyle name="Separador de milhares 7 4 3 16 3" xfId="31212" xr:uid="{E33620DB-CA58-4134-8843-60B0440426DD}"/>
    <cellStyle name="Separador de milhares 7 4 3 17" xfId="22379" xr:uid="{00000000-0005-0000-0000-0000BB610000}"/>
    <cellStyle name="Separador de milhares 7 4 3 17 2" xfId="22380" xr:uid="{00000000-0005-0000-0000-0000BC610000}"/>
    <cellStyle name="Separador de milhares 7 4 3 17 2 2" xfId="31215" xr:uid="{02EBDB37-2CE0-4119-8F41-08EC789691E1}"/>
    <cellStyle name="Separador de milhares 7 4 3 17 3" xfId="31214" xr:uid="{B3337D30-50AC-4C8F-BD7F-027A621084C8}"/>
    <cellStyle name="Separador de milhares 7 4 3 18" xfId="22381" xr:uid="{00000000-0005-0000-0000-0000BD610000}"/>
    <cellStyle name="Separador de milhares 7 4 3 18 2" xfId="22382" xr:uid="{00000000-0005-0000-0000-0000BE610000}"/>
    <cellStyle name="Separador de milhares 7 4 3 18 2 2" xfId="31217" xr:uid="{552018E9-380F-4EC5-907F-3063B936AD9F}"/>
    <cellStyle name="Separador de milhares 7 4 3 18 3" xfId="31216" xr:uid="{2CD95A64-560E-4B4A-97D0-55C2963A17A8}"/>
    <cellStyle name="Separador de milhares 7 4 3 19" xfId="22383" xr:uid="{00000000-0005-0000-0000-0000BF610000}"/>
    <cellStyle name="Separador de milhares 7 4 3 19 2" xfId="22384" xr:uid="{00000000-0005-0000-0000-0000C0610000}"/>
    <cellStyle name="Separador de milhares 7 4 3 19 2 2" xfId="31219" xr:uid="{AD039CF0-4714-4112-A4B9-B6404352984D}"/>
    <cellStyle name="Separador de milhares 7 4 3 19 3" xfId="31218" xr:uid="{74A11375-51AD-4AE4-92D6-31058250E6AC}"/>
    <cellStyle name="Separador de milhares 7 4 3 2" xfId="22385" xr:uid="{00000000-0005-0000-0000-0000C1610000}"/>
    <cellStyle name="Separador de milhares 7 4 3 2 10" xfId="22386" xr:uid="{00000000-0005-0000-0000-0000C2610000}"/>
    <cellStyle name="Separador de milhares 7 4 3 2 10 2" xfId="22387" xr:uid="{00000000-0005-0000-0000-0000C3610000}"/>
    <cellStyle name="Separador de milhares 7 4 3 2 10 2 2" xfId="31222" xr:uid="{32AC124E-046A-4425-8F3E-B570FF0AB9FE}"/>
    <cellStyle name="Separador de milhares 7 4 3 2 10 3" xfId="31221" xr:uid="{28CE33D4-4F76-4E54-8199-0B203C255874}"/>
    <cellStyle name="Separador de milhares 7 4 3 2 11" xfId="22388" xr:uid="{00000000-0005-0000-0000-0000C4610000}"/>
    <cellStyle name="Separador de milhares 7 4 3 2 11 2" xfId="22389" xr:uid="{00000000-0005-0000-0000-0000C5610000}"/>
    <cellStyle name="Separador de milhares 7 4 3 2 11 2 2" xfId="31224" xr:uid="{D1727B19-41A3-41DD-B2DD-E2DE47514FD8}"/>
    <cellStyle name="Separador de milhares 7 4 3 2 11 3" xfId="31223" xr:uid="{6A2DC322-4105-4B30-ABD2-6B8992F3FE84}"/>
    <cellStyle name="Separador de milhares 7 4 3 2 12" xfId="22390" xr:uid="{00000000-0005-0000-0000-0000C6610000}"/>
    <cellStyle name="Separador de milhares 7 4 3 2 12 2" xfId="22391" xr:uid="{00000000-0005-0000-0000-0000C7610000}"/>
    <cellStyle name="Separador de milhares 7 4 3 2 12 2 2" xfId="31226" xr:uid="{AA562197-98BD-4ED5-B2B4-74E2B73D6233}"/>
    <cellStyle name="Separador de milhares 7 4 3 2 12 3" xfId="31225" xr:uid="{B1E5F457-663F-43D6-9E56-21B361C38EE6}"/>
    <cellStyle name="Separador de milhares 7 4 3 2 13" xfId="22392" xr:uid="{00000000-0005-0000-0000-0000C8610000}"/>
    <cellStyle name="Separador de milhares 7 4 3 2 13 2" xfId="22393" xr:uid="{00000000-0005-0000-0000-0000C9610000}"/>
    <cellStyle name="Separador de milhares 7 4 3 2 13 2 2" xfId="31228" xr:uid="{C15E6C6F-5D41-4426-8B89-5EB4788D2445}"/>
    <cellStyle name="Separador de milhares 7 4 3 2 13 3" xfId="31227" xr:uid="{6B55CF6F-BB94-4BEF-A783-6C781EC601D3}"/>
    <cellStyle name="Separador de milhares 7 4 3 2 14" xfId="22394" xr:uid="{00000000-0005-0000-0000-0000CA610000}"/>
    <cellStyle name="Separador de milhares 7 4 3 2 14 2" xfId="22395" xr:uid="{00000000-0005-0000-0000-0000CB610000}"/>
    <cellStyle name="Separador de milhares 7 4 3 2 14 2 2" xfId="31230" xr:uid="{49B6DB0D-13C8-464D-B866-4ABEB4787888}"/>
    <cellStyle name="Separador de milhares 7 4 3 2 14 3" xfId="31229" xr:uid="{20B5718A-6550-4F10-AC52-774348F09589}"/>
    <cellStyle name="Separador de milhares 7 4 3 2 15" xfId="22396" xr:uid="{00000000-0005-0000-0000-0000CC610000}"/>
    <cellStyle name="Separador de milhares 7 4 3 2 15 2" xfId="22397" xr:uid="{00000000-0005-0000-0000-0000CD610000}"/>
    <cellStyle name="Separador de milhares 7 4 3 2 15 2 2" xfId="31232" xr:uid="{5AA80B1C-CE99-43E9-AA6C-2B19C59809AB}"/>
    <cellStyle name="Separador de milhares 7 4 3 2 15 3" xfId="31231" xr:uid="{6FA52852-573E-4ABC-AA0C-10979ABC3804}"/>
    <cellStyle name="Separador de milhares 7 4 3 2 16" xfId="22398" xr:uid="{00000000-0005-0000-0000-0000CE610000}"/>
    <cellStyle name="Separador de milhares 7 4 3 2 16 2" xfId="22399" xr:uid="{00000000-0005-0000-0000-0000CF610000}"/>
    <cellStyle name="Separador de milhares 7 4 3 2 16 2 2" xfId="31234" xr:uid="{26F56DEE-20D4-4372-893D-8E9C9E9F8CDC}"/>
    <cellStyle name="Separador de milhares 7 4 3 2 16 3" xfId="31233" xr:uid="{D5E9BA54-C24D-46CC-AB07-43B6B2DC298D}"/>
    <cellStyle name="Separador de milhares 7 4 3 2 17" xfId="22400" xr:uid="{00000000-0005-0000-0000-0000D0610000}"/>
    <cellStyle name="Separador de milhares 7 4 3 2 17 2" xfId="22401" xr:uid="{00000000-0005-0000-0000-0000D1610000}"/>
    <cellStyle name="Separador de milhares 7 4 3 2 17 2 2" xfId="31236" xr:uid="{739F49C3-55D1-4E41-9E11-D65C1D85F8FD}"/>
    <cellStyle name="Separador de milhares 7 4 3 2 17 3" xfId="31235" xr:uid="{6843A9FC-F4AB-400E-90E8-51D53E8E4CA7}"/>
    <cellStyle name="Separador de milhares 7 4 3 2 18" xfId="22402" xr:uid="{00000000-0005-0000-0000-0000D2610000}"/>
    <cellStyle name="Separador de milhares 7 4 3 2 18 2" xfId="22403" xr:uid="{00000000-0005-0000-0000-0000D3610000}"/>
    <cellStyle name="Separador de milhares 7 4 3 2 18 2 2" xfId="31238" xr:uid="{FDA1183E-9AB3-4C03-B19E-C27FDE97D400}"/>
    <cellStyle name="Separador de milhares 7 4 3 2 18 3" xfId="31237" xr:uid="{717A9A16-C9BC-4E9A-845D-AB8FEA2DCD01}"/>
    <cellStyle name="Separador de milhares 7 4 3 2 19" xfId="22404" xr:uid="{00000000-0005-0000-0000-0000D4610000}"/>
    <cellStyle name="Separador de milhares 7 4 3 2 19 2" xfId="22405" xr:uid="{00000000-0005-0000-0000-0000D5610000}"/>
    <cellStyle name="Separador de milhares 7 4 3 2 19 2 2" xfId="31240" xr:uid="{262C02C2-096D-435C-9213-96582D579C0C}"/>
    <cellStyle name="Separador de milhares 7 4 3 2 19 3" xfId="31239" xr:uid="{B3E6B3D1-CDBC-42F7-8D95-891556084512}"/>
    <cellStyle name="Separador de milhares 7 4 3 2 2" xfId="22406" xr:uid="{00000000-0005-0000-0000-0000D6610000}"/>
    <cellStyle name="Separador de milhares 7 4 3 2 2 2" xfId="22407" xr:uid="{00000000-0005-0000-0000-0000D7610000}"/>
    <cellStyle name="Separador de milhares 7 4 3 2 2 2 2" xfId="31242" xr:uid="{D99AA775-81DD-4CE3-BB47-FB1BE0627098}"/>
    <cellStyle name="Separador de milhares 7 4 3 2 2 3" xfId="31241" xr:uid="{4FC39B6D-7827-4FB9-9181-C57D4936F214}"/>
    <cellStyle name="Separador de milhares 7 4 3 2 20" xfId="22408" xr:uid="{00000000-0005-0000-0000-0000D8610000}"/>
    <cellStyle name="Separador de milhares 7 4 3 2 20 2" xfId="22409" xr:uid="{00000000-0005-0000-0000-0000D9610000}"/>
    <cellStyle name="Separador de milhares 7 4 3 2 20 2 2" xfId="31244" xr:uid="{96CB5985-9CD9-4480-A903-9BC004108A77}"/>
    <cellStyle name="Separador de milhares 7 4 3 2 20 3" xfId="31243" xr:uid="{5E908360-02E8-496F-A381-582667A3C96B}"/>
    <cellStyle name="Separador de milhares 7 4 3 2 21" xfId="22410" xr:uid="{00000000-0005-0000-0000-0000DA610000}"/>
    <cellStyle name="Separador de milhares 7 4 3 2 21 2" xfId="22411" xr:uid="{00000000-0005-0000-0000-0000DB610000}"/>
    <cellStyle name="Separador de milhares 7 4 3 2 21 2 2" xfId="31246" xr:uid="{D0E345FF-50F1-4798-8F6C-1CC4A19C194E}"/>
    <cellStyle name="Separador de milhares 7 4 3 2 21 3" xfId="31245" xr:uid="{8FD6D8A6-8A5E-4131-A874-C6236C2F15BC}"/>
    <cellStyle name="Separador de milhares 7 4 3 2 22" xfId="22412" xr:uid="{00000000-0005-0000-0000-0000DC610000}"/>
    <cellStyle name="Separador de milhares 7 4 3 2 22 2" xfId="22413" xr:uid="{00000000-0005-0000-0000-0000DD610000}"/>
    <cellStyle name="Separador de milhares 7 4 3 2 22 2 2" xfId="31248" xr:uid="{DBCBAE99-7331-4C0F-844E-3DE45BF540F1}"/>
    <cellStyle name="Separador de milhares 7 4 3 2 22 3" xfId="31247" xr:uid="{35BEECD0-9E18-469A-99DA-8BF54A60FBD7}"/>
    <cellStyle name="Separador de milhares 7 4 3 2 23" xfId="22414" xr:uid="{00000000-0005-0000-0000-0000DE610000}"/>
    <cellStyle name="Separador de milhares 7 4 3 2 23 2" xfId="22415" xr:uid="{00000000-0005-0000-0000-0000DF610000}"/>
    <cellStyle name="Separador de milhares 7 4 3 2 23 2 2" xfId="31250" xr:uid="{EC73744D-C0E6-4A02-8EBD-C3B303F44A84}"/>
    <cellStyle name="Separador de milhares 7 4 3 2 23 3" xfId="31249" xr:uid="{FE4D6147-33D4-4599-B55A-24060464AD8B}"/>
    <cellStyle name="Separador de milhares 7 4 3 2 24" xfId="22416" xr:uid="{00000000-0005-0000-0000-0000E0610000}"/>
    <cellStyle name="Separador de milhares 7 4 3 2 24 2" xfId="22417" xr:uid="{00000000-0005-0000-0000-0000E1610000}"/>
    <cellStyle name="Separador de milhares 7 4 3 2 24 2 2" xfId="31252" xr:uid="{105E8826-4076-457B-9247-D9BF93D20830}"/>
    <cellStyle name="Separador de milhares 7 4 3 2 24 3" xfId="31251" xr:uid="{2590C29C-3CBA-4F5F-9C52-82A76B3D1BED}"/>
    <cellStyle name="Separador de milhares 7 4 3 2 25" xfId="22418" xr:uid="{00000000-0005-0000-0000-0000E2610000}"/>
    <cellStyle name="Separador de milhares 7 4 3 2 25 2" xfId="22419" xr:uid="{00000000-0005-0000-0000-0000E3610000}"/>
    <cellStyle name="Separador de milhares 7 4 3 2 25 2 2" xfId="31254" xr:uid="{C2892761-D12A-4EA5-BD90-2FC052E20837}"/>
    <cellStyle name="Separador de milhares 7 4 3 2 25 3" xfId="31253" xr:uid="{E49EF5DA-BD51-4D8D-B5F9-0AA06FD5FD0A}"/>
    <cellStyle name="Separador de milhares 7 4 3 2 26" xfId="22420" xr:uid="{00000000-0005-0000-0000-0000E4610000}"/>
    <cellStyle name="Separador de milhares 7 4 3 2 26 2" xfId="22421" xr:uid="{00000000-0005-0000-0000-0000E5610000}"/>
    <cellStyle name="Separador de milhares 7 4 3 2 26 2 2" xfId="31256" xr:uid="{1124BA26-0A66-4365-881F-053290646B72}"/>
    <cellStyle name="Separador de milhares 7 4 3 2 26 3" xfId="31255" xr:uid="{A22C3E8A-0AF6-4518-8138-8C62F42B03CB}"/>
    <cellStyle name="Separador de milhares 7 4 3 2 27" xfId="22422" xr:uid="{00000000-0005-0000-0000-0000E6610000}"/>
    <cellStyle name="Separador de milhares 7 4 3 2 27 2" xfId="22423" xr:uid="{00000000-0005-0000-0000-0000E7610000}"/>
    <cellStyle name="Separador de milhares 7 4 3 2 27 2 2" xfId="31258" xr:uid="{75367C7A-6743-4268-8A16-F62F479EA151}"/>
    <cellStyle name="Separador de milhares 7 4 3 2 27 3" xfId="31257" xr:uid="{741530A3-5482-4765-9809-A14CFEA2E758}"/>
    <cellStyle name="Separador de milhares 7 4 3 2 28" xfId="22424" xr:uid="{00000000-0005-0000-0000-0000E8610000}"/>
    <cellStyle name="Separador de milhares 7 4 3 2 28 2" xfId="22425" xr:uid="{00000000-0005-0000-0000-0000E9610000}"/>
    <cellStyle name="Separador de milhares 7 4 3 2 28 2 2" xfId="31260" xr:uid="{93BFE45D-FB6B-4FAC-A610-AB6F81F3E610}"/>
    <cellStyle name="Separador de milhares 7 4 3 2 28 3" xfId="31259" xr:uid="{7286C400-BE26-4A13-949B-EA3C9A600210}"/>
    <cellStyle name="Separador de milhares 7 4 3 2 29" xfId="22426" xr:uid="{00000000-0005-0000-0000-0000EA610000}"/>
    <cellStyle name="Separador de milhares 7 4 3 2 29 2" xfId="22427" xr:uid="{00000000-0005-0000-0000-0000EB610000}"/>
    <cellStyle name="Separador de milhares 7 4 3 2 29 2 2" xfId="31262" xr:uid="{FCAEB8F9-A86A-49A6-A377-84A871B395FF}"/>
    <cellStyle name="Separador de milhares 7 4 3 2 29 3" xfId="31261" xr:uid="{E3D83AD3-B5E4-41F8-B3BF-934684BC1BA4}"/>
    <cellStyle name="Separador de milhares 7 4 3 2 3" xfId="22428" xr:uid="{00000000-0005-0000-0000-0000EC610000}"/>
    <cellStyle name="Separador de milhares 7 4 3 2 3 2" xfId="22429" xr:uid="{00000000-0005-0000-0000-0000ED610000}"/>
    <cellStyle name="Separador de milhares 7 4 3 2 3 2 2" xfId="31264" xr:uid="{A9114FA7-3E90-4D0C-A46F-5C96FBCB6E9B}"/>
    <cellStyle name="Separador de milhares 7 4 3 2 3 3" xfId="31263" xr:uid="{5DE9F59C-3AF3-4869-9737-1019C25224CA}"/>
    <cellStyle name="Separador de milhares 7 4 3 2 30" xfId="22430" xr:uid="{00000000-0005-0000-0000-0000EE610000}"/>
    <cellStyle name="Separador de milhares 7 4 3 2 30 2" xfId="22431" xr:uid="{00000000-0005-0000-0000-0000EF610000}"/>
    <cellStyle name="Separador de milhares 7 4 3 2 30 2 2" xfId="31266" xr:uid="{17A16712-EE9C-4A69-A015-DA0B1E613327}"/>
    <cellStyle name="Separador de milhares 7 4 3 2 30 3" xfId="31265" xr:uid="{E1B8630B-6636-4002-87E5-B444E0371D85}"/>
    <cellStyle name="Separador de milhares 7 4 3 2 31" xfId="22432" xr:uid="{00000000-0005-0000-0000-0000F0610000}"/>
    <cellStyle name="Separador de milhares 7 4 3 2 31 2" xfId="22433" xr:uid="{00000000-0005-0000-0000-0000F1610000}"/>
    <cellStyle name="Separador de milhares 7 4 3 2 31 2 2" xfId="31268" xr:uid="{20951931-2A7F-4001-9426-EA5A06083925}"/>
    <cellStyle name="Separador de milhares 7 4 3 2 31 3" xfId="31267" xr:uid="{39FD9640-C83B-498B-8EB1-F0DC4299A337}"/>
    <cellStyle name="Separador de milhares 7 4 3 2 32" xfId="22434" xr:uid="{00000000-0005-0000-0000-0000F2610000}"/>
    <cellStyle name="Separador de milhares 7 4 3 2 32 2" xfId="22435" xr:uid="{00000000-0005-0000-0000-0000F3610000}"/>
    <cellStyle name="Separador de milhares 7 4 3 2 32 2 2" xfId="31270" xr:uid="{5704AD18-748E-44D7-A425-836BAFF612CD}"/>
    <cellStyle name="Separador de milhares 7 4 3 2 32 3" xfId="31269" xr:uid="{45044650-41FB-4307-B6D7-DCA4BA13234C}"/>
    <cellStyle name="Separador de milhares 7 4 3 2 33" xfId="22436" xr:uid="{00000000-0005-0000-0000-0000F4610000}"/>
    <cellStyle name="Separador de milhares 7 4 3 2 33 2" xfId="22437" xr:uid="{00000000-0005-0000-0000-0000F5610000}"/>
    <cellStyle name="Separador de milhares 7 4 3 2 33 2 2" xfId="31272" xr:uid="{995548EB-EFCE-4FBE-A95F-882EE4D69E37}"/>
    <cellStyle name="Separador de milhares 7 4 3 2 33 3" xfId="31271" xr:uid="{2AF540A5-B621-4EDD-864A-5B8E3A279603}"/>
    <cellStyle name="Separador de milhares 7 4 3 2 34" xfId="22438" xr:uid="{00000000-0005-0000-0000-0000F6610000}"/>
    <cellStyle name="Separador de milhares 7 4 3 2 34 2" xfId="22439" xr:uid="{00000000-0005-0000-0000-0000F7610000}"/>
    <cellStyle name="Separador de milhares 7 4 3 2 34 2 2" xfId="31274" xr:uid="{7701953D-3A73-4416-B58F-37E9DA7077E6}"/>
    <cellStyle name="Separador de milhares 7 4 3 2 34 3" xfId="31273" xr:uid="{CB00FAE4-47BA-47BE-B7B2-D9C6348ECAEA}"/>
    <cellStyle name="Separador de milhares 7 4 3 2 35" xfId="22440" xr:uid="{00000000-0005-0000-0000-0000F8610000}"/>
    <cellStyle name="Separador de milhares 7 4 3 2 35 2" xfId="31275" xr:uid="{1B63987D-0426-4F59-839F-1BB79024EBC8}"/>
    <cellStyle name="Separador de milhares 7 4 3 2 36" xfId="31220" xr:uid="{A0617354-1BAD-4191-9D79-2C79B6D23FC7}"/>
    <cellStyle name="Separador de milhares 7 4 3 2 4" xfId="22441" xr:uid="{00000000-0005-0000-0000-0000F9610000}"/>
    <cellStyle name="Separador de milhares 7 4 3 2 4 2" xfId="22442" xr:uid="{00000000-0005-0000-0000-0000FA610000}"/>
    <cellStyle name="Separador de milhares 7 4 3 2 4 2 2" xfId="31277" xr:uid="{0C4AD45F-6CBF-4F29-908F-47969BC675E8}"/>
    <cellStyle name="Separador de milhares 7 4 3 2 4 3" xfId="31276" xr:uid="{977FEEBE-6128-451E-83E4-5FBD5B72278E}"/>
    <cellStyle name="Separador de milhares 7 4 3 2 5" xfId="22443" xr:uid="{00000000-0005-0000-0000-0000FB610000}"/>
    <cellStyle name="Separador de milhares 7 4 3 2 5 2" xfId="22444" xr:uid="{00000000-0005-0000-0000-0000FC610000}"/>
    <cellStyle name="Separador de milhares 7 4 3 2 5 2 2" xfId="31279" xr:uid="{EBB1353F-67DA-4BBA-9929-0673F63F0D48}"/>
    <cellStyle name="Separador de milhares 7 4 3 2 5 3" xfId="31278" xr:uid="{C1F1E44D-7BBB-4386-9871-79E3858AE45C}"/>
    <cellStyle name="Separador de milhares 7 4 3 2 6" xfId="22445" xr:uid="{00000000-0005-0000-0000-0000FD610000}"/>
    <cellStyle name="Separador de milhares 7 4 3 2 6 2" xfId="22446" xr:uid="{00000000-0005-0000-0000-0000FE610000}"/>
    <cellStyle name="Separador de milhares 7 4 3 2 6 2 2" xfId="31281" xr:uid="{434731A6-2899-4BFE-B366-77B48E704870}"/>
    <cellStyle name="Separador de milhares 7 4 3 2 6 3" xfId="31280" xr:uid="{B49BE419-1D3E-4B29-B4A9-CC52F2EF765A}"/>
    <cellStyle name="Separador de milhares 7 4 3 2 7" xfId="22447" xr:uid="{00000000-0005-0000-0000-0000FF610000}"/>
    <cellStyle name="Separador de milhares 7 4 3 2 7 2" xfId="22448" xr:uid="{00000000-0005-0000-0000-000000620000}"/>
    <cellStyle name="Separador de milhares 7 4 3 2 7 2 2" xfId="31283" xr:uid="{66B0525E-E827-47DB-A598-F5CF6BD01F1A}"/>
    <cellStyle name="Separador de milhares 7 4 3 2 7 3" xfId="31282" xr:uid="{2581177A-9EAF-44D5-944C-48E743D7C136}"/>
    <cellStyle name="Separador de milhares 7 4 3 2 8" xfId="22449" xr:uid="{00000000-0005-0000-0000-000001620000}"/>
    <cellStyle name="Separador de milhares 7 4 3 2 8 2" xfId="22450" xr:uid="{00000000-0005-0000-0000-000002620000}"/>
    <cellStyle name="Separador de milhares 7 4 3 2 8 2 2" xfId="31285" xr:uid="{77B3F598-D947-491B-BBA8-A6DD34831F51}"/>
    <cellStyle name="Separador de milhares 7 4 3 2 8 3" xfId="31284" xr:uid="{B428A10B-F261-4C10-B0EC-53623538D86B}"/>
    <cellStyle name="Separador de milhares 7 4 3 2 9" xfId="22451" xr:uid="{00000000-0005-0000-0000-000003620000}"/>
    <cellStyle name="Separador de milhares 7 4 3 2 9 2" xfId="22452" xr:uid="{00000000-0005-0000-0000-000004620000}"/>
    <cellStyle name="Separador de milhares 7 4 3 2 9 2 2" xfId="31287" xr:uid="{4FEB0B89-AD28-4A7A-A009-C8C5EE52C5BE}"/>
    <cellStyle name="Separador de milhares 7 4 3 2 9 3" xfId="31286" xr:uid="{73268AC6-1AB5-491B-AD0D-8DB7F0F90D13}"/>
    <cellStyle name="Separador de milhares 7 4 3 20" xfId="22453" xr:uid="{00000000-0005-0000-0000-000005620000}"/>
    <cellStyle name="Separador de milhares 7 4 3 20 2" xfId="22454" xr:uid="{00000000-0005-0000-0000-000006620000}"/>
    <cellStyle name="Separador de milhares 7 4 3 20 2 2" xfId="31289" xr:uid="{86F22D42-C7ED-4227-9434-486FE4F4E046}"/>
    <cellStyle name="Separador de milhares 7 4 3 20 3" xfId="31288" xr:uid="{FEB7BC1D-AE77-4901-81B5-B2C367DCC3C5}"/>
    <cellStyle name="Separador de milhares 7 4 3 21" xfId="22455" xr:uid="{00000000-0005-0000-0000-000007620000}"/>
    <cellStyle name="Separador de milhares 7 4 3 21 2" xfId="22456" xr:uid="{00000000-0005-0000-0000-000008620000}"/>
    <cellStyle name="Separador de milhares 7 4 3 21 2 2" xfId="31291" xr:uid="{06CD96A3-7E9F-494D-AC33-F5D7DC982AB0}"/>
    <cellStyle name="Separador de milhares 7 4 3 21 3" xfId="31290" xr:uid="{F41316F5-96BA-4862-B8FC-31F09F4B626F}"/>
    <cellStyle name="Separador de milhares 7 4 3 22" xfId="22457" xr:uid="{00000000-0005-0000-0000-000009620000}"/>
    <cellStyle name="Separador de milhares 7 4 3 22 2" xfId="22458" xr:uid="{00000000-0005-0000-0000-00000A620000}"/>
    <cellStyle name="Separador de milhares 7 4 3 22 2 2" xfId="31293" xr:uid="{929BABD4-A7FD-489A-BCD6-DCA89D57E52E}"/>
    <cellStyle name="Separador de milhares 7 4 3 22 3" xfId="31292" xr:uid="{FD805C62-6FFC-48FD-B534-F4324903CAAA}"/>
    <cellStyle name="Separador de milhares 7 4 3 23" xfId="22459" xr:uid="{00000000-0005-0000-0000-00000B620000}"/>
    <cellStyle name="Separador de milhares 7 4 3 23 2" xfId="22460" xr:uid="{00000000-0005-0000-0000-00000C620000}"/>
    <cellStyle name="Separador de milhares 7 4 3 23 2 2" xfId="31295" xr:uid="{74432E7B-EB44-44F0-952E-883CFC6998FE}"/>
    <cellStyle name="Separador de milhares 7 4 3 23 3" xfId="31294" xr:uid="{0A82AE7D-E911-4121-B964-B40BACA2E44A}"/>
    <cellStyle name="Separador de milhares 7 4 3 24" xfId="22461" xr:uid="{00000000-0005-0000-0000-00000D620000}"/>
    <cellStyle name="Separador de milhares 7 4 3 24 2" xfId="22462" xr:uid="{00000000-0005-0000-0000-00000E620000}"/>
    <cellStyle name="Separador de milhares 7 4 3 24 2 2" xfId="31297" xr:uid="{884C548C-9B6A-4D10-870D-8E4824C568B2}"/>
    <cellStyle name="Separador de milhares 7 4 3 24 3" xfId="31296" xr:uid="{AE98C9AA-2719-4705-9B06-E54A2C6DCC62}"/>
    <cellStyle name="Separador de milhares 7 4 3 25" xfId="22463" xr:uid="{00000000-0005-0000-0000-00000F620000}"/>
    <cellStyle name="Separador de milhares 7 4 3 25 2" xfId="22464" xr:uid="{00000000-0005-0000-0000-000010620000}"/>
    <cellStyle name="Separador de milhares 7 4 3 25 2 2" xfId="31299" xr:uid="{3484CA57-89B3-45DA-9FA1-8C3C732B659A}"/>
    <cellStyle name="Separador de milhares 7 4 3 25 3" xfId="31298" xr:uid="{59C64F08-3B99-4A1E-9EC5-51F23D388DB4}"/>
    <cellStyle name="Separador de milhares 7 4 3 26" xfId="22465" xr:uid="{00000000-0005-0000-0000-000011620000}"/>
    <cellStyle name="Separador de milhares 7 4 3 26 2" xfId="22466" xr:uid="{00000000-0005-0000-0000-000012620000}"/>
    <cellStyle name="Separador de milhares 7 4 3 26 2 2" xfId="31301" xr:uid="{F27FB399-0AF9-4C66-AC4A-4FD5755D2F8C}"/>
    <cellStyle name="Separador de milhares 7 4 3 26 3" xfId="31300" xr:uid="{4A693440-4244-4099-A9AB-1434811AEBE7}"/>
    <cellStyle name="Separador de milhares 7 4 3 27" xfId="22467" xr:uid="{00000000-0005-0000-0000-000013620000}"/>
    <cellStyle name="Separador de milhares 7 4 3 27 2" xfId="22468" xr:uid="{00000000-0005-0000-0000-000014620000}"/>
    <cellStyle name="Separador de milhares 7 4 3 27 2 2" xfId="31303" xr:uid="{F2977DA3-09C4-473B-97BA-D7E99BDBB463}"/>
    <cellStyle name="Separador de milhares 7 4 3 27 3" xfId="31302" xr:uid="{646D9B05-3D26-4AED-988D-E541650129BD}"/>
    <cellStyle name="Separador de milhares 7 4 3 28" xfId="22469" xr:uid="{00000000-0005-0000-0000-000015620000}"/>
    <cellStyle name="Separador de milhares 7 4 3 28 2" xfId="22470" xr:uid="{00000000-0005-0000-0000-000016620000}"/>
    <cellStyle name="Separador de milhares 7 4 3 28 2 2" xfId="31305" xr:uid="{E5FBCBEC-934A-45E7-AFFF-C5B516881C65}"/>
    <cellStyle name="Separador de milhares 7 4 3 28 3" xfId="31304" xr:uid="{A2CF19E6-7EE5-4A3D-BAA0-027E839E7D20}"/>
    <cellStyle name="Separador de milhares 7 4 3 29" xfId="22471" xr:uid="{00000000-0005-0000-0000-000017620000}"/>
    <cellStyle name="Separador de milhares 7 4 3 29 2" xfId="22472" xr:uid="{00000000-0005-0000-0000-000018620000}"/>
    <cellStyle name="Separador de milhares 7 4 3 29 2 2" xfId="31307" xr:uid="{1354A048-781B-4803-93E3-824E0A3A5778}"/>
    <cellStyle name="Separador de milhares 7 4 3 29 3" xfId="31306" xr:uid="{97A658C2-AA5E-4DFA-A531-90C655AA4158}"/>
    <cellStyle name="Separador de milhares 7 4 3 3" xfId="22473" xr:uid="{00000000-0005-0000-0000-000019620000}"/>
    <cellStyle name="Separador de milhares 7 4 3 3 10" xfId="22474" xr:uid="{00000000-0005-0000-0000-00001A620000}"/>
    <cellStyle name="Separador de milhares 7 4 3 3 10 2" xfId="22475" xr:uid="{00000000-0005-0000-0000-00001B620000}"/>
    <cellStyle name="Separador de milhares 7 4 3 3 10 2 2" xfId="31310" xr:uid="{0F15A374-7433-439D-8E8F-1FD16536A919}"/>
    <cellStyle name="Separador de milhares 7 4 3 3 10 3" xfId="31309" xr:uid="{C17207A9-EB5B-48E5-819E-008F32AC31D8}"/>
    <cellStyle name="Separador de milhares 7 4 3 3 11" xfId="22476" xr:uid="{00000000-0005-0000-0000-00001C620000}"/>
    <cellStyle name="Separador de milhares 7 4 3 3 11 2" xfId="22477" xr:uid="{00000000-0005-0000-0000-00001D620000}"/>
    <cellStyle name="Separador de milhares 7 4 3 3 11 2 2" xfId="31312" xr:uid="{8696DCD2-7AB2-4E44-BFBF-7F0B911D136A}"/>
    <cellStyle name="Separador de milhares 7 4 3 3 11 3" xfId="31311" xr:uid="{6D1E7076-06B2-4A33-83FF-9FDABD141180}"/>
    <cellStyle name="Separador de milhares 7 4 3 3 12" xfId="22478" xr:uid="{00000000-0005-0000-0000-00001E620000}"/>
    <cellStyle name="Separador de milhares 7 4 3 3 12 2" xfId="22479" xr:uid="{00000000-0005-0000-0000-00001F620000}"/>
    <cellStyle name="Separador de milhares 7 4 3 3 12 2 2" xfId="31314" xr:uid="{A84C802C-A0FC-4A94-B996-27B5285DC56A}"/>
    <cellStyle name="Separador de milhares 7 4 3 3 12 3" xfId="31313" xr:uid="{4ABC5A47-A808-4019-B72D-23CF40D3AB77}"/>
    <cellStyle name="Separador de milhares 7 4 3 3 13" xfId="22480" xr:uid="{00000000-0005-0000-0000-000020620000}"/>
    <cellStyle name="Separador de milhares 7 4 3 3 13 2" xfId="22481" xr:uid="{00000000-0005-0000-0000-000021620000}"/>
    <cellStyle name="Separador de milhares 7 4 3 3 13 2 2" xfId="31316" xr:uid="{E44C68B9-82B2-47D6-B41E-C27892AE1776}"/>
    <cellStyle name="Separador de milhares 7 4 3 3 13 3" xfId="31315" xr:uid="{FD21C569-762B-429E-B7B5-BCE5943F4515}"/>
    <cellStyle name="Separador de milhares 7 4 3 3 14" xfId="22482" xr:uid="{00000000-0005-0000-0000-000022620000}"/>
    <cellStyle name="Separador de milhares 7 4 3 3 14 2" xfId="22483" xr:uid="{00000000-0005-0000-0000-000023620000}"/>
    <cellStyle name="Separador de milhares 7 4 3 3 14 2 2" xfId="31318" xr:uid="{01679329-2D02-48EE-8AD0-A8F3E9295B24}"/>
    <cellStyle name="Separador de milhares 7 4 3 3 14 3" xfId="31317" xr:uid="{AFDBDC8B-3C41-4D64-9E7C-F8E66F182F24}"/>
    <cellStyle name="Separador de milhares 7 4 3 3 15" xfId="22484" xr:uid="{00000000-0005-0000-0000-000024620000}"/>
    <cellStyle name="Separador de milhares 7 4 3 3 15 2" xfId="22485" xr:uid="{00000000-0005-0000-0000-000025620000}"/>
    <cellStyle name="Separador de milhares 7 4 3 3 15 2 2" xfId="31320" xr:uid="{4F8FC83E-9FBA-4993-99C0-B29DB6F68A16}"/>
    <cellStyle name="Separador de milhares 7 4 3 3 15 3" xfId="31319" xr:uid="{77951CA3-C30E-43B8-9398-58D2AA10FC1C}"/>
    <cellStyle name="Separador de milhares 7 4 3 3 16" xfId="22486" xr:uid="{00000000-0005-0000-0000-000026620000}"/>
    <cellStyle name="Separador de milhares 7 4 3 3 16 2" xfId="22487" xr:uid="{00000000-0005-0000-0000-000027620000}"/>
    <cellStyle name="Separador de milhares 7 4 3 3 16 2 2" xfId="31322" xr:uid="{9A30FB0B-21C3-4CA8-A0E8-D01229B75BF1}"/>
    <cellStyle name="Separador de milhares 7 4 3 3 16 3" xfId="31321" xr:uid="{D98AA1FE-EBA3-40E0-BF04-4CB9AC414836}"/>
    <cellStyle name="Separador de milhares 7 4 3 3 17" xfId="22488" xr:uid="{00000000-0005-0000-0000-000028620000}"/>
    <cellStyle name="Separador de milhares 7 4 3 3 17 2" xfId="22489" xr:uid="{00000000-0005-0000-0000-000029620000}"/>
    <cellStyle name="Separador de milhares 7 4 3 3 17 2 2" xfId="31324" xr:uid="{AA2DEF6C-78A0-4A55-8274-CAC04B466752}"/>
    <cellStyle name="Separador de milhares 7 4 3 3 17 3" xfId="31323" xr:uid="{7362E921-0CD3-4133-A998-B135F772127E}"/>
    <cellStyle name="Separador de milhares 7 4 3 3 18" xfId="22490" xr:uid="{00000000-0005-0000-0000-00002A620000}"/>
    <cellStyle name="Separador de milhares 7 4 3 3 18 2" xfId="22491" xr:uid="{00000000-0005-0000-0000-00002B620000}"/>
    <cellStyle name="Separador de milhares 7 4 3 3 18 2 2" xfId="31326" xr:uid="{756A8C06-115D-4B13-9783-4812396F602B}"/>
    <cellStyle name="Separador de milhares 7 4 3 3 18 3" xfId="31325" xr:uid="{DB757BAF-A61E-41CB-9250-27A8170147D2}"/>
    <cellStyle name="Separador de milhares 7 4 3 3 19" xfId="22492" xr:uid="{00000000-0005-0000-0000-00002C620000}"/>
    <cellStyle name="Separador de milhares 7 4 3 3 19 2" xfId="22493" xr:uid="{00000000-0005-0000-0000-00002D620000}"/>
    <cellStyle name="Separador de milhares 7 4 3 3 19 2 2" xfId="31328" xr:uid="{358B4525-6B40-48D3-BD20-4DD56A184925}"/>
    <cellStyle name="Separador de milhares 7 4 3 3 19 3" xfId="31327" xr:uid="{49B0F726-BFB8-462D-9CC4-3460547CC1CE}"/>
    <cellStyle name="Separador de milhares 7 4 3 3 2" xfId="22494" xr:uid="{00000000-0005-0000-0000-00002E620000}"/>
    <cellStyle name="Separador de milhares 7 4 3 3 2 2" xfId="22495" xr:uid="{00000000-0005-0000-0000-00002F620000}"/>
    <cellStyle name="Separador de milhares 7 4 3 3 2 2 2" xfId="31330" xr:uid="{7238D2DD-7829-4FA7-BB13-940BDB366FE2}"/>
    <cellStyle name="Separador de milhares 7 4 3 3 2 3" xfId="31329" xr:uid="{49459A33-C9C0-4B7B-8CE7-1F8D77058955}"/>
    <cellStyle name="Separador de milhares 7 4 3 3 20" xfId="22496" xr:uid="{00000000-0005-0000-0000-000030620000}"/>
    <cellStyle name="Separador de milhares 7 4 3 3 20 2" xfId="22497" xr:uid="{00000000-0005-0000-0000-000031620000}"/>
    <cellStyle name="Separador de milhares 7 4 3 3 20 2 2" xfId="31332" xr:uid="{DC3D0ABC-F338-40E7-81C9-0E5E66F0B5E5}"/>
    <cellStyle name="Separador de milhares 7 4 3 3 20 3" xfId="31331" xr:uid="{23D020C2-EEDA-4802-A690-B34993CED6C6}"/>
    <cellStyle name="Separador de milhares 7 4 3 3 21" xfId="22498" xr:uid="{00000000-0005-0000-0000-000032620000}"/>
    <cellStyle name="Separador de milhares 7 4 3 3 21 2" xfId="22499" xr:uid="{00000000-0005-0000-0000-000033620000}"/>
    <cellStyle name="Separador de milhares 7 4 3 3 21 2 2" xfId="31334" xr:uid="{312D6F50-BDCB-45D1-9F3E-E9646B7523F5}"/>
    <cellStyle name="Separador de milhares 7 4 3 3 21 3" xfId="31333" xr:uid="{03D7DBF1-E62C-4A83-8071-56A73E86257A}"/>
    <cellStyle name="Separador de milhares 7 4 3 3 22" xfId="22500" xr:uid="{00000000-0005-0000-0000-000034620000}"/>
    <cellStyle name="Separador de milhares 7 4 3 3 22 2" xfId="22501" xr:uid="{00000000-0005-0000-0000-000035620000}"/>
    <cellStyle name="Separador de milhares 7 4 3 3 22 2 2" xfId="31336" xr:uid="{8FB2AF1F-370B-45C5-9605-35DCF31356FE}"/>
    <cellStyle name="Separador de milhares 7 4 3 3 22 3" xfId="31335" xr:uid="{032A6E52-DABA-4506-BCF0-17BFE49BBC6C}"/>
    <cellStyle name="Separador de milhares 7 4 3 3 23" xfId="22502" xr:uid="{00000000-0005-0000-0000-000036620000}"/>
    <cellStyle name="Separador de milhares 7 4 3 3 23 2" xfId="22503" xr:uid="{00000000-0005-0000-0000-000037620000}"/>
    <cellStyle name="Separador de milhares 7 4 3 3 23 2 2" xfId="31338" xr:uid="{8E6895D1-82A4-4697-8E2A-CA65087D852D}"/>
    <cellStyle name="Separador de milhares 7 4 3 3 23 3" xfId="31337" xr:uid="{BA311CE9-6D39-453A-A035-114E93AAB27F}"/>
    <cellStyle name="Separador de milhares 7 4 3 3 24" xfId="22504" xr:uid="{00000000-0005-0000-0000-000038620000}"/>
    <cellStyle name="Separador de milhares 7 4 3 3 24 2" xfId="22505" xr:uid="{00000000-0005-0000-0000-000039620000}"/>
    <cellStyle name="Separador de milhares 7 4 3 3 24 2 2" xfId="31340" xr:uid="{1990D927-F2B2-4752-857D-7417221D6615}"/>
    <cellStyle name="Separador de milhares 7 4 3 3 24 3" xfId="31339" xr:uid="{79B67C39-8D7B-460D-8F5E-ED05BE17E104}"/>
    <cellStyle name="Separador de milhares 7 4 3 3 25" xfId="22506" xr:uid="{00000000-0005-0000-0000-00003A620000}"/>
    <cellStyle name="Separador de milhares 7 4 3 3 25 2" xfId="22507" xr:uid="{00000000-0005-0000-0000-00003B620000}"/>
    <cellStyle name="Separador de milhares 7 4 3 3 25 2 2" xfId="31342" xr:uid="{DC4F75B1-C260-4A18-A186-58806BE1082A}"/>
    <cellStyle name="Separador de milhares 7 4 3 3 25 3" xfId="31341" xr:uid="{EDFE264D-7DAA-4FA9-9ABE-AA87F5436FE3}"/>
    <cellStyle name="Separador de milhares 7 4 3 3 26" xfId="22508" xr:uid="{00000000-0005-0000-0000-00003C620000}"/>
    <cellStyle name="Separador de milhares 7 4 3 3 26 2" xfId="22509" xr:uid="{00000000-0005-0000-0000-00003D620000}"/>
    <cellStyle name="Separador de milhares 7 4 3 3 26 2 2" xfId="31344" xr:uid="{44F39DB7-A4ED-4DEC-A262-B9F57BC6AB9C}"/>
    <cellStyle name="Separador de milhares 7 4 3 3 26 3" xfId="31343" xr:uid="{560CBA25-C300-43E5-8A96-332EB1E4F763}"/>
    <cellStyle name="Separador de milhares 7 4 3 3 27" xfId="22510" xr:uid="{00000000-0005-0000-0000-00003E620000}"/>
    <cellStyle name="Separador de milhares 7 4 3 3 27 2" xfId="22511" xr:uid="{00000000-0005-0000-0000-00003F620000}"/>
    <cellStyle name="Separador de milhares 7 4 3 3 27 2 2" xfId="31346" xr:uid="{FCDF7804-8B08-4AC1-9490-C0FB0A5962FA}"/>
    <cellStyle name="Separador de milhares 7 4 3 3 27 3" xfId="31345" xr:uid="{8AB0C36E-FB08-48E5-8C63-87D323543BD4}"/>
    <cellStyle name="Separador de milhares 7 4 3 3 28" xfId="22512" xr:uid="{00000000-0005-0000-0000-000040620000}"/>
    <cellStyle name="Separador de milhares 7 4 3 3 28 2" xfId="22513" xr:uid="{00000000-0005-0000-0000-000041620000}"/>
    <cellStyle name="Separador de milhares 7 4 3 3 28 2 2" xfId="31348" xr:uid="{F40B04D4-8EE8-445B-9C9F-C5BA58C26397}"/>
    <cellStyle name="Separador de milhares 7 4 3 3 28 3" xfId="31347" xr:uid="{31A8990D-AC9F-4C2B-BDEF-117A726B0686}"/>
    <cellStyle name="Separador de milhares 7 4 3 3 29" xfId="22514" xr:uid="{00000000-0005-0000-0000-000042620000}"/>
    <cellStyle name="Separador de milhares 7 4 3 3 29 2" xfId="22515" xr:uid="{00000000-0005-0000-0000-000043620000}"/>
    <cellStyle name="Separador de milhares 7 4 3 3 29 2 2" xfId="31350" xr:uid="{9D06EB3D-98DD-4CAB-8EA8-2E5A1DDC719F}"/>
    <cellStyle name="Separador de milhares 7 4 3 3 29 3" xfId="31349" xr:uid="{3AA90BF3-FD8C-4565-9AED-2BF3AD6BBDFB}"/>
    <cellStyle name="Separador de milhares 7 4 3 3 3" xfId="22516" xr:uid="{00000000-0005-0000-0000-000044620000}"/>
    <cellStyle name="Separador de milhares 7 4 3 3 3 2" xfId="22517" xr:uid="{00000000-0005-0000-0000-000045620000}"/>
    <cellStyle name="Separador de milhares 7 4 3 3 3 2 2" xfId="31352" xr:uid="{D80B4C7C-EFBA-4931-B7B9-F280B7C9645F}"/>
    <cellStyle name="Separador de milhares 7 4 3 3 3 3" xfId="31351" xr:uid="{1C6E57F3-A2DA-47A9-AAB0-868F00672F84}"/>
    <cellStyle name="Separador de milhares 7 4 3 3 30" xfId="22518" xr:uid="{00000000-0005-0000-0000-000046620000}"/>
    <cellStyle name="Separador de milhares 7 4 3 3 30 2" xfId="22519" xr:uid="{00000000-0005-0000-0000-000047620000}"/>
    <cellStyle name="Separador de milhares 7 4 3 3 30 2 2" xfId="31354" xr:uid="{24773AEA-B8D5-4CAF-B436-1B45329718BA}"/>
    <cellStyle name="Separador de milhares 7 4 3 3 30 3" xfId="31353" xr:uid="{D31B510C-1E51-4745-867F-D2825E62C041}"/>
    <cellStyle name="Separador de milhares 7 4 3 3 31" xfId="22520" xr:uid="{00000000-0005-0000-0000-000048620000}"/>
    <cellStyle name="Separador de milhares 7 4 3 3 31 2" xfId="22521" xr:uid="{00000000-0005-0000-0000-000049620000}"/>
    <cellStyle name="Separador de milhares 7 4 3 3 31 2 2" xfId="31356" xr:uid="{347BF4B2-4F0A-4F41-B627-4EC96D76B854}"/>
    <cellStyle name="Separador de milhares 7 4 3 3 31 3" xfId="31355" xr:uid="{623EBBE4-2A0E-4E81-85B3-2816D4D76560}"/>
    <cellStyle name="Separador de milhares 7 4 3 3 32" xfId="22522" xr:uid="{00000000-0005-0000-0000-00004A620000}"/>
    <cellStyle name="Separador de milhares 7 4 3 3 32 2" xfId="22523" xr:uid="{00000000-0005-0000-0000-00004B620000}"/>
    <cellStyle name="Separador de milhares 7 4 3 3 32 2 2" xfId="31358" xr:uid="{24CDADD0-2535-4527-8632-9253E536B7F7}"/>
    <cellStyle name="Separador de milhares 7 4 3 3 32 3" xfId="31357" xr:uid="{1880D0FF-9533-4D77-8E67-FF536E6FA67B}"/>
    <cellStyle name="Separador de milhares 7 4 3 3 33" xfId="22524" xr:uid="{00000000-0005-0000-0000-00004C620000}"/>
    <cellStyle name="Separador de milhares 7 4 3 3 33 2" xfId="22525" xr:uid="{00000000-0005-0000-0000-00004D620000}"/>
    <cellStyle name="Separador de milhares 7 4 3 3 33 2 2" xfId="31360" xr:uid="{8FC09FD4-8F54-48C7-A703-B2AC2165E909}"/>
    <cellStyle name="Separador de milhares 7 4 3 3 33 3" xfId="31359" xr:uid="{980FCAE4-ABE1-45CE-89C2-83200C6BA994}"/>
    <cellStyle name="Separador de milhares 7 4 3 3 34" xfId="22526" xr:uid="{00000000-0005-0000-0000-00004E620000}"/>
    <cellStyle name="Separador de milhares 7 4 3 3 34 2" xfId="22527" xr:uid="{00000000-0005-0000-0000-00004F620000}"/>
    <cellStyle name="Separador de milhares 7 4 3 3 34 2 2" xfId="31362" xr:uid="{9828DBAC-9C62-44BA-9E7E-16E647E576DB}"/>
    <cellStyle name="Separador de milhares 7 4 3 3 34 3" xfId="31361" xr:uid="{7426F3DB-1479-496D-B2FA-F2E75D7C1C4A}"/>
    <cellStyle name="Separador de milhares 7 4 3 3 35" xfId="22528" xr:uid="{00000000-0005-0000-0000-000050620000}"/>
    <cellStyle name="Separador de milhares 7 4 3 3 35 2" xfId="31363" xr:uid="{7B78DBF2-2AB4-42FE-AF82-F2D2550851D1}"/>
    <cellStyle name="Separador de milhares 7 4 3 3 36" xfId="31308" xr:uid="{6283187F-337D-4277-9B70-4336A30F0AE0}"/>
    <cellStyle name="Separador de milhares 7 4 3 3 4" xfId="22529" xr:uid="{00000000-0005-0000-0000-000051620000}"/>
    <cellStyle name="Separador de milhares 7 4 3 3 4 2" xfId="22530" xr:uid="{00000000-0005-0000-0000-000052620000}"/>
    <cellStyle name="Separador de milhares 7 4 3 3 4 2 2" xfId="31365" xr:uid="{224BEF11-95EE-4912-B637-32B5F3059343}"/>
    <cellStyle name="Separador de milhares 7 4 3 3 4 3" xfId="31364" xr:uid="{9CF074F5-A52F-48B4-88C6-8744577EB205}"/>
    <cellStyle name="Separador de milhares 7 4 3 3 5" xfId="22531" xr:uid="{00000000-0005-0000-0000-000053620000}"/>
    <cellStyle name="Separador de milhares 7 4 3 3 5 2" xfId="22532" xr:uid="{00000000-0005-0000-0000-000054620000}"/>
    <cellStyle name="Separador de milhares 7 4 3 3 5 2 2" xfId="31367" xr:uid="{58C597A1-D8BA-4521-B1C4-C8591AB98F64}"/>
    <cellStyle name="Separador de milhares 7 4 3 3 5 3" xfId="31366" xr:uid="{709FC47C-D47F-49DD-8233-A627522C5C12}"/>
    <cellStyle name="Separador de milhares 7 4 3 3 6" xfId="22533" xr:uid="{00000000-0005-0000-0000-000055620000}"/>
    <cellStyle name="Separador de milhares 7 4 3 3 6 2" xfId="22534" xr:uid="{00000000-0005-0000-0000-000056620000}"/>
    <cellStyle name="Separador de milhares 7 4 3 3 6 2 2" xfId="31369" xr:uid="{68338359-0619-45D6-9186-0DD0684B7DFC}"/>
    <cellStyle name="Separador de milhares 7 4 3 3 6 3" xfId="31368" xr:uid="{9AD39BD2-08D0-4158-BDD5-58F52461EE0A}"/>
    <cellStyle name="Separador de milhares 7 4 3 3 7" xfId="22535" xr:uid="{00000000-0005-0000-0000-000057620000}"/>
    <cellStyle name="Separador de milhares 7 4 3 3 7 2" xfId="22536" xr:uid="{00000000-0005-0000-0000-000058620000}"/>
    <cellStyle name="Separador de milhares 7 4 3 3 7 2 2" xfId="31371" xr:uid="{F334CE1E-DF90-4079-8D5A-E13C9EDF2279}"/>
    <cellStyle name="Separador de milhares 7 4 3 3 7 3" xfId="31370" xr:uid="{ECFEFB40-9F8D-4DDB-83FB-F2590DC20BEB}"/>
    <cellStyle name="Separador de milhares 7 4 3 3 8" xfId="22537" xr:uid="{00000000-0005-0000-0000-000059620000}"/>
    <cellStyle name="Separador de milhares 7 4 3 3 8 2" xfId="22538" xr:uid="{00000000-0005-0000-0000-00005A620000}"/>
    <cellStyle name="Separador de milhares 7 4 3 3 8 2 2" xfId="31373" xr:uid="{85921251-8FD3-4E5C-9722-F661522A3682}"/>
    <cellStyle name="Separador de milhares 7 4 3 3 8 3" xfId="31372" xr:uid="{8ACF1170-91F3-41E2-BB6E-F21AB38E71E4}"/>
    <cellStyle name="Separador de milhares 7 4 3 3 9" xfId="22539" xr:uid="{00000000-0005-0000-0000-00005B620000}"/>
    <cellStyle name="Separador de milhares 7 4 3 3 9 2" xfId="22540" xr:uid="{00000000-0005-0000-0000-00005C620000}"/>
    <cellStyle name="Separador de milhares 7 4 3 3 9 2 2" xfId="31375" xr:uid="{7BE6BFC2-94FF-41D4-932B-79882FF0D3C3}"/>
    <cellStyle name="Separador de milhares 7 4 3 3 9 3" xfId="31374" xr:uid="{F642FF11-EB96-41B5-8662-080A654E288B}"/>
    <cellStyle name="Separador de milhares 7 4 3 30" xfId="22541" xr:uid="{00000000-0005-0000-0000-00005D620000}"/>
    <cellStyle name="Separador de milhares 7 4 3 30 2" xfId="22542" xr:uid="{00000000-0005-0000-0000-00005E620000}"/>
    <cellStyle name="Separador de milhares 7 4 3 30 2 2" xfId="31377" xr:uid="{68B60421-4E75-455A-A915-3FA0B0A0F021}"/>
    <cellStyle name="Separador de milhares 7 4 3 30 3" xfId="31376" xr:uid="{1DFACD68-C66D-4E9C-85A7-E476E2BF7981}"/>
    <cellStyle name="Separador de milhares 7 4 3 31" xfId="22543" xr:uid="{00000000-0005-0000-0000-00005F620000}"/>
    <cellStyle name="Separador de milhares 7 4 3 31 2" xfId="22544" xr:uid="{00000000-0005-0000-0000-000060620000}"/>
    <cellStyle name="Separador de milhares 7 4 3 31 2 2" xfId="31379" xr:uid="{632FDA70-3F9C-4E51-B332-828383EBA1C4}"/>
    <cellStyle name="Separador de milhares 7 4 3 31 3" xfId="31378" xr:uid="{87479A32-5C40-47E4-8BFF-A2AE3449398B}"/>
    <cellStyle name="Separador de milhares 7 4 3 32" xfId="22545" xr:uid="{00000000-0005-0000-0000-000061620000}"/>
    <cellStyle name="Separador de milhares 7 4 3 32 2" xfId="22546" xr:uid="{00000000-0005-0000-0000-000062620000}"/>
    <cellStyle name="Separador de milhares 7 4 3 32 2 2" xfId="31381" xr:uid="{3DF12527-5A97-4FE5-B7B6-34D31BDA89A3}"/>
    <cellStyle name="Separador de milhares 7 4 3 32 3" xfId="31380" xr:uid="{47618779-4728-4A3D-9894-37D554080E92}"/>
    <cellStyle name="Separador de milhares 7 4 3 33" xfId="22547" xr:uid="{00000000-0005-0000-0000-000063620000}"/>
    <cellStyle name="Separador de milhares 7 4 3 33 2" xfId="22548" xr:uid="{00000000-0005-0000-0000-000064620000}"/>
    <cellStyle name="Separador de milhares 7 4 3 33 2 2" xfId="31383" xr:uid="{727D3E81-863E-445B-9CC1-048711AEAC71}"/>
    <cellStyle name="Separador de milhares 7 4 3 33 3" xfId="31382" xr:uid="{359D2FE9-1362-48B2-8EDF-D47E8A6AE9F1}"/>
    <cellStyle name="Separador de milhares 7 4 3 34" xfId="22549" xr:uid="{00000000-0005-0000-0000-000065620000}"/>
    <cellStyle name="Separador de milhares 7 4 3 34 2" xfId="22550" xr:uid="{00000000-0005-0000-0000-000066620000}"/>
    <cellStyle name="Separador de milhares 7 4 3 34 2 2" xfId="31385" xr:uid="{18DD1CC3-85EC-422C-BB02-380D26668CFC}"/>
    <cellStyle name="Separador de milhares 7 4 3 34 3" xfId="31384" xr:uid="{82B4D033-DEAA-4559-B683-9DD48F732D47}"/>
    <cellStyle name="Separador de milhares 7 4 3 35" xfId="22551" xr:uid="{00000000-0005-0000-0000-000067620000}"/>
    <cellStyle name="Separador de milhares 7 4 3 35 2" xfId="22552" xr:uid="{00000000-0005-0000-0000-000068620000}"/>
    <cellStyle name="Separador de milhares 7 4 3 35 2 2" xfId="31387" xr:uid="{359AB777-860A-4BB5-8E31-70EDF7685A82}"/>
    <cellStyle name="Separador de milhares 7 4 3 35 3" xfId="31386" xr:uid="{167C056C-2968-4524-BA46-F167E99CEF8C}"/>
    <cellStyle name="Separador de milhares 7 4 3 36" xfId="22553" xr:uid="{00000000-0005-0000-0000-000069620000}"/>
    <cellStyle name="Separador de milhares 7 4 3 36 2" xfId="22554" xr:uid="{00000000-0005-0000-0000-00006A620000}"/>
    <cellStyle name="Separador de milhares 7 4 3 36 2 2" xfId="31389" xr:uid="{ADA1782B-06A5-4433-8D25-C9C43C0BDF9B}"/>
    <cellStyle name="Separador de milhares 7 4 3 36 3" xfId="31388" xr:uid="{715005D4-55A3-4FB8-97C1-878E1104C0D6}"/>
    <cellStyle name="Separador de milhares 7 4 3 37" xfId="22555" xr:uid="{00000000-0005-0000-0000-00006B620000}"/>
    <cellStyle name="Separador de milhares 7 4 3 37 2" xfId="22556" xr:uid="{00000000-0005-0000-0000-00006C620000}"/>
    <cellStyle name="Separador de milhares 7 4 3 37 2 2" xfId="31391" xr:uid="{BAE76074-FB50-43AA-A8A6-4C3729EAE9B1}"/>
    <cellStyle name="Separador de milhares 7 4 3 37 3" xfId="31390" xr:uid="{6B3C9D92-544E-4FE4-B253-1FB19E7DAFB5}"/>
    <cellStyle name="Separador de milhares 7 4 3 38" xfId="22557" xr:uid="{00000000-0005-0000-0000-00006D620000}"/>
    <cellStyle name="Separador de milhares 7 4 3 38 2" xfId="22558" xr:uid="{00000000-0005-0000-0000-00006E620000}"/>
    <cellStyle name="Separador de milhares 7 4 3 38 2 2" xfId="31393" xr:uid="{36DE04B6-9D84-47F7-9C92-EE80A33506FB}"/>
    <cellStyle name="Separador de milhares 7 4 3 38 3" xfId="31392" xr:uid="{2642AF63-B974-47E4-8EE3-26AE933A361F}"/>
    <cellStyle name="Separador de milhares 7 4 3 39" xfId="22559" xr:uid="{00000000-0005-0000-0000-00006F620000}"/>
    <cellStyle name="Separador de milhares 7 4 3 39 2" xfId="22560" xr:uid="{00000000-0005-0000-0000-000070620000}"/>
    <cellStyle name="Separador de milhares 7 4 3 39 2 2" xfId="31395" xr:uid="{6D2CB823-22C6-43A0-9997-81E706D3DF6F}"/>
    <cellStyle name="Separador de milhares 7 4 3 39 3" xfId="31394" xr:uid="{C3A07734-4600-4AB7-87E8-819D1812E463}"/>
    <cellStyle name="Separador de milhares 7 4 3 4" xfId="22561" xr:uid="{00000000-0005-0000-0000-000071620000}"/>
    <cellStyle name="Separador de milhares 7 4 3 4 2" xfId="22562" xr:uid="{00000000-0005-0000-0000-000072620000}"/>
    <cellStyle name="Separador de milhares 7 4 3 4 2 2" xfId="22563" xr:uid="{00000000-0005-0000-0000-000073620000}"/>
    <cellStyle name="Separador de milhares 7 4 3 4 2 2 2" xfId="31398" xr:uid="{71CFFE03-46E2-4369-8E22-F3DE214C5415}"/>
    <cellStyle name="Separador de milhares 7 4 3 4 2 3" xfId="31397" xr:uid="{2E83EFA6-4135-4B93-B4D7-F94FB36EBB7A}"/>
    <cellStyle name="Separador de milhares 7 4 3 4 3" xfId="22564" xr:uid="{00000000-0005-0000-0000-000074620000}"/>
    <cellStyle name="Separador de milhares 7 4 3 4 3 2" xfId="22565" xr:uid="{00000000-0005-0000-0000-000075620000}"/>
    <cellStyle name="Separador de milhares 7 4 3 4 3 2 2" xfId="31400" xr:uid="{8F9B53BE-9157-4DBB-B8FB-798D777A5577}"/>
    <cellStyle name="Separador de milhares 7 4 3 4 3 3" xfId="31399" xr:uid="{15B02138-464D-484A-B5AF-77A1331094D7}"/>
    <cellStyle name="Separador de milhares 7 4 3 4 4" xfId="22566" xr:uid="{00000000-0005-0000-0000-000076620000}"/>
    <cellStyle name="Separador de milhares 7 4 3 4 4 2" xfId="22567" xr:uid="{00000000-0005-0000-0000-000077620000}"/>
    <cellStyle name="Separador de milhares 7 4 3 4 4 2 2" xfId="31402" xr:uid="{4C0A28B3-D409-4D0F-9BE4-37AD67912A38}"/>
    <cellStyle name="Separador de milhares 7 4 3 4 4 3" xfId="31401" xr:uid="{AD4C1BA7-FA08-4F73-BEDB-594F4421C9C6}"/>
    <cellStyle name="Separador de milhares 7 4 3 4 5" xfId="22568" xr:uid="{00000000-0005-0000-0000-000078620000}"/>
    <cellStyle name="Separador de milhares 7 4 3 4 5 2" xfId="22569" xr:uid="{00000000-0005-0000-0000-000079620000}"/>
    <cellStyle name="Separador de milhares 7 4 3 4 5 2 2" xfId="31404" xr:uid="{9976F1A3-C1B2-4876-B0E8-9DF7C51146C1}"/>
    <cellStyle name="Separador de milhares 7 4 3 4 5 3" xfId="31403" xr:uid="{F25A3EC4-17A1-4889-89BA-56B952FDF4FE}"/>
    <cellStyle name="Separador de milhares 7 4 3 4 6" xfId="22570" xr:uid="{00000000-0005-0000-0000-00007A620000}"/>
    <cellStyle name="Separador de milhares 7 4 3 4 6 2" xfId="31405" xr:uid="{A598DE93-1D66-4CB9-8383-11FC411AD3A1}"/>
    <cellStyle name="Separador de milhares 7 4 3 4 7" xfId="31396" xr:uid="{8D6DF4E4-D51C-4029-85DE-1056A525820F}"/>
    <cellStyle name="Separador de milhares 7 4 3 40" xfId="22571" xr:uid="{00000000-0005-0000-0000-00007B620000}"/>
    <cellStyle name="Separador de milhares 7 4 3 40 2" xfId="22572" xr:uid="{00000000-0005-0000-0000-00007C620000}"/>
    <cellStyle name="Separador de milhares 7 4 3 40 2 2" xfId="31407" xr:uid="{1BB13D91-61EF-4718-9A8C-F91B7819F691}"/>
    <cellStyle name="Separador de milhares 7 4 3 40 3" xfId="31406" xr:uid="{D3B42AB3-4E07-434E-A61D-17B0B78D3DB9}"/>
    <cellStyle name="Separador de milhares 7 4 3 41" xfId="22573" xr:uid="{00000000-0005-0000-0000-00007D620000}"/>
    <cellStyle name="Separador de milhares 7 4 3 41 2" xfId="22574" xr:uid="{00000000-0005-0000-0000-00007E620000}"/>
    <cellStyle name="Separador de milhares 7 4 3 41 2 2" xfId="31409" xr:uid="{D980D0DC-B8AC-4A62-8A18-F57EBF363A52}"/>
    <cellStyle name="Separador de milhares 7 4 3 41 3" xfId="31408" xr:uid="{67FA9B06-6F78-40AD-88E3-9D8149761262}"/>
    <cellStyle name="Separador de milhares 7 4 3 42" xfId="22575" xr:uid="{00000000-0005-0000-0000-00007F620000}"/>
    <cellStyle name="Separador de milhares 7 4 3 42 2" xfId="22576" xr:uid="{00000000-0005-0000-0000-000080620000}"/>
    <cellStyle name="Separador de milhares 7 4 3 42 2 2" xfId="31411" xr:uid="{AA517966-8832-4F22-A450-AEFE905A931A}"/>
    <cellStyle name="Separador de milhares 7 4 3 42 3" xfId="31410" xr:uid="{CCC553B7-5D9D-4030-9248-40660DFF6916}"/>
    <cellStyle name="Separador de milhares 7 4 3 43" xfId="22577" xr:uid="{00000000-0005-0000-0000-000081620000}"/>
    <cellStyle name="Separador de milhares 7 4 3 43 2" xfId="22578" xr:uid="{00000000-0005-0000-0000-000082620000}"/>
    <cellStyle name="Separador de milhares 7 4 3 43 2 2" xfId="31413" xr:uid="{9677AEB8-5749-4C3B-9B0F-753846638845}"/>
    <cellStyle name="Separador de milhares 7 4 3 43 3" xfId="31412" xr:uid="{52DC47EC-9B91-41B2-92EB-09CE269424BD}"/>
    <cellStyle name="Separador de milhares 7 4 3 44" xfId="22579" xr:uid="{00000000-0005-0000-0000-000083620000}"/>
    <cellStyle name="Separador de milhares 7 4 3 44 2" xfId="22580" xr:uid="{00000000-0005-0000-0000-000084620000}"/>
    <cellStyle name="Separador de milhares 7 4 3 44 2 2" xfId="31415" xr:uid="{70986491-79CA-4DE4-B6AD-16D3482B51C7}"/>
    <cellStyle name="Separador de milhares 7 4 3 44 3" xfId="31414" xr:uid="{9187D102-F02E-4B2A-8373-70D96ECE5881}"/>
    <cellStyle name="Separador de milhares 7 4 3 45" xfId="22581" xr:uid="{00000000-0005-0000-0000-000085620000}"/>
    <cellStyle name="Separador de milhares 7 4 3 45 2" xfId="22582" xr:uid="{00000000-0005-0000-0000-000086620000}"/>
    <cellStyle name="Separador de milhares 7 4 3 45 2 2" xfId="31417" xr:uid="{3A957959-C1E2-4631-8371-65ECF4DFFEAD}"/>
    <cellStyle name="Separador de milhares 7 4 3 45 3" xfId="31416" xr:uid="{7A637F96-A73D-4358-98A2-0E1D763B7A5B}"/>
    <cellStyle name="Separador de milhares 7 4 3 46" xfId="22583" xr:uid="{00000000-0005-0000-0000-000087620000}"/>
    <cellStyle name="Separador de milhares 7 4 3 46 2" xfId="22584" xr:uid="{00000000-0005-0000-0000-000088620000}"/>
    <cellStyle name="Separador de milhares 7 4 3 46 2 2" xfId="31419" xr:uid="{6E729A79-9451-4814-BE89-0EE87CE1C545}"/>
    <cellStyle name="Separador de milhares 7 4 3 46 3" xfId="31418" xr:uid="{7AF02775-726D-4B49-93D7-1BC51773D9E2}"/>
    <cellStyle name="Separador de milhares 7 4 3 47" xfId="22585" xr:uid="{00000000-0005-0000-0000-000089620000}"/>
    <cellStyle name="Separador de milhares 7 4 3 47 2" xfId="31420" xr:uid="{5F671506-E070-4D99-A67E-E6E63CBB5BDA}"/>
    <cellStyle name="Separador de milhares 7 4 3 48" xfId="22364" xr:uid="{00000000-0005-0000-0000-00008A620000}"/>
    <cellStyle name="Separador de milhares 7 4 3 49" xfId="28084" xr:uid="{7A5C7CC1-DBFA-48C3-AB09-1C37B63D8FC5}"/>
    <cellStyle name="Separador de milhares 7 4 3 5" xfId="22586" xr:uid="{00000000-0005-0000-0000-00008B620000}"/>
    <cellStyle name="Separador de milhares 7 4 3 5 2" xfId="22587" xr:uid="{00000000-0005-0000-0000-00008C620000}"/>
    <cellStyle name="Separador de milhares 7 4 3 5 2 2" xfId="31422" xr:uid="{2504BB68-B0FE-4531-8021-9DDDE0EEC263}"/>
    <cellStyle name="Separador de milhares 7 4 3 5 3" xfId="31421" xr:uid="{946AB163-728B-421A-A53B-6F5B43E221E3}"/>
    <cellStyle name="Separador de milhares 7 4 3 6" xfId="22588" xr:uid="{00000000-0005-0000-0000-00008D620000}"/>
    <cellStyle name="Separador de milhares 7 4 3 6 2" xfId="22589" xr:uid="{00000000-0005-0000-0000-00008E620000}"/>
    <cellStyle name="Separador de milhares 7 4 3 6 2 2" xfId="31424" xr:uid="{70CF75BC-5571-4C72-9D62-6830953FD984}"/>
    <cellStyle name="Separador de milhares 7 4 3 6 3" xfId="31423" xr:uid="{1291E433-9337-43E2-8990-C81897B4A3EB}"/>
    <cellStyle name="Separador de milhares 7 4 3 7" xfId="22590" xr:uid="{00000000-0005-0000-0000-00008F620000}"/>
    <cellStyle name="Separador de milhares 7 4 3 7 2" xfId="22591" xr:uid="{00000000-0005-0000-0000-000090620000}"/>
    <cellStyle name="Separador de milhares 7 4 3 7 2 2" xfId="31426" xr:uid="{8D914887-C77C-400C-A9CD-8C86F699B3A8}"/>
    <cellStyle name="Separador de milhares 7 4 3 7 3" xfId="31425" xr:uid="{A378DE24-891E-4F19-8CEF-9B36982ADC98}"/>
    <cellStyle name="Separador de milhares 7 4 3 8" xfId="22592" xr:uid="{00000000-0005-0000-0000-000091620000}"/>
    <cellStyle name="Separador de milhares 7 4 3 8 2" xfId="22593" xr:uid="{00000000-0005-0000-0000-000092620000}"/>
    <cellStyle name="Separador de milhares 7 4 3 8 2 2" xfId="31428" xr:uid="{0692C9B0-C49D-44ED-9495-298000F8BF07}"/>
    <cellStyle name="Separador de milhares 7 4 3 8 3" xfId="31427" xr:uid="{080966F3-4B0E-492A-8520-1D1CA81A68EA}"/>
    <cellStyle name="Separador de milhares 7 4 3 9" xfId="22594" xr:uid="{00000000-0005-0000-0000-000093620000}"/>
    <cellStyle name="Separador de milhares 7 4 3 9 2" xfId="22595" xr:uid="{00000000-0005-0000-0000-000094620000}"/>
    <cellStyle name="Separador de milhares 7 4 3 9 2 2" xfId="31430" xr:uid="{1696F079-459D-4D05-BC0B-356BEAEB79E5}"/>
    <cellStyle name="Separador de milhares 7 4 3 9 3" xfId="31429" xr:uid="{E993BA13-CE2F-4187-8D94-F549F748A4A8}"/>
    <cellStyle name="Separador de milhares 7 4 30" xfId="22596" xr:uid="{00000000-0005-0000-0000-000095620000}"/>
    <cellStyle name="Separador de milhares 7 4 30 2" xfId="22597" xr:uid="{00000000-0005-0000-0000-000096620000}"/>
    <cellStyle name="Separador de milhares 7 4 30 2 2" xfId="31432" xr:uid="{073DA3C1-F504-444C-9F06-456AF71DF966}"/>
    <cellStyle name="Separador de milhares 7 4 30 3" xfId="31431" xr:uid="{8C25FB32-1DD3-4A20-B9AA-48CFEEFA4E00}"/>
    <cellStyle name="Separador de milhares 7 4 31" xfId="22598" xr:uid="{00000000-0005-0000-0000-000097620000}"/>
    <cellStyle name="Separador de milhares 7 4 31 2" xfId="22599" xr:uid="{00000000-0005-0000-0000-000098620000}"/>
    <cellStyle name="Separador de milhares 7 4 31 2 2" xfId="31434" xr:uid="{12B8301D-841F-4EF1-9BA3-8A20FC0AC414}"/>
    <cellStyle name="Separador de milhares 7 4 31 3" xfId="31433" xr:uid="{236638BB-3EEF-4A3C-8C32-D3EE3DDFEE6A}"/>
    <cellStyle name="Separador de milhares 7 4 32" xfId="22600" xr:uid="{00000000-0005-0000-0000-000099620000}"/>
    <cellStyle name="Separador de milhares 7 4 32 2" xfId="22601" xr:uid="{00000000-0005-0000-0000-00009A620000}"/>
    <cellStyle name="Separador de milhares 7 4 32 2 2" xfId="31436" xr:uid="{6B902BC7-5DD5-4017-8397-D29717C4E0D3}"/>
    <cellStyle name="Separador de milhares 7 4 32 3" xfId="31435" xr:uid="{578E75F4-6E87-479F-8561-746F8C7622EE}"/>
    <cellStyle name="Separador de milhares 7 4 33" xfId="22602" xr:uid="{00000000-0005-0000-0000-00009B620000}"/>
    <cellStyle name="Separador de milhares 7 4 33 2" xfId="22603" xr:uid="{00000000-0005-0000-0000-00009C620000}"/>
    <cellStyle name="Separador de milhares 7 4 33 2 2" xfId="31438" xr:uid="{9C223ACA-D27D-45C4-8FD0-0833B2326601}"/>
    <cellStyle name="Separador de milhares 7 4 33 3" xfId="31437" xr:uid="{2F693C3B-E2E9-4FF5-B578-FC0D3D54AB84}"/>
    <cellStyle name="Separador de milhares 7 4 34" xfId="22604" xr:uid="{00000000-0005-0000-0000-00009D620000}"/>
    <cellStyle name="Separador de milhares 7 4 34 2" xfId="22605" xr:uid="{00000000-0005-0000-0000-00009E620000}"/>
    <cellStyle name="Separador de milhares 7 4 34 2 2" xfId="31440" xr:uid="{A0AB70B9-8F4F-45B3-8DBD-2728A3F2992E}"/>
    <cellStyle name="Separador de milhares 7 4 34 3" xfId="31439" xr:uid="{D8D0F7D7-B2EC-451C-BA41-BEFC92081E68}"/>
    <cellStyle name="Separador de milhares 7 4 35" xfId="22606" xr:uid="{00000000-0005-0000-0000-00009F620000}"/>
    <cellStyle name="Separador de milhares 7 4 35 2" xfId="22607" xr:uid="{00000000-0005-0000-0000-0000A0620000}"/>
    <cellStyle name="Separador de milhares 7 4 35 2 2" xfId="31442" xr:uid="{AB015CAB-AC68-4864-BEF3-EE136C6EF50F}"/>
    <cellStyle name="Separador de milhares 7 4 35 3" xfId="31441" xr:uid="{60285BC2-619C-4DB2-962B-1EA4C509676F}"/>
    <cellStyle name="Separador de milhares 7 4 36" xfId="22608" xr:uid="{00000000-0005-0000-0000-0000A1620000}"/>
    <cellStyle name="Separador de milhares 7 4 36 2" xfId="22609" xr:uid="{00000000-0005-0000-0000-0000A2620000}"/>
    <cellStyle name="Separador de milhares 7 4 36 2 2" xfId="31444" xr:uid="{5989D462-49AD-46D9-8C06-64D987F2141B}"/>
    <cellStyle name="Separador de milhares 7 4 36 3" xfId="31443" xr:uid="{A7CFD965-8D53-4379-ADE0-1A1EBB656947}"/>
    <cellStyle name="Separador de milhares 7 4 37" xfId="22610" xr:uid="{00000000-0005-0000-0000-0000A3620000}"/>
    <cellStyle name="Separador de milhares 7 4 37 2" xfId="22611" xr:uid="{00000000-0005-0000-0000-0000A4620000}"/>
    <cellStyle name="Separador de milhares 7 4 37 2 2" xfId="31446" xr:uid="{88F3D258-146C-414E-BA94-CAAF56F314D9}"/>
    <cellStyle name="Separador de milhares 7 4 37 3" xfId="31445" xr:uid="{FBF914C6-A7B1-4F8C-93CE-1F1FBA0D834E}"/>
    <cellStyle name="Separador de milhares 7 4 38" xfId="22612" xr:uid="{00000000-0005-0000-0000-0000A5620000}"/>
    <cellStyle name="Separador de milhares 7 4 38 2" xfId="22613" xr:uid="{00000000-0005-0000-0000-0000A6620000}"/>
    <cellStyle name="Separador de milhares 7 4 38 2 2" xfId="31448" xr:uid="{25BD5C92-C0EF-4613-9438-6E0FE0A4A457}"/>
    <cellStyle name="Separador de milhares 7 4 38 3" xfId="31447" xr:uid="{E28FC73F-806E-458A-AF40-E135B3F89AD7}"/>
    <cellStyle name="Separador de milhares 7 4 39" xfId="22614" xr:uid="{00000000-0005-0000-0000-0000A7620000}"/>
    <cellStyle name="Separador de milhares 7 4 39 2" xfId="22615" xr:uid="{00000000-0005-0000-0000-0000A8620000}"/>
    <cellStyle name="Separador de milhares 7 4 39 2 2" xfId="31450" xr:uid="{E65A000C-A98E-4112-A181-C082CA09F893}"/>
    <cellStyle name="Separador de milhares 7 4 39 3" xfId="31449" xr:uid="{B704FA79-469F-45CB-A280-594FEA0CA596}"/>
    <cellStyle name="Separador de milhares 7 4 4" xfId="22616" xr:uid="{00000000-0005-0000-0000-0000A9620000}"/>
    <cellStyle name="Separador de milhares 7 4 4 10" xfId="22617" xr:uid="{00000000-0005-0000-0000-0000AA620000}"/>
    <cellStyle name="Separador de milhares 7 4 4 10 2" xfId="22618" xr:uid="{00000000-0005-0000-0000-0000AB620000}"/>
    <cellStyle name="Separador de milhares 7 4 4 10 2 2" xfId="31452" xr:uid="{B084D383-0596-4135-863C-D4CE870F8B58}"/>
    <cellStyle name="Separador de milhares 7 4 4 10 3" xfId="31451" xr:uid="{854DCB7F-680D-4C0E-B878-59733FBA1FE3}"/>
    <cellStyle name="Separador de milhares 7 4 4 11" xfId="22619" xr:uid="{00000000-0005-0000-0000-0000AC620000}"/>
    <cellStyle name="Separador de milhares 7 4 4 11 2" xfId="22620" xr:uid="{00000000-0005-0000-0000-0000AD620000}"/>
    <cellStyle name="Separador de milhares 7 4 4 11 2 2" xfId="31454" xr:uid="{D3B9A979-65C1-47F4-8FEB-7B30C0B0D005}"/>
    <cellStyle name="Separador de milhares 7 4 4 11 3" xfId="31453" xr:uid="{D8653545-4E70-4925-9998-89185A783E86}"/>
    <cellStyle name="Separador de milhares 7 4 4 12" xfId="22621" xr:uid="{00000000-0005-0000-0000-0000AE620000}"/>
    <cellStyle name="Separador de milhares 7 4 4 12 2" xfId="22622" xr:uid="{00000000-0005-0000-0000-0000AF620000}"/>
    <cellStyle name="Separador de milhares 7 4 4 12 2 2" xfId="31456" xr:uid="{64E69416-4425-4E5C-A721-875A34F1C14A}"/>
    <cellStyle name="Separador de milhares 7 4 4 12 3" xfId="31455" xr:uid="{5A99093B-9997-46EA-ACE5-0F28CAB6148B}"/>
    <cellStyle name="Separador de milhares 7 4 4 13" xfId="22623" xr:uid="{00000000-0005-0000-0000-0000B0620000}"/>
    <cellStyle name="Separador de milhares 7 4 4 13 2" xfId="22624" xr:uid="{00000000-0005-0000-0000-0000B1620000}"/>
    <cellStyle name="Separador de milhares 7 4 4 13 2 2" xfId="31458" xr:uid="{BF7B24DE-0A04-4F67-8B1E-0C30C32ACC1B}"/>
    <cellStyle name="Separador de milhares 7 4 4 13 3" xfId="31457" xr:uid="{06787CA5-88F3-44E3-80E3-2374018A7EF4}"/>
    <cellStyle name="Separador de milhares 7 4 4 14" xfId="22625" xr:uid="{00000000-0005-0000-0000-0000B2620000}"/>
    <cellStyle name="Separador de milhares 7 4 4 14 2" xfId="22626" xr:uid="{00000000-0005-0000-0000-0000B3620000}"/>
    <cellStyle name="Separador de milhares 7 4 4 14 2 2" xfId="31460" xr:uid="{E8C5BB67-81EF-4C4D-B223-65ED6DCBF156}"/>
    <cellStyle name="Separador de milhares 7 4 4 14 3" xfId="31459" xr:uid="{7355308B-3DBA-4848-9D52-AE19081FBB8F}"/>
    <cellStyle name="Separador de milhares 7 4 4 15" xfId="22627" xr:uid="{00000000-0005-0000-0000-0000B4620000}"/>
    <cellStyle name="Separador de milhares 7 4 4 15 2" xfId="22628" xr:uid="{00000000-0005-0000-0000-0000B5620000}"/>
    <cellStyle name="Separador de milhares 7 4 4 15 2 2" xfId="31462" xr:uid="{A0D5D587-64C2-4043-99E9-469B077A7CF3}"/>
    <cellStyle name="Separador de milhares 7 4 4 15 3" xfId="31461" xr:uid="{53ACC996-A896-4D32-A168-B13BEE182FDF}"/>
    <cellStyle name="Separador de milhares 7 4 4 16" xfId="22629" xr:uid="{00000000-0005-0000-0000-0000B6620000}"/>
    <cellStyle name="Separador de milhares 7 4 4 16 2" xfId="22630" xr:uid="{00000000-0005-0000-0000-0000B7620000}"/>
    <cellStyle name="Separador de milhares 7 4 4 16 2 2" xfId="31464" xr:uid="{B4AB9179-57B3-406C-8A8E-9F3CA17B366A}"/>
    <cellStyle name="Separador de milhares 7 4 4 16 3" xfId="31463" xr:uid="{89D0B847-F85A-4EE6-B385-77EBD15BB4EF}"/>
    <cellStyle name="Separador de milhares 7 4 4 17" xfId="22631" xr:uid="{00000000-0005-0000-0000-0000B8620000}"/>
    <cellStyle name="Separador de milhares 7 4 4 17 2" xfId="22632" xr:uid="{00000000-0005-0000-0000-0000B9620000}"/>
    <cellStyle name="Separador de milhares 7 4 4 17 2 2" xfId="31466" xr:uid="{121FCA6D-6FED-4C2F-BF9C-0F7F52A7E5A3}"/>
    <cellStyle name="Separador de milhares 7 4 4 17 3" xfId="31465" xr:uid="{89DF19FF-AC6B-4F59-B8C8-CB1F45E3AB2D}"/>
    <cellStyle name="Separador de milhares 7 4 4 18" xfId="22633" xr:uid="{00000000-0005-0000-0000-0000BA620000}"/>
    <cellStyle name="Separador de milhares 7 4 4 18 2" xfId="22634" xr:uid="{00000000-0005-0000-0000-0000BB620000}"/>
    <cellStyle name="Separador de milhares 7 4 4 18 2 2" xfId="31468" xr:uid="{7ACD1F74-C0FB-4E6B-8481-4CD9BDFE7E2A}"/>
    <cellStyle name="Separador de milhares 7 4 4 18 3" xfId="31467" xr:uid="{3DADE42F-AAF3-415B-8900-4DDD8E2DA4E4}"/>
    <cellStyle name="Separador de milhares 7 4 4 19" xfId="22635" xr:uid="{00000000-0005-0000-0000-0000BC620000}"/>
    <cellStyle name="Separador de milhares 7 4 4 19 2" xfId="22636" xr:uid="{00000000-0005-0000-0000-0000BD620000}"/>
    <cellStyle name="Separador de milhares 7 4 4 19 2 2" xfId="31470" xr:uid="{21E6C6D6-DEA0-434C-8B45-DA123B7C6585}"/>
    <cellStyle name="Separador de milhares 7 4 4 19 3" xfId="31469" xr:uid="{C8EE6E6F-4ED1-4363-8F8B-3E4747C8E781}"/>
    <cellStyle name="Separador de milhares 7 4 4 2" xfId="22637" xr:uid="{00000000-0005-0000-0000-0000BE620000}"/>
    <cellStyle name="Separador de milhares 7 4 4 2 2" xfId="22638" xr:uid="{00000000-0005-0000-0000-0000BF620000}"/>
    <cellStyle name="Separador de milhares 7 4 4 2 2 2" xfId="22639" xr:uid="{00000000-0005-0000-0000-0000C0620000}"/>
    <cellStyle name="Separador de milhares 7 4 4 2 2 2 2" xfId="31473" xr:uid="{3BEB692B-E65C-4990-92CE-639245E0A600}"/>
    <cellStyle name="Separador de milhares 7 4 4 2 2 3" xfId="31472" xr:uid="{8243DD22-405E-4C9E-B398-8C5A003C1EF2}"/>
    <cellStyle name="Separador de milhares 7 4 4 2 3" xfId="22640" xr:uid="{00000000-0005-0000-0000-0000C1620000}"/>
    <cellStyle name="Separador de milhares 7 4 4 2 3 2" xfId="22641" xr:uid="{00000000-0005-0000-0000-0000C2620000}"/>
    <cellStyle name="Separador de milhares 7 4 4 2 3 2 2" xfId="31475" xr:uid="{1B2F7D63-522C-4917-969D-B30AC28EF392}"/>
    <cellStyle name="Separador de milhares 7 4 4 2 3 3" xfId="31474" xr:uid="{B3430D3C-E027-4AD3-8A24-295F79DFC5C9}"/>
    <cellStyle name="Separador de milhares 7 4 4 2 4" xfId="22642" xr:uid="{00000000-0005-0000-0000-0000C3620000}"/>
    <cellStyle name="Separador de milhares 7 4 4 2 4 2" xfId="22643" xr:uid="{00000000-0005-0000-0000-0000C4620000}"/>
    <cellStyle name="Separador de milhares 7 4 4 2 4 2 2" xfId="31477" xr:uid="{80D0DA11-4E71-4450-B712-24A5AFA31A7E}"/>
    <cellStyle name="Separador de milhares 7 4 4 2 4 3" xfId="31476" xr:uid="{A9BDB9F8-AFEA-4C26-B5CF-411B432C9A11}"/>
    <cellStyle name="Separador de milhares 7 4 4 2 5" xfId="22644" xr:uid="{00000000-0005-0000-0000-0000C5620000}"/>
    <cellStyle name="Separador de milhares 7 4 4 2 5 2" xfId="22645" xr:uid="{00000000-0005-0000-0000-0000C6620000}"/>
    <cellStyle name="Separador de milhares 7 4 4 2 5 2 2" xfId="31479" xr:uid="{9C7A845E-D030-4940-ABBF-C620C15E71FC}"/>
    <cellStyle name="Separador de milhares 7 4 4 2 5 3" xfId="31478" xr:uid="{8F093550-C30C-4333-96E4-810C7BDD2DB2}"/>
    <cellStyle name="Separador de milhares 7 4 4 2 6" xfId="22646" xr:uid="{00000000-0005-0000-0000-0000C7620000}"/>
    <cellStyle name="Separador de milhares 7 4 4 2 6 2" xfId="31480" xr:uid="{B224BC11-EA56-4362-9356-EA1E8A9EBA38}"/>
    <cellStyle name="Separador de milhares 7 4 4 2 7" xfId="31471" xr:uid="{44A1485F-0800-4ADE-AD4D-0F33B4AFDB89}"/>
    <cellStyle name="Separador de milhares 7 4 4 20" xfId="22647" xr:uid="{00000000-0005-0000-0000-0000C8620000}"/>
    <cellStyle name="Separador de milhares 7 4 4 20 2" xfId="22648" xr:uid="{00000000-0005-0000-0000-0000C9620000}"/>
    <cellStyle name="Separador de milhares 7 4 4 20 2 2" xfId="31482" xr:uid="{0CE2E276-CA03-4300-841D-6BB47D12E646}"/>
    <cellStyle name="Separador de milhares 7 4 4 20 3" xfId="31481" xr:uid="{9CC864F4-4D34-41E7-ACA3-C8F0F76F7602}"/>
    <cellStyle name="Separador de milhares 7 4 4 21" xfId="22649" xr:uid="{00000000-0005-0000-0000-0000CA620000}"/>
    <cellStyle name="Separador de milhares 7 4 4 21 2" xfId="22650" xr:uid="{00000000-0005-0000-0000-0000CB620000}"/>
    <cellStyle name="Separador de milhares 7 4 4 21 2 2" xfId="31484" xr:uid="{10942706-6E22-4246-A076-C95A75145DD9}"/>
    <cellStyle name="Separador de milhares 7 4 4 21 3" xfId="31483" xr:uid="{588B5070-4C6E-4B1E-BBB9-307F0FBD4127}"/>
    <cellStyle name="Separador de milhares 7 4 4 22" xfId="22651" xr:uid="{00000000-0005-0000-0000-0000CC620000}"/>
    <cellStyle name="Separador de milhares 7 4 4 22 2" xfId="22652" xr:uid="{00000000-0005-0000-0000-0000CD620000}"/>
    <cellStyle name="Separador de milhares 7 4 4 22 2 2" xfId="31486" xr:uid="{AFC79A6F-1E81-42F2-9894-38161D2777AD}"/>
    <cellStyle name="Separador de milhares 7 4 4 22 3" xfId="31485" xr:uid="{6D5F3A63-9203-4D93-BC57-E77379A2F07E}"/>
    <cellStyle name="Separador de milhares 7 4 4 23" xfId="22653" xr:uid="{00000000-0005-0000-0000-0000CE620000}"/>
    <cellStyle name="Separador de milhares 7 4 4 23 2" xfId="22654" xr:uid="{00000000-0005-0000-0000-0000CF620000}"/>
    <cellStyle name="Separador de milhares 7 4 4 23 2 2" xfId="31488" xr:uid="{9A0F0738-4ADD-454B-BAC2-466049EDEC81}"/>
    <cellStyle name="Separador de milhares 7 4 4 23 3" xfId="31487" xr:uid="{3AE6429B-AD0D-40C5-9981-DA3480B9BB1D}"/>
    <cellStyle name="Separador de milhares 7 4 4 24" xfId="22655" xr:uid="{00000000-0005-0000-0000-0000D0620000}"/>
    <cellStyle name="Separador de milhares 7 4 4 24 2" xfId="22656" xr:uid="{00000000-0005-0000-0000-0000D1620000}"/>
    <cellStyle name="Separador de milhares 7 4 4 24 2 2" xfId="31490" xr:uid="{24425DA6-F12D-4ED4-9EC3-91FF759294D0}"/>
    <cellStyle name="Separador de milhares 7 4 4 24 3" xfId="31489" xr:uid="{8A67135A-126B-428C-9C7C-0730B821AD56}"/>
    <cellStyle name="Separador de milhares 7 4 4 25" xfId="22657" xr:uid="{00000000-0005-0000-0000-0000D2620000}"/>
    <cellStyle name="Separador de milhares 7 4 4 25 2" xfId="22658" xr:uid="{00000000-0005-0000-0000-0000D3620000}"/>
    <cellStyle name="Separador de milhares 7 4 4 25 2 2" xfId="31492" xr:uid="{AB70FEB6-97EE-4C5C-B426-17943430EA70}"/>
    <cellStyle name="Separador de milhares 7 4 4 25 3" xfId="31491" xr:uid="{A782D162-7308-4BEB-ACE1-EBCD5467F7F0}"/>
    <cellStyle name="Separador de milhares 7 4 4 26" xfId="22659" xr:uid="{00000000-0005-0000-0000-0000D4620000}"/>
    <cellStyle name="Separador de milhares 7 4 4 26 2" xfId="22660" xr:uid="{00000000-0005-0000-0000-0000D5620000}"/>
    <cellStyle name="Separador de milhares 7 4 4 26 2 2" xfId="31494" xr:uid="{5348A00B-4A9A-4AB6-8688-55EE8DF899A9}"/>
    <cellStyle name="Separador de milhares 7 4 4 26 3" xfId="31493" xr:uid="{9A7E5353-7333-4466-85C2-C8B08532128F}"/>
    <cellStyle name="Separador de milhares 7 4 4 27" xfId="22661" xr:uid="{00000000-0005-0000-0000-0000D6620000}"/>
    <cellStyle name="Separador de milhares 7 4 4 27 2" xfId="22662" xr:uid="{00000000-0005-0000-0000-0000D7620000}"/>
    <cellStyle name="Separador de milhares 7 4 4 27 2 2" xfId="31496" xr:uid="{C5B52BA7-4013-490E-A68D-953EA849AE13}"/>
    <cellStyle name="Separador de milhares 7 4 4 27 3" xfId="31495" xr:uid="{47F0716F-95A2-4917-965D-8AB93C0D9976}"/>
    <cellStyle name="Separador de milhares 7 4 4 28" xfId="22663" xr:uid="{00000000-0005-0000-0000-0000D8620000}"/>
    <cellStyle name="Separador de milhares 7 4 4 28 2" xfId="22664" xr:uid="{00000000-0005-0000-0000-0000D9620000}"/>
    <cellStyle name="Separador de milhares 7 4 4 28 2 2" xfId="31498" xr:uid="{EA2821F7-7374-443B-B8C2-FB1031E05481}"/>
    <cellStyle name="Separador de milhares 7 4 4 28 3" xfId="31497" xr:uid="{BA936E79-FF57-4CA1-BD40-4B098BF414C0}"/>
    <cellStyle name="Separador de milhares 7 4 4 29" xfId="22665" xr:uid="{00000000-0005-0000-0000-0000DA620000}"/>
    <cellStyle name="Separador de milhares 7 4 4 29 2" xfId="22666" xr:uid="{00000000-0005-0000-0000-0000DB620000}"/>
    <cellStyle name="Separador de milhares 7 4 4 29 2 2" xfId="31500" xr:uid="{0B4BD77E-410D-45CF-94DA-EBE2558C162E}"/>
    <cellStyle name="Separador de milhares 7 4 4 29 3" xfId="31499" xr:uid="{E3FD9B05-A8BA-464D-B314-C5B9287DDF3D}"/>
    <cellStyle name="Separador de milhares 7 4 4 3" xfId="22667" xr:uid="{00000000-0005-0000-0000-0000DC620000}"/>
    <cellStyle name="Separador de milhares 7 4 4 3 2" xfId="22668" xr:uid="{00000000-0005-0000-0000-0000DD620000}"/>
    <cellStyle name="Separador de milhares 7 4 4 3 2 2" xfId="22669" xr:uid="{00000000-0005-0000-0000-0000DE620000}"/>
    <cellStyle name="Separador de milhares 7 4 4 3 2 2 2" xfId="31503" xr:uid="{BD9B46CB-9DC5-4EDB-8F49-4274ECF00046}"/>
    <cellStyle name="Separador de milhares 7 4 4 3 2 3" xfId="31502" xr:uid="{612699D2-F32C-407A-979A-838752B4AA71}"/>
    <cellStyle name="Separador de milhares 7 4 4 3 3" xfId="22670" xr:uid="{00000000-0005-0000-0000-0000DF620000}"/>
    <cellStyle name="Separador de milhares 7 4 4 3 3 2" xfId="22671" xr:uid="{00000000-0005-0000-0000-0000E0620000}"/>
    <cellStyle name="Separador de milhares 7 4 4 3 3 2 2" xfId="31505" xr:uid="{BBDBA5AB-00F0-4F49-8A31-C79810C16573}"/>
    <cellStyle name="Separador de milhares 7 4 4 3 3 3" xfId="31504" xr:uid="{68C8F540-A6AC-469D-BDBA-29B21C2FA8AB}"/>
    <cellStyle name="Separador de milhares 7 4 4 3 4" xfId="22672" xr:uid="{00000000-0005-0000-0000-0000E1620000}"/>
    <cellStyle name="Separador de milhares 7 4 4 3 4 2" xfId="22673" xr:uid="{00000000-0005-0000-0000-0000E2620000}"/>
    <cellStyle name="Separador de milhares 7 4 4 3 4 2 2" xfId="31507" xr:uid="{E7B846A0-A73D-479C-8A73-C46C76F1555A}"/>
    <cellStyle name="Separador de milhares 7 4 4 3 4 3" xfId="31506" xr:uid="{F3566747-52CA-47C9-8F37-4FE12128B82B}"/>
    <cellStyle name="Separador de milhares 7 4 4 3 5" xfId="22674" xr:uid="{00000000-0005-0000-0000-0000E3620000}"/>
    <cellStyle name="Separador de milhares 7 4 4 3 5 2" xfId="22675" xr:uid="{00000000-0005-0000-0000-0000E4620000}"/>
    <cellStyle name="Separador de milhares 7 4 4 3 5 2 2" xfId="31509" xr:uid="{DD5BF6B7-5705-438A-B6F3-A61BA4744A3E}"/>
    <cellStyle name="Separador de milhares 7 4 4 3 5 3" xfId="31508" xr:uid="{CF192FBF-E038-45CB-95D9-1D0E8F911432}"/>
    <cellStyle name="Separador de milhares 7 4 4 3 6" xfId="22676" xr:uid="{00000000-0005-0000-0000-0000E5620000}"/>
    <cellStyle name="Separador de milhares 7 4 4 3 6 2" xfId="31510" xr:uid="{11EF480B-7513-47A2-A963-EF2E305C4067}"/>
    <cellStyle name="Separador de milhares 7 4 4 3 7" xfId="31501" xr:uid="{61F35CF7-48C5-4FD5-B797-56783A88A3A2}"/>
    <cellStyle name="Separador de milhares 7 4 4 30" xfId="22677" xr:uid="{00000000-0005-0000-0000-0000E6620000}"/>
    <cellStyle name="Separador de milhares 7 4 4 30 2" xfId="22678" xr:uid="{00000000-0005-0000-0000-0000E7620000}"/>
    <cellStyle name="Separador de milhares 7 4 4 30 2 2" xfId="31512" xr:uid="{84985153-735C-4863-B098-4D29A2ECAAC9}"/>
    <cellStyle name="Separador de milhares 7 4 4 30 3" xfId="31511" xr:uid="{3DD7389B-6AB7-4CA1-B1E6-9FB32D350E15}"/>
    <cellStyle name="Separador de milhares 7 4 4 31" xfId="22679" xr:uid="{00000000-0005-0000-0000-0000E8620000}"/>
    <cellStyle name="Separador de milhares 7 4 4 31 2" xfId="22680" xr:uid="{00000000-0005-0000-0000-0000E9620000}"/>
    <cellStyle name="Separador de milhares 7 4 4 31 2 2" xfId="31514" xr:uid="{C6120579-44AE-4050-A48A-DF694124B9EE}"/>
    <cellStyle name="Separador de milhares 7 4 4 31 3" xfId="31513" xr:uid="{DAFC8944-6EF1-47AB-8AB5-9F896BA74000}"/>
    <cellStyle name="Separador de milhares 7 4 4 32" xfId="22681" xr:uid="{00000000-0005-0000-0000-0000EA620000}"/>
    <cellStyle name="Separador de milhares 7 4 4 32 2" xfId="22682" xr:uid="{00000000-0005-0000-0000-0000EB620000}"/>
    <cellStyle name="Separador de milhares 7 4 4 32 2 2" xfId="31516" xr:uid="{E7087A95-9515-4EF9-A1D5-9FDA19997204}"/>
    <cellStyle name="Separador de milhares 7 4 4 32 3" xfId="31515" xr:uid="{0443100C-03B8-4916-A31B-7C82F57A3A20}"/>
    <cellStyle name="Separador de milhares 7 4 4 33" xfId="22683" xr:uid="{00000000-0005-0000-0000-0000EC620000}"/>
    <cellStyle name="Separador de milhares 7 4 4 33 2" xfId="22684" xr:uid="{00000000-0005-0000-0000-0000ED620000}"/>
    <cellStyle name="Separador de milhares 7 4 4 33 2 2" xfId="31518" xr:uid="{5A485D16-CD95-40AF-AD42-0D56D3794C74}"/>
    <cellStyle name="Separador de milhares 7 4 4 33 3" xfId="31517" xr:uid="{96736A85-A201-4A6C-B51A-0C05C8F5440A}"/>
    <cellStyle name="Separador de milhares 7 4 4 34" xfId="22685" xr:uid="{00000000-0005-0000-0000-0000EE620000}"/>
    <cellStyle name="Separador de milhares 7 4 4 34 2" xfId="22686" xr:uid="{00000000-0005-0000-0000-0000EF620000}"/>
    <cellStyle name="Separador de milhares 7 4 4 34 2 2" xfId="31520" xr:uid="{04D81263-CA26-4D1D-AF1D-1C3787F6D6B8}"/>
    <cellStyle name="Separador de milhares 7 4 4 34 3" xfId="31519" xr:uid="{07E43BCF-69AC-42EF-8C99-8CD6E96B2CCC}"/>
    <cellStyle name="Separador de milhares 7 4 4 35" xfId="22687" xr:uid="{00000000-0005-0000-0000-0000F0620000}"/>
    <cellStyle name="Separador de milhares 7 4 4 35 2" xfId="22688" xr:uid="{00000000-0005-0000-0000-0000F1620000}"/>
    <cellStyle name="Separador de milhares 7 4 4 35 2 2" xfId="31522" xr:uid="{68B4EBBE-8A12-43BA-8F3E-1E4B807323CF}"/>
    <cellStyle name="Separador de milhares 7 4 4 35 3" xfId="31521" xr:uid="{4D4B022D-C9CE-4035-99EC-4B8EF9BE2C26}"/>
    <cellStyle name="Separador de milhares 7 4 4 36" xfId="22689" xr:uid="{00000000-0005-0000-0000-0000F2620000}"/>
    <cellStyle name="Separador de milhares 7 4 4 36 2" xfId="22690" xr:uid="{00000000-0005-0000-0000-0000F3620000}"/>
    <cellStyle name="Separador de milhares 7 4 4 36 2 2" xfId="31524" xr:uid="{97143D4B-0BEC-414B-A54B-8250F3385EC0}"/>
    <cellStyle name="Separador de milhares 7 4 4 36 3" xfId="31523" xr:uid="{7FC8D6EC-1BD2-4E1E-A9B5-8A265E1F6926}"/>
    <cellStyle name="Separador de milhares 7 4 4 37" xfId="22691" xr:uid="{00000000-0005-0000-0000-0000F4620000}"/>
    <cellStyle name="Separador de milhares 7 4 4 37 2" xfId="22692" xr:uid="{00000000-0005-0000-0000-0000F5620000}"/>
    <cellStyle name="Separador de milhares 7 4 4 37 2 2" xfId="31526" xr:uid="{7EF839BA-A50A-4F43-B82E-6DA0117D1726}"/>
    <cellStyle name="Separador de milhares 7 4 4 37 3" xfId="31525" xr:uid="{60AD8553-EF2E-4977-8EDE-6EB6345F0151}"/>
    <cellStyle name="Separador de milhares 7 4 4 38" xfId="22693" xr:uid="{00000000-0005-0000-0000-0000F6620000}"/>
    <cellStyle name="Separador de milhares 7 4 4 38 2" xfId="22694" xr:uid="{00000000-0005-0000-0000-0000F7620000}"/>
    <cellStyle name="Separador de milhares 7 4 4 38 2 2" xfId="31528" xr:uid="{1E07BBC4-D62F-4523-8CCC-1F1545329BF4}"/>
    <cellStyle name="Separador de milhares 7 4 4 38 3" xfId="31527" xr:uid="{5A3E7266-7FCB-4073-95BD-D6E852A7C0D4}"/>
    <cellStyle name="Separador de milhares 7 4 4 39" xfId="22695" xr:uid="{00000000-0005-0000-0000-0000F8620000}"/>
    <cellStyle name="Separador de milhares 7 4 4 39 2" xfId="22696" xr:uid="{00000000-0005-0000-0000-0000F9620000}"/>
    <cellStyle name="Separador de milhares 7 4 4 39 2 2" xfId="31530" xr:uid="{65233B91-29F9-479A-94D2-81B7E8F27643}"/>
    <cellStyle name="Separador de milhares 7 4 4 39 3" xfId="31529" xr:uid="{C17A662B-6823-4B3C-94EF-8CCEBC1535FF}"/>
    <cellStyle name="Separador de milhares 7 4 4 4" xfId="22697" xr:uid="{00000000-0005-0000-0000-0000FA620000}"/>
    <cellStyle name="Separador de milhares 7 4 4 4 2" xfId="22698" xr:uid="{00000000-0005-0000-0000-0000FB620000}"/>
    <cellStyle name="Separador de milhares 7 4 4 4 2 2" xfId="22699" xr:uid="{00000000-0005-0000-0000-0000FC620000}"/>
    <cellStyle name="Separador de milhares 7 4 4 4 2 2 2" xfId="31533" xr:uid="{6516090B-32AE-4622-9307-9478ED2DABC7}"/>
    <cellStyle name="Separador de milhares 7 4 4 4 2 3" xfId="31532" xr:uid="{7F040E14-4DA8-459C-9CA7-758BEFC22DCE}"/>
    <cellStyle name="Separador de milhares 7 4 4 4 3" xfId="22700" xr:uid="{00000000-0005-0000-0000-0000FD620000}"/>
    <cellStyle name="Separador de milhares 7 4 4 4 3 2" xfId="22701" xr:uid="{00000000-0005-0000-0000-0000FE620000}"/>
    <cellStyle name="Separador de milhares 7 4 4 4 3 2 2" xfId="31535" xr:uid="{70112A76-4AEC-49AB-AE2C-C9A5D4C75B9D}"/>
    <cellStyle name="Separador de milhares 7 4 4 4 3 3" xfId="31534" xr:uid="{C1A17CC6-4C5F-4F54-8B00-63A0EB33A26A}"/>
    <cellStyle name="Separador de milhares 7 4 4 4 4" xfId="22702" xr:uid="{00000000-0005-0000-0000-0000FF620000}"/>
    <cellStyle name="Separador de milhares 7 4 4 4 4 2" xfId="22703" xr:uid="{00000000-0005-0000-0000-000000630000}"/>
    <cellStyle name="Separador de milhares 7 4 4 4 4 2 2" xfId="31537" xr:uid="{7F128DD4-D671-4873-9D45-13CB8F81A9DA}"/>
    <cellStyle name="Separador de milhares 7 4 4 4 4 3" xfId="31536" xr:uid="{88DA5B0F-5100-4EFD-B540-A4451192B6AF}"/>
    <cellStyle name="Separador de milhares 7 4 4 4 5" xfId="22704" xr:uid="{00000000-0005-0000-0000-000001630000}"/>
    <cellStyle name="Separador de milhares 7 4 4 4 5 2" xfId="22705" xr:uid="{00000000-0005-0000-0000-000002630000}"/>
    <cellStyle name="Separador de milhares 7 4 4 4 5 2 2" xfId="31539" xr:uid="{09DFA735-8209-4730-81D8-78148D5D1722}"/>
    <cellStyle name="Separador de milhares 7 4 4 4 5 3" xfId="31538" xr:uid="{F936F876-3704-4713-95CA-E23E88E01145}"/>
    <cellStyle name="Separador de milhares 7 4 4 4 6" xfId="22706" xr:uid="{00000000-0005-0000-0000-000003630000}"/>
    <cellStyle name="Separador de milhares 7 4 4 4 6 2" xfId="31540" xr:uid="{878AB940-B65B-415B-B752-A42D27AE70E2}"/>
    <cellStyle name="Separador de milhares 7 4 4 4 7" xfId="31531" xr:uid="{BF5FB409-E9BB-4B2E-8D83-3CFD08243D47}"/>
    <cellStyle name="Separador de milhares 7 4 4 40" xfId="22707" xr:uid="{00000000-0005-0000-0000-000004630000}"/>
    <cellStyle name="Separador de milhares 7 4 4 40 2" xfId="22708" xr:uid="{00000000-0005-0000-0000-000005630000}"/>
    <cellStyle name="Separador de milhares 7 4 4 40 2 2" xfId="31542" xr:uid="{60BC71C1-3324-4682-A4B2-D4539BE0D1D4}"/>
    <cellStyle name="Separador de milhares 7 4 4 40 3" xfId="31541" xr:uid="{0803AC16-F330-406A-A9C1-B9173F458456}"/>
    <cellStyle name="Separador de milhares 7 4 4 41" xfId="22709" xr:uid="{00000000-0005-0000-0000-000006630000}"/>
    <cellStyle name="Separador de milhares 7 4 4 41 2" xfId="22710" xr:uid="{00000000-0005-0000-0000-000007630000}"/>
    <cellStyle name="Separador de milhares 7 4 4 41 2 2" xfId="31544" xr:uid="{439240DC-38A0-449C-BAE9-0478E2F94C9E}"/>
    <cellStyle name="Separador de milhares 7 4 4 41 3" xfId="31543" xr:uid="{3E994177-A82B-415A-8938-A3F1AEAE889C}"/>
    <cellStyle name="Separador de milhares 7 4 4 42" xfId="22711" xr:uid="{00000000-0005-0000-0000-000008630000}"/>
    <cellStyle name="Separador de milhares 7 4 4 42 2" xfId="22712" xr:uid="{00000000-0005-0000-0000-000009630000}"/>
    <cellStyle name="Separador de milhares 7 4 4 42 2 2" xfId="31546" xr:uid="{46E9690A-CD6D-4470-8C50-02CDE8672C5B}"/>
    <cellStyle name="Separador de milhares 7 4 4 42 3" xfId="31545" xr:uid="{DBAC9BC3-C5B8-49CF-9F3F-AEA0D0AFFBD8}"/>
    <cellStyle name="Separador de milhares 7 4 4 43" xfId="22713" xr:uid="{00000000-0005-0000-0000-00000A630000}"/>
    <cellStyle name="Separador de milhares 7 4 4 43 2" xfId="22714" xr:uid="{00000000-0005-0000-0000-00000B630000}"/>
    <cellStyle name="Separador de milhares 7 4 4 43 2 2" xfId="31548" xr:uid="{549E56BD-81AA-47AE-BB91-DC1F711E600A}"/>
    <cellStyle name="Separador de milhares 7 4 4 43 3" xfId="31547" xr:uid="{D926E8C9-6962-4176-BDD1-321540BFACBF}"/>
    <cellStyle name="Separador de milhares 7 4 4 44" xfId="22715" xr:uid="{00000000-0005-0000-0000-00000C630000}"/>
    <cellStyle name="Separador de milhares 7 4 4 44 2" xfId="22716" xr:uid="{00000000-0005-0000-0000-00000D630000}"/>
    <cellStyle name="Separador de milhares 7 4 4 44 2 2" xfId="31550" xr:uid="{3C405939-D3EE-42B5-A05F-638EE5A265B6}"/>
    <cellStyle name="Separador de milhares 7 4 4 44 3" xfId="31549" xr:uid="{4857E1D4-4331-4970-8F0C-D68A34A611FD}"/>
    <cellStyle name="Separador de milhares 7 4 4 45" xfId="22717" xr:uid="{00000000-0005-0000-0000-00000E630000}"/>
    <cellStyle name="Separador de milhares 7 4 4 45 2" xfId="22718" xr:uid="{00000000-0005-0000-0000-00000F630000}"/>
    <cellStyle name="Separador de milhares 7 4 4 45 2 2" xfId="31552" xr:uid="{D754531F-2977-4365-9E26-EC05E2C04321}"/>
    <cellStyle name="Separador de milhares 7 4 4 45 3" xfId="31551" xr:uid="{593CD26C-388D-4214-9132-C99EB88AC85C}"/>
    <cellStyle name="Separador de milhares 7 4 4 46" xfId="22719" xr:uid="{00000000-0005-0000-0000-000010630000}"/>
    <cellStyle name="Separador de milhares 7 4 4 46 2" xfId="31553" xr:uid="{DFEB98EF-4ECC-4D35-B41D-D050BF11B4F6}"/>
    <cellStyle name="Separador de milhares 7 4 4 5" xfId="22720" xr:uid="{00000000-0005-0000-0000-000011630000}"/>
    <cellStyle name="Separador de milhares 7 4 4 5 2" xfId="22721" xr:uid="{00000000-0005-0000-0000-000012630000}"/>
    <cellStyle name="Separador de milhares 7 4 4 5 2 2" xfId="31555" xr:uid="{2AD4A981-FDA8-4572-A3FE-23B0192E13D9}"/>
    <cellStyle name="Separador de milhares 7 4 4 5 3" xfId="31554" xr:uid="{98AB55E2-3634-4FC3-948F-62CCE72F207F}"/>
    <cellStyle name="Separador de milhares 7 4 4 6" xfId="22722" xr:uid="{00000000-0005-0000-0000-000013630000}"/>
    <cellStyle name="Separador de milhares 7 4 4 6 2" xfId="22723" xr:uid="{00000000-0005-0000-0000-000014630000}"/>
    <cellStyle name="Separador de milhares 7 4 4 6 2 2" xfId="31557" xr:uid="{9F1DFF6C-5249-4D7B-ACDF-E4A4C7AE52DC}"/>
    <cellStyle name="Separador de milhares 7 4 4 6 3" xfId="31556" xr:uid="{CE5FD33A-60D1-46B0-950F-841E9193586F}"/>
    <cellStyle name="Separador de milhares 7 4 4 7" xfId="22724" xr:uid="{00000000-0005-0000-0000-000015630000}"/>
    <cellStyle name="Separador de milhares 7 4 4 7 2" xfId="22725" xr:uid="{00000000-0005-0000-0000-000016630000}"/>
    <cellStyle name="Separador de milhares 7 4 4 7 2 2" xfId="31559" xr:uid="{163614BE-8DF2-4193-93AD-F816517C64BB}"/>
    <cellStyle name="Separador de milhares 7 4 4 7 3" xfId="31558" xr:uid="{CBE4D199-00E0-4D65-9481-21E69DCBD6EE}"/>
    <cellStyle name="Separador de milhares 7 4 4 8" xfId="22726" xr:uid="{00000000-0005-0000-0000-000017630000}"/>
    <cellStyle name="Separador de milhares 7 4 4 8 2" xfId="22727" xr:uid="{00000000-0005-0000-0000-000018630000}"/>
    <cellStyle name="Separador de milhares 7 4 4 8 2 2" xfId="31561" xr:uid="{581917ED-7342-42B0-8C90-276CA61BB18B}"/>
    <cellStyle name="Separador de milhares 7 4 4 8 3" xfId="31560" xr:uid="{84D8E243-6064-4977-8EBA-B90E4461507B}"/>
    <cellStyle name="Separador de milhares 7 4 4 9" xfId="22728" xr:uid="{00000000-0005-0000-0000-000019630000}"/>
    <cellStyle name="Separador de milhares 7 4 4 9 2" xfId="22729" xr:uid="{00000000-0005-0000-0000-00001A630000}"/>
    <cellStyle name="Separador de milhares 7 4 4 9 2 2" xfId="31563" xr:uid="{CC7EB505-5788-4C4E-8466-A0E673ABD2E9}"/>
    <cellStyle name="Separador de milhares 7 4 4 9 3" xfId="31562" xr:uid="{3D5705AE-1943-4D41-A1F0-31E016C101BE}"/>
    <cellStyle name="Separador de milhares 7 4 40" xfId="22730" xr:uid="{00000000-0005-0000-0000-00001B630000}"/>
    <cellStyle name="Separador de milhares 7 4 40 2" xfId="22731" xr:uid="{00000000-0005-0000-0000-00001C630000}"/>
    <cellStyle name="Separador de milhares 7 4 40 2 2" xfId="31565" xr:uid="{4DFF20B5-63A4-416D-92B2-BC8BEC0501D4}"/>
    <cellStyle name="Separador de milhares 7 4 40 3" xfId="31564" xr:uid="{AD4B98FA-ED25-43EB-8DA1-DE3765C003CC}"/>
    <cellStyle name="Separador de milhares 7 4 41" xfId="22732" xr:uid="{00000000-0005-0000-0000-00001D630000}"/>
    <cellStyle name="Separador de milhares 7 4 41 2" xfId="22733" xr:uid="{00000000-0005-0000-0000-00001E630000}"/>
    <cellStyle name="Separador de milhares 7 4 41 2 2" xfId="31567" xr:uid="{BDC5850C-0610-42D5-BBF7-C608691180F2}"/>
    <cellStyle name="Separador de milhares 7 4 41 3" xfId="31566" xr:uid="{BBCA9392-8CD6-4808-ABAF-6B9F44545976}"/>
    <cellStyle name="Separador de milhares 7 4 42" xfId="22734" xr:uid="{00000000-0005-0000-0000-00001F630000}"/>
    <cellStyle name="Separador de milhares 7 4 42 2" xfId="22735" xr:uid="{00000000-0005-0000-0000-000020630000}"/>
    <cellStyle name="Separador de milhares 7 4 42 2 2" xfId="31569" xr:uid="{0C8332AF-7D16-4611-8173-D45CFCB39BFE}"/>
    <cellStyle name="Separador de milhares 7 4 42 3" xfId="31568" xr:uid="{DABF86C5-6912-4340-A520-FA1B983852BF}"/>
    <cellStyle name="Separador de milhares 7 4 43" xfId="22736" xr:uid="{00000000-0005-0000-0000-000021630000}"/>
    <cellStyle name="Separador de milhares 7 4 43 2" xfId="22737" xr:uid="{00000000-0005-0000-0000-000022630000}"/>
    <cellStyle name="Separador de milhares 7 4 43 2 2" xfId="31571" xr:uid="{2EB074FA-1E6B-498B-8EEF-9B517F50A63D}"/>
    <cellStyle name="Separador de milhares 7 4 43 3" xfId="31570" xr:uid="{D321DD6D-21BF-443E-99AB-8B943E2FED48}"/>
    <cellStyle name="Separador de milhares 7 4 44" xfId="22738" xr:uid="{00000000-0005-0000-0000-000023630000}"/>
    <cellStyle name="Separador de milhares 7 4 44 2" xfId="22739" xr:uid="{00000000-0005-0000-0000-000024630000}"/>
    <cellStyle name="Separador de milhares 7 4 44 2 2" xfId="31573" xr:uid="{5E304337-296C-46C2-A22B-D69EDD162FEB}"/>
    <cellStyle name="Separador de milhares 7 4 44 3" xfId="31572" xr:uid="{867BB60F-A8F6-4672-8CF6-67F45435A377}"/>
    <cellStyle name="Separador de milhares 7 4 45" xfId="22740" xr:uid="{00000000-0005-0000-0000-000025630000}"/>
    <cellStyle name="Separador de milhares 7 4 45 2" xfId="22741" xr:uid="{00000000-0005-0000-0000-000026630000}"/>
    <cellStyle name="Separador de milhares 7 4 45 2 2" xfId="31575" xr:uid="{61C98CB3-962B-4247-B2C1-B5AE429D3EEC}"/>
    <cellStyle name="Separador de milhares 7 4 45 3" xfId="31574" xr:uid="{D256D7E9-52E6-41B6-BB80-45D8B22CE495}"/>
    <cellStyle name="Separador de milhares 7 4 46" xfId="22742" xr:uid="{00000000-0005-0000-0000-000027630000}"/>
    <cellStyle name="Separador de milhares 7 4 46 2" xfId="22743" xr:uid="{00000000-0005-0000-0000-000028630000}"/>
    <cellStyle name="Separador de milhares 7 4 46 2 2" xfId="31577" xr:uid="{F99B45DE-573A-41C2-BBA6-5336D46E727E}"/>
    <cellStyle name="Separador de milhares 7 4 46 3" xfId="31576" xr:uid="{15350C19-E1D7-48A2-BCE3-6D7C9095D65E}"/>
    <cellStyle name="Separador de milhares 7 4 47" xfId="22744" xr:uid="{00000000-0005-0000-0000-000029630000}"/>
    <cellStyle name="Separador de milhares 7 4 47 2" xfId="22745" xr:uid="{00000000-0005-0000-0000-00002A630000}"/>
    <cellStyle name="Separador de milhares 7 4 47 2 2" xfId="31579" xr:uid="{3E312884-83E1-4BF1-8093-82DD30EC4D88}"/>
    <cellStyle name="Separador de milhares 7 4 47 3" xfId="31578" xr:uid="{FF0CE19B-B554-4F67-85C6-79411DD37D27}"/>
    <cellStyle name="Separador de milhares 7 4 48" xfId="22746" xr:uid="{00000000-0005-0000-0000-00002B630000}"/>
    <cellStyle name="Separador de milhares 7 4 48 2" xfId="22747" xr:uid="{00000000-0005-0000-0000-00002C630000}"/>
    <cellStyle name="Separador de milhares 7 4 48 2 2" xfId="31581" xr:uid="{89232B94-310B-447A-B322-EDA5D8C67EE8}"/>
    <cellStyle name="Separador de milhares 7 4 48 3" xfId="31580" xr:uid="{59A64545-F0A8-4B31-A8FC-B49544D74F60}"/>
    <cellStyle name="Separador de milhares 7 4 49" xfId="22748" xr:uid="{00000000-0005-0000-0000-00002D630000}"/>
    <cellStyle name="Separador de milhares 7 4 49 2" xfId="22749" xr:uid="{00000000-0005-0000-0000-00002E630000}"/>
    <cellStyle name="Separador de milhares 7 4 49 2 2" xfId="31583" xr:uid="{5CBCADE1-D9E3-4813-8126-B8F39FA7A995}"/>
    <cellStyle name="Separador de milhares 7 4 49 3" xfId="31582" xr:uid="{8A1DDA98-4408-4DF9-B41A-4ED0E64595CE}"/>
    <cellStyle name="Separador de milhares 7 4 5" xfId="22750" xr:uid="{00000000-0005-0000-0000-00002F630000}"/>
    <cellStyle name="Separador de milhares 7 4 5 10" xfId="22751" xr:uid="{00000000-0005-0000-0000-000030630000}"/>
    <cellStyle name="Separador de milhares 7 4 5 10 2" xfId="22752" xr:uid="{00000000-0005-0000-0000-000031630000}"/>
    <cellStyle name="Separador de milhares 7 4 5 10 2 2" xfId="31585" xr:uid="{C05164E1-8A67-45B2-BB6F-28453DB908C1}"/>
    <cellStyle name="Separador de milhares 7 4 5 10 3" xfId="31584" xr:uid="{02D86BAB-726D-4E49-AE4D-B7C262FD4904}"/>
    <cellStyle name="Separador de milhares 7 4 5 11" xfId="22753" xr:uid="{00000000-0005-0000-0000-000032630000}"/>
    <cellStyle name="Separador de milhares 7 4 5 11 2" xfId="22754" xr:uid="{00000000-0005-0000-0000-000033630000}"/>
    <cellStyle name="Separador de milhares 7 4 5 11 2 2" xfId="31587" xr:uid="{C633AD84-A47D-497D-9689-0B85934E2CF0}"/>
    <cellStyle name="Separador de milhares 7 4 5 11 3" xfId="31586" xr:uid="{E1E2B58C-CF9D-493E-A88D-40A7804E1A32}"/>
    <cellStyle name="Separador de milhares 7 4 5 12" xfId="22755" xr:uid="{00000000-0005-0000-0000-000034630000}"/>
    <cellStyle name="Separador de milhares 7 4 5 12 2" xfId="22756" xr:uid="{00000000-0005-0000-0000-000035630000}"/>
    <cellStyle name="Separador de milhares 7 4 5 12 2 2" xfId="31589" xr:uid="{9DF41E2F-35A2-4A6C-909D-3874342A9F69}"/>
    <cellStyle name="Separador de milhares 7 4 5 12 3" xfId="31588" xr:uid="{8DCEC5B5-2C79-47F6-B283-ADB7A1286256}"/>
    <cellStyle name="Separador de milhares 7 4 5 13" xfId="22757" xr:uid="{00000000-0005-0000-0000-000036630000}"/>
    <cellStyle name="Separador de milhares 7 4 5 13 2" xfId="22758" xr:uid="{00000000-0005-0000-0000-000037630000}"/>
    <cellStyle name="Separador de milhares 7 4 5 13 2 2" xfId="31591" xr:uid="{15F56381-6EE9-424D-9FC5-B6A2DAEE0B3E}"/>
    <cellStyle name="Separador de milhares 7 4 5 13 3" xfId="31590" xr:uid="{8390BB80-C644-46D6-B6BB-7DCE7B726047}"/>
    <cellStyle name="Separador de milhares 7 4 5 14" xfId="22759" xr:uid="{00000000-0005-0000-0000-000038630000}"/>
    <cellStyle name="Separador de milhares 7 4 5 14 2" xfId="22760" xr:uid="{00000000-0005-0000-0000-000039630000}"/>
    <cellStyle name="Separador de milhares 7 4 5 14 2 2" xfId="31593" xr:uid="{092409A2-F842-421D-B09B-6882E7BB0C51}"/>
    <cellStyle name="Separador de milhares 7 4 5 14 3" xfId="31592" xr:uid="{098BA1DD-46D6-4201-A6D6-7BE96E7CF66D}"/>
    <cellStyle name="Separador de milhares 7 4 5 15" xfId="22761" xr:uid="{00000000-0005-0000-0000-00003A630000}"/>
    <cellStyle name="Separador de milhares 7 4 5 15 2" xfId="22762" xr:uid="{00000000-0005-0000-0000-00003B630000}"/>
    <cellStyle name="Separador de milhares 7 4 5 15 2 2" xfId="31595" xr:uid="{4667CEAA-737D-45D0-8678-47E35699A897}"/>
    <cellStyle name="Separador de milhares 7 4 5 15 3" xfId="31594" xr:uid="{FF343627-BA17-4B75-9F5E-5E7110C69500}"/>
    <cellStyle name="Separador de milhares 7 4 5 16" xfId="22763" xr:uid="{00000000-0005-0000-0000-00003C630000}"/>
    <cellStyle name="Separador de milhares 7 4 5 16 2" xfId="22764" xr:uid="{00000000-0005-0000-0000-00003D630000}"/>
    <cellStyle name="Separador de milhares 7 4 5 16 2 2" xfId="31597" xr:uid="{E35EEE75-D230-4A44-AA9D-F936C0B2B332}"/>
    <cellStyle name="Separador de milhares 7 4 5 16 3" xfId="31596" xr:uid="{93E3981B-2866-482D-9ADB-DB5842BD5F2A}"/>
    <cellStyle name="Separador de milhares 7 4 5 17" xfId="22765" xr:uid="{00000000-0005-0000-0000-00003E630000}"/>
    <cellStyle name="Separador de milhares 7 4 5 17 2" xfId="22766" xr:uid="{00000000-0005-0000-0000-00003F630000}"/>
    <cellStyle name="Separador de milhares 7 4 5 17 2 2" xfId="31599" xr:uid="{2C61A124-E761-4947-9F16-64D6362FCCAA}"/>
    <cellStyle name="Separador de milhares 7 4 5 17 3" xfId="31598" xr:uid="{5662B7A6-B3E0-4054-9632-AED5EABCCFA8}"/>
    <cellStyle name="Separador de milhares 7 4 5 18" xfId="22767" xr:uid="{00000000-0005-0000-0000-000040630000}"/>
    <cellStyle name="Separador de milhares 7 4 5 18 2" xfId="22768" xr:uid="{00000000-0005-0000-0000-000041630000}"/>
    <cellStyle name="Separador de milhares 7 4 5 18 2 2" xfId="31601" xr:uid="{82A4E83D-CA81-407E-B8B5-01141F990C1D}"/>
    <cellStyle name="Separador de milhares 7 4 5 18 3" xfId="31600" xr:uid="{772E347B-FA6F-47AC-BF4E-ACF6AC599710}"/>
    <cellStyle name="Separador de milhares 7 4 5 19" xfId="22769" xr:uid="{00000000-0005-0000-0000-000042630000}"/>
    <cellStyle name="Separador de milhares 7 4 5 19 2" xfId="22770" xr:uid="{00000000-0005-0000-0000-000043630000}"/>
    <cellStyle name="Separador de milhares 7 4 5 19 2 2" xfId="31603" xr:uid="{1178A4FE-9A8B-4264-A85E-5A719150BE22}"/>
    <cellStyle name="Separador de milhares 7 4 5 19 3" xfId="31602" xr:uid="{FE0EB6AF-7608-4760-8774-6B11FC44B887}"/>
    <cellStyle name="Separador de milhares 7 4 5 2" xfId="22771" xr:uid="{00000000-0005-0000-0000-000044630000}"/>
    <cellStyle name="Separador de milhares 7 4 5 2 2" xfId="22772" xr:uid="{00000000-0005-0000-0000-000045630000}"/>
    <cellStyle name="Separador de milhares 7 4 5 2 2 2" xfId="31605" xr:uid="{36C6C64E-A0D2-4270-9830-16CE9E4F7083}"/>
    <cellStyle name="Separador de milhares 7 4 5 2 3" xfId="31604" xr:uid="{0B8233BA-5AD2-4224-A3B9-F3E838BF745E}"/>
    <cellStyle name="Separador de milhares 7 4 5 20" xfId="22773" xr:uid="{00000000-0005-0000-0000-000046630000}"/>
    <cellStyle name="Separador de milhares 7 4 5 20 2" xfId="22774" xr:uid="{00000000-0005-0000-0000-000047630000}"/>
    <cellStyle name="Separador de milhares 7 4 5 20 2 2" xfId="31607" xr:uid="{F2327CB6-1C37-4EFE-A5B2-DDC6388FB38F}"/>
    <cellStyle name="Separador de milhares 7 4 5 20 3" xfId="31606" xr:uid="{F7ACB4AC-D6BE-4069-954D-AEBFA1246D31}"/>
    <cellStyle name="Separador de milhares 7 4 5 21" xfId="22775" xr:uid="{00000000-0005-0000-0000-000048630000}"/>
    <cellStyle name="Separador de milhares 7 4 5 21 2" xfId="22776" xr:uid="{00000000-0005-0000-0000-000049630000}"/>
    <cellStyle name="Separador de milhares 7 4 5 21 2 2" xfId="31609" xr:uid="{3805C1FB-1A9B-48A9-BC5A-B049EDE999B9}"/>
    <cellStyle name="Separador de milhares 7 4 5 21 3" xfId="31608" xr:uid="{4FCD2849-44BC-47F9-A910-84D3409B838F}"/>
    <cellStyle name="Separador de milhares 7 4 5 22" xfId="22777" xr:uid="{00000000-0005-0000-0000-00004A630000}"/>
    <cellStyle name="Separador de milhares 7 4 5 22 2" xfId="22778" xr:uid="{00000000-0005-0000-0000-00004B630000}"/>
    <cellStyle name="Separador de milhares 7 4 5 22 2 2" xfId="31611" xr:uid="{F3550BD1-C448-4258-B988-0D543D2D2391}"/>
    <cellStyle name="Separador de milhares 7 4 5 22 3" xfId="31610" xr:uid="{FDF85116-71A0-46C8-8DA0-8D4156E7E120}"/>
    <cellStyle name="Separador de milhares 7 4 5 23" xfId="22779" xr:uid="{00000000-0005-0000-0000-00004C630000}"/>
    <cellStyle name="Separador de milhares 7 4 5 23 2" xfId="22780" xr:uid="{00000000-0005-0000-0000-00004D630000}"/>
    <cellStyle name="Separador de milhares 7 4 5 23 2 2" xfId="31613" xr:uid="{46B7C553-3ABD-4280-B625-1B95FAEFFFC9}"/>
    <cellStyle name="Separador de milhares 7 4 5 23 3" xfId="31612" xr:uid="{2952ADFF-BBB3-4B38-AB97-8C07076916E8}"/>
    <cellStyle name="Separador de milhares 7 4 5 24" xfId="22781" xr:uid="{00000000-0005-0000-0000-00004E630000}"/>
    <cellStyle name="Separador de milhares 7 4 5 24 2" xfId="22782" xr:uid="{00000000-0005-0000-0000-00004F630000}"/>
    <cellStyle name="Separador de milhares 7 4 5 24 2 2" xfId="31615" xr:uid="{0F198AA5-2308-452D-9B17-CAEAE5C90F80}"/>
    <cellStyle name="Separador de milhares 7 4 5 24 3" xfId="31614" xr:uid="{1B7ED4FF-6EE8-40CD-AE0A-C556618AB11D}"/>
    <cellStyle name="Separador de milhares 7 4 5 25" xfId="22783" xr:uid="{00000000-0005-0000-0000-000050630000}"/>
    <cellStyle name="Separador de milhares 7 4 5 25 2" xfId="22784" xr:uid="{00000000-0005-0000-0000-000051630000}"/>
    <cellStyle name="Separador de milhares 7 4 5 25 2 2" xfId="31617" xr:uid="{4F03724A-17A5-4E02-834A-38B3B9770CAB}"/>
    <cellStyle name="Separador de milhares 7 4 5 25 3" xfId="31616" xr:uid="{78FD868D-5159-46CF-AEC1-DB388AF310FE}"/>
    <cellStyle name="Separador de milhares 7 4 5 26" xfId="22785" xr:uid="{00000000-0005-0000-0000-000052630000}"/>
    <cellStyle name="Separador de milhares 7 4 5 26 2" xfId="22786" xr:uid="{00000000-0005-0000-0000-000053630000}"/>
    <cellStyle name="Separador de milhares 7 4 5 26 2 2" xfId="31619" xr:uid="{1B6C0E6A-DBDE-47E0-81AA-44E038A71A6D}"/>
    <cellStyle name="Separador de milhares 7 4 5 26 3" xfId="31618" xr:uid="{96BFE68F-7E19-4F1C-A453-0D5E1247BCBD}"/>
    <cellStyle name="Separador de milhares 7 4 5 27" xfId="22787" xr:uid="{00000000-0005-0000-0000-000054630000}"/>
    <cellStyle name="Separador de milhares 7 4 5 27 2" xfId="22788" xr:uid="{00000000-0005-0000-0000-000055630000}"/>
    <cellStyle name="Separador de milhares 7 4 5 27 2 2" xfId="31621" xr:uid="{F196F9BF-5882-49F1-ABE5-B94849EA2952}"/>
    <cellStyle name="Separador de milhares 7 4 5 27 3" xfId="31620" xr:uid="{71756136-C01B-4277-B29B-8E623ECDA28B}"/>
    <cellStyle name="Separador de milhares 7 4 5 28" xfId="22789" xr:uid="{00000000-0005-0000-0000-000056630000}"/>
    <cellStyle name="Separador de milhares 7 4 5 28 2" xfId="22790" xr:uid="{00000000-0005-0000-0000-000057630000}"/>
    <cellStyle name="Separador de milhares 7 4 5 28 2 2" xfId="31623" xr:uid="{2F6AED23-2F36-4F0D-8F14-972356AFA62A}"/>
    <cellStyle name="Separador de milhares 7 4 5 28 3" xfId="31622" xr:uid="{2CCBFC6E-8314-4EF1-8074-FAF6DEF2AA48}"/>
    <cellStyle name="Separador de milhares 7 4 5 29" xfId="22791" xr:uid="{00000000-0005-0000-0000-000058630000}"/>
    <cellStyle name="Separador de milhares 7 4 5 29 2" xfId="22792" xr:uid="{00000000-0005-0000-0000-000059630000}"/>
    <cellStyle name="Separador de milhares 7 4 5 29 2 2" xfId="31625" xr:uid="{8D447AA8-EA13-40E6-B633-3929CCBF9B63}"/>
    <cellStyle name="Separador de milhares 7 4 5 29 3" xfId="31624" xr:uid="{54679F80-5322-4A22-9C76-BFB5C81D3DA9}"/>
    <cellStyle name="Separador de milhares 7 4 5 3" xfId="22793" xr:uid="{00000000-0005-0000-0000-00005A630000}"/>
    <cellStyle name="Separador de milhares 7 4 5 3 2" xfId="22794" xr:uid="{00000000-0005-0000-0000-00005B630000}"/>
    <cellStyle name="Separador de milhares 7 4 5 3 2 2" xfId="31627" xr:uid="{A6784716-2B8C-442C-8A17-83B86DB4E5F4}"/>
    <cellStyle name="Separador de milhares 7 4 5 3 3" xfId="31626" xr:uid="{68135335-2540-48A0-9693-245F36A3674E}"/>
    <cellStyle name="Separador de milhares 7 4 5 30" xfId="22795" xr:uid="{00000000-0005-0000-0000-00005C630000}"/>
    <cellStyle name="Separador de milhares 7 4 5 30 2" xfId="22796" xr:uid="{00000000-0005-0000-0000-00005D630000}"/>
    <cellStyle name="Separador de milhares 7 4 5 30 2 2" xfId="31629" xr:uid="{9EE63929-20C9-4C4C-9D20-C042D341D795}"/>
    <cellStyle name="Separador de milhares 7 4 5 30 3" xfId="31628" xr:uid="{07824B6C-D472-4737-AE1F-1631EEA422E6}"/>
    <cellStyle name="Separador de milhares 7 4 5 31" xfId="22797" xr:uid="{00000000-0005-0000-0000-00005E630000}"/>
    <cellStyle name="Separador de milhares 7 4 5 31 2" xfId="22798" xr:uid="{00000000-0005-0000-0000-00005F630000}"/>
    <cellStyle name="Separador de milhares 7 4 5 31 2 2" xfId="31631" xr:uid="{128F849B-B7D7-4A86-9C5F-0A85427A9453}"/>
    <cellStyle name="Separador de milhares 7 4 5 31 3" xfId="31630" xr:uid="{9E37B65D-C14D-4FB7-A77D-DDED4543B9B8}"/>
    <cellStyle name="Separador de milhares 7 4 5 32" xfId="22799" xr:uid="{00000000-0005-0000-0000-000060630000}"/>
    <cellStyle name="Separador de milhares 7 4 5 32 2" xfId="22800" xr:uid="{00000000-0005-0000-0000-000061630000}"/>
    <cellStyle name="Separador de milhares 7 4 5 32 2 2" xfId="31633" xr:uid="{9A0871AE-5E5C-4688-A996-BF3B7A8EE314}"/>
    <cellStyle name="Separador de milhares 7 4 5 32 3" xfId="31632" xr:uid="{9AF28837-67A3-4738-AC21-6B588AD3FB02}"/>
    <cellStyle name="Separador de milhares 7 4 5 33" xfId="22801" xr:uid="{00000000-0005-0000-0000-000062630000}"/>
    <cellStyle name="Separador de milhares 7 4 5 33 2" xfId="22802" xr:uid="{00000000-0005-0000-0000-000063630000}"/>
    <cellStyle name="Separador de milhares 7 4 5 33 2 2" xfId="31635" xr:uid="{9FB37D6E-9669-4533-8EFA-7DA190DF96B9}"/>
    <cellStyle name="Separador de milhares 7 4 5 33 3" xfId="31634" xr:uid="{655685E6-343F-494B-98D8-599EC3F6BAA8}"/>
    <cellStyle name="Separador de milhares 7 4 5 34" xfId="22803" xr:uid="{00000000-0005-0000-0000-000064630000}"/>
    <cellStyle name="Separador de milhares 7 4 5 34 2" xfId="22804" xr:uid="{00000000-0005-0000-0000-000065630000}"/>
    <cellStyle name="Separador de milhares 7 4 5 34 2 2" xfId="31637" xr:uid="{5F2EABBA-A70B-4995-80FC-D94E9C6B8536}"/>
    <cellStyle name="Separador de milhares 7 4 5 34 3" xfId="31636" xr:uid="{B6596E3E-C029-4237-A22C-EFAEA8435E95}"/>
    <cellStyle name="Separador de milhares 7 4 5 35" xfId="22805" xr:uid="{00000000-0005-0000-0000-000066630000}"/>
    <cellStyle name="Separador de milhares 7 4 5 35 2" xfId="31638" xr:uid="{1C7FD300-0C77-4288-87F8-1CB13DEFE0ED}"/>
    <cellStyle name="Separador de milhares 7 4 5 4" xfId="22806" xr:uid="{00000000-0005-0000-0000-000067630000}"/>
    <cellStyle name="Separador de milhares 7 4 5 4 2" xfId="22807" xr:uid="{00000000-0005-0000-0000-000068630000}"/>
    <cellStyle name="Separador de milhares 7 4 5 4 2 2" xfId="31640" xr:uid="{F53AB110-0219-47BE-AE9C-55525EDCE670}"/>
    <cellStyle name="Separador de milhares 7 4 5 4 3" xfId="31639" xr:uid="{5BB31EF9-E892-444C-B197-3266B3A819B9}"/>
    <cellStyle name="Separador de milhares 7 4 5 5" xfId="22808" xr:uid="{00000000-0005-0000-0000-000069630000}"/>
    <cellStyle name="Separador de milhares 7 4 5 5 2" xfId="22809" xr:uid="{00000000-0005-0000-0000-00006A630000}"/>
    <cellStyle name="Separador de milhares 7 4 5 5 2 2" xfId="31642" xr:uid="{2BAE03BB-D0CB-4844-BEC9-EEB7F8359670}"/>
    <cellStyle name="Separador de milhares 7 4 5 5 3" xfId="31641" xr:uid="{DAA42847-CD32-4BC0-AEBB-8BB6113DA104}"/>
    <cellStyle name="Separador de milhares 7 4 5 6" xfId="22810" xr:uid="{00000000-0005-0000-0000-00006B630000}"/>
    <cellStyle name="Separador de milhares 7 4 5 6 2" xfId="22811" xr:uid="{00000000-0005-0000-0000-00006C630000}"/>
    <cellStyle name="Separador de milhares 7 4 5 6 2 2" xfId="31644" xr:uid="{F4A08E7C-59B6-4C12-8407-16188C499452}"/>
    <cellStyle name="Separador de milhares 7 4 5 6 3" xfId="31643" xr:uid="{1EA8CDD0-7AD4-4B6B-AE4B-94A68A201A12}"/>
    <cellStyle name="Separador de milhares 7 4 5 7" xfId="22812" xr:uid="{00000000-0005-0000-0000-00006D630000}"/>
    <cellStyle name="Separador de milhares 7 4 5 7 2" xfId="22813" xr:uid="{00000000-0005-0000-0000-00006E630000}"/>
    <cellStyle name="Separador de milhares 7 4 5 7 2 2" xfId="31646" xr:uid="{4D84FFBD-1608-4716-B5F7-700E5F3D56B6}"/>
    <cellStyle name="Separador de milhares 7 4 5 7 3" xfId="31645" xr:uid="{CBA65C1B-9475-47C2-9DB4-80CEF76B178E}"/>
    <cellStyle name="Separador de milhares 7 4 5 8" xfId="22814" xr:uid="{00000000-0005-0000-0000-00006F630000}"/>
    <cellStyle name="Separador de milhares 7 4 5 8 2" xfId="22815" xr:uid="{00000000-0005-0000-0000-000070630000}"/>
    <cellStyle name="Separador de milhares 7 4 5 8 2 2" xfId="31648" xr:uid="{06A99573-A59C-4BEE-86A9-897B31B89B9B}"/>
    <cellStyle name="Separador de milhares 7 4 5 8 3" xfId="31647" xr:uid="{BCF42823-962E-419A-BC44-1F6BDBFDC271}"/>
    <cellStyle name="Separador de milhares 7 4 5 9" xfId="22816" xr:uid="{00000000-0005-0000-0000-000071630000}"/>
    <cellStyle name="Separador de milhares 7 4 5 9 2" xfId="22817" xr:uid="{00000000-0005-0000-0000-000072630000}"/>
    <cellStyle name="Separador de milhares 7 4 5 9 2 2" xfId="31650" xr:uid="{2D6F71AE-49D6-4CBC-ABAA-3673FC246B34}"/>
    <cellStyle name="Separador de milhares 7 4 5 9 3" xfId="31649" xr:uid="{70E9CD72-9914-4757-A36D-E8FDBECA27FB}"/>
    <cellStyle name="Separador de milhares 7 4 50" xfId="22818" xr:uid="{00000000-0005-0000-0000-000073630000}"/>
    <cellStyle name="Separador de milhares 7 4 50 2" xfId="22819" xr:uid="{00000000-0005-0000-0000-000074630000}"/>
    <cellStyle name="Separador de milhares 7 4 50 2 2" xfId="31652" xr:uid="{94B27CAB-D14E-4246-9829-CEB2354FF241}"/>
    <cellStyle name="Separador de milhares 7 4 50 3" xfId="31651" xr:uid="{AC375402-A6DF-482D-94B0-7A92282EBC4B}"/>
    <cellStyle name="Separador de milhares 7 4 51" xfId="22820" xr:uid="{00000000-0005-0000-0000-000075630000}"/>
    <cellStyle name="Separador de milhares 7 4 51 2" xfId="31653" xr:uid="{1A1D5C6D-4777-4B1D-9C6E-5D05309654CB}"/>
    <cellStyle name="Separador de milhares 7 4 52" xfId="22091" xr:uid="{00000000-0005-0000-0000-000076630000}"/>
    <cellStyle name="Separador de milhares 7 4 53" xfId="28081" xr:uid="{BB9B02DF-9966-44DC-BC92-8419C409E9D2}"/>
    <cellStyle name="Separador de milhares 7 4 6" xfId="22821" xr:uid="{00000000-0005-0000-0000-000077630000}"/>
    <cellStyle name="Separador de milhares 7 4 6 2" xfId="22822" xr:uid="{00000000-0005-0000-0000-000078630000}"/>
    <cellStyle name="Separador de milhares 7 4 6 2 2" xfId="22823" xr:uid="{00000000-0005-0000-0000-000079630000}"/>
    <cellStyle name="Separador de milhares 7 4 6 2 2 2" xfId="31655" xr:uid="{923ED947-5076-42E1-8B57-8A7322849433}"/>
    <cellStyle name="Separador de milhares 7 4 6 2 3" xfId="31654" xr:uid="{73D906B1-3408-456A-B3B9-67601FF764FD}"/>
    <cellStyle name="Separador de milhares 7 4 6 3" xfId="22824" xr:uid="{00000000-0005-0000-0000-00007A630000}"/>
    <cellStyle name="Separador de milhares 7 4 6 3 2" xfId="22825" xr:uid="{00000000-0005-0000-0000-00007B630000}"/>
    <cellStyle name="Separador de milhares 7 4 6 3 2 2" xfId="31657" xr:uid="{56917660-4E3D-4D57-AB61-05C6DC4A4DAF}"/>
    <cellStyle name="Separador de milhares 7 4 6 3 3" xfId="31656" xr:uid="{2F129D42-F9E8-428C-A023-18490FB073F9}"/>
    <cellStyle name="Separador de milhares 7 4 6 4" xfId="22826" xr:uid="{00000000-0005-0000-0000-00007C630000}"/>
    <cellStyle name="Separador de milhares 7 4 6 4 2" xfId="22827" xr:uid="{00000000-0005-0000-0000-00007D630000}"/>
    <cellStyle name="Separador de milhares 7 4 6 4 2 2" xfId="31659" xr:uid="{CF5F043B-9855-4D1B-BA6E-F740D4B84A0F}"/>
    <cellStyle name="Separador de milhares 7 4 6 4 3" xfId="31658" xr:uid="{6CC760B5-90CF-4E07-851C-2934D1E42AD3}"/>
    <cellStyle name="Separador de milhares 7 4 6 5" xfId="22828" xr:uid="{00000000-0005-0000-0000-00007E630000}"/>
    <cellStyle name="Separador de milhares 7 4 6 5 2" xfId="22829" xr:uid="{00000000-0005-0000-0000-00007F630000}"/>
    <cellStyle name="Separador de milhares 7 4 6 5 2 2" xfId="31661" xr:uid="{515C91D7-49C7-4807-9511-4A420A1CC736}"/>
    <cellStyle name="Separador de milhares 7 4 6 5 3" xfId="31660" xr:uid="{83F8B8A6-E6BA-4C1D-910C-AC2FF9E132DF}"/>
    <cellStyle name="Separador de milhares 7 4 6 6" xfId="22830" xr:uid="{00000000-0005-0000-0000-000080630000}"/>
    <cellStyle name="Separador de milhares 7 4 6 6 2" xfId="31662" xr:uid="{98DB0AE4-F1B7-4B99-885D-1C35254DF0D2}"/>
    <cellStyle name="Separador de milhares 7 4 7" xfId="22831" xr:uid="{00000000-0005-0000-0000-000081630000}"/>
    <cellStyle name="Separador de milhares 7 4 7 2" xfId="22832" xr:uid="{00000000-0005-0000-0000-000082630000}"/>
    <cellStyle name="Separador de milhares 7 4 7 2 2" xfId="22833" xr:uid="{00000000-0005-0000-0000-000083630000}"/>
    <cellStyle name="Separador de milhares 7 4 7 2 2 2" xfId="31664" xr:uid="{3C9BC45B-5C0F-4211-A552-26AFC5BE5DCC}"/>
    <cellStyle name="Separador de milhares 7 4 7 2 3" xfId="31663" xr:uid="{510148AB-6B3C-4405-BAAA-89FFF212B58A}"/>
    <cellStyle name="Separador de milhares 7 4 7 3" xfId="22834" xr:uid="{00000000-0005-0000-0000-000084630000}"/>
    <cellStyle name="Separador de milhares 7 4 7 3 2" xfId="22835" xr:uid="{00000000-0005-0000-0000-000085630000}"/>
    <cellStyle name="Separador de milhares 7 4 7 3 2 2" xfId="31666" xr:uid="{C05AB87E-FA79-4162-8345-A0AE09172919}"/>
    <cellStyle name="Separador de milhares 7 4 7 3 3" xfId="31665" xr:uid="{F2BDCC92-6114-4F05-B2A7-358FF0270244}"/>
    <cellStyle name="Separador de milhares 7 4 7 4" xfId="22836" xr:uid="{00000000-0005-0000-0000-000086630000}"/>
    <cellStyle name="Separador de milhares 7 4 7 4 2" xfId="22837" xr:uid="{00000000-0005-0000-0000-000087630000}"/>
    <cellStyle name="Separador de milhares 7 4 7 4 2 2" xfId="31668" xr:uid="{6ACADD8A-57F6-4706-8A4B-A7577685A37E}"/>
    <cellStyle name="Separador de milhares 7 4 7 4 3" xfId="31667" xr:uid="{7A8F6C28-2DCF-4699-84A4-7F2762CFE2DD}"/>
    <cellStyle name="Separador de milhares 7 4 7 5" xfId="22838" xr:uid="{00000000-0005-0000-0000-000088630000}"/>
    <cellStyle name="Separador de milhares 7 4 7 5 2" xfId="22839" xr:uid="{00000000-0005-0000-0000-000089630000}"/>
    <cellStyle name="Separador de milhares 7 4 7 5 2 2" xfId="31670" xr:uid="{92499EB9-660F-4A34-870F-2F8A5A1CAA64}"/>
    <cellStyle name="Separador de milhares 7 4 7 5 3" xfId="31669" xr:uid="{85595911-407D-4B35-8383-C1D980579569}"/>
    <cellStyle name="Separador de milhares 7 4 7 6" xfId="22840" xr:uid="{00000000-0005-0000-0000-00008A630000}"/>
    <cellStyle name="Separador de milhares 7 4 7 6 2" xfId="31671" xr:uid="{4C817DEC-CCAC-43E8-AED0-C859FDA1C975}"/>
    <cellStyle name="Separador de milhares 7 4 8" xfId="22841" xr:uid="{00000000-0005-0000-0000-00008B630000}"/>
    <cellStyle name="Separador de milhares 7 4 8 2" xfId="22842" xr:uid="{00000000-0005-0000-0000-00008C630000}"/>
    <cellStyle name="Separador de milhares 7 4 8 2 2" xfId="31672" xr:uid="{449091DA-E069-4C66-B66B-A567D5EDD65A}"/>
    <cellStyle name="Separador de milhares 7 4 9" xfId="22843" xr:uid="{00000000-0005-0000-0000-00008D630000}"/>
    <cellStyle name="Separador de milhares 7 4 9 2" xfId="22844" xr:uid="{00000000-0005-0000-0000-00008E630000}"/>
    <cellStyle name="Separador de milhares 7 4 9 2 2" xfId="31673" xr:uid="{372A098E-04AD-454E-BD0A-CAD9A26DC9C8}"/>
    <cellStyle name="Separador de milhares 7 40" xfId="22845" xr:uid="{00000000-0005-0000-0000-00008F630000}"/>
    <cellStyle name="Separador de milhares 7 40 2" xfId="22846" xr:uid="{00000000-0005-0000-0000-000090630000}"/>
    <cellStyle name="Separador de milhares 7 40 2 2" xfId="31675" xr:uid="{86CD750A-7BCD-421C-B1CE-658B194B09C9}"/>
    <cellStyle name="Separador de milhares 7 40 3" xfId="31674" xr:uid="{D4F9F6DE-D7D5-476F-9B37-AA5D30A6EA0B}"/>
    <cellStyle name="Separador de milhares 7 41" xfId="22847" xr:uid="{00000000-0005-0000-0000-000091630000}"/>
    <cellStyle name="Separador de milhares 7 41 2" xfId="22848" xr:uid="{00000000-0005-0000-0000-000092630000}"/>
    <cellStyle name="Separador de milhares 7 41 2 2" xfId="31677" xr:uid="{504733FE-059E-4733-A629-E9CC8B09251D}"/>
    <cellStyle name="Separador de milhares 7 41 3" xfId="31676" xr:uid="{1ABFB15F-2BC4-4FCF-B9D6-88A7777A7BB7}"/>
    <cellStyle name="Separador de milhares 7 42" xfId="22849" xr:uid="{00000000-0005-0000-0000-000093630000}"/>
    <cellStyle name="Separador de milhares 7 42 2" xfId="22850" xr:uid="{00000000-0005-0000-0000-000094630000}"/>
    <cellStyle name="Separador de milhares 7 42 2 2" xfId="31679" xr:uid="{64216D89-7C47-4207-927F-208C1F50CBEE}"/>
    <cellStyle name="Separador de milhares 7 42 3" xfId="31678" xr:uid="{3F0ED2B2-E892-47A2-89CE-1D9205940A64}"/>
    <cellStyle name="Separador de milhares 7 43" xfId="22851" xr:uid="{00000000-0005-0000-0000-000095630000}"/>
    <cellStyle name="Separador de milhares 7 43 2" xfId="22852" xr:uid="{00000000-0005-0000-0000-000096630000}"/>
    <cellStyle name="Separador de milhares 7 43 2 2" xfId="31681" xr:uid="{7D789C8D-8E94-4DFA-897B-1DAA1BE5D7E4}"/>
    <cellStyle name="Separador de milhares 7 43 3" xfId="31680" xr:uid="{0EF12599-7994-47EF-ABC0-E0D0EE680BAA}"/>
    <cellStyle name="Separador de milhares 7 44" xfId="22853" xr:uid="{00000000-0005-0000-0000-000097630000}"/>
    <cellStyle name="Separador de milhares 7 44 2" xfId="22854" xr:uid="{00000000-0005-0000-0000-000098630000}"/>
    <cellStyle name="Separador de milhares 7 44 2 2" xfId="31683" xr:uid="{00A1EA1B-C3DC-4F4C-BB38-D64E182CDB0D}"/>
    <cellStyle name="Separador de milhares 7 44 3" xfId="31682" xr:uid="{7CB339AB-0427-471B-8BEF-C59301315A47}"/>
    <cellStyle name="Separador de milhares 7 45" xfId="22855" xr:uid="{00000000-0005-0000-0000-000099630000}"/>
    <cellStyle name="Separador de milhares 7 45 2" xfId="22856" xr:uid="{00000000-0005-0000-0000-00009A630000}"/>
    <cellStyle name="Separador de milhares 7 45 2 2" xfId="31685" xr:uid="{15D25BB2-0BB3-4A2A-9C44-8FBD9D89AFF8}"/>
    <cellStyle name="Separador de milhares 7 45 3" xfId="31684" xr:uid="{DBBF19CB-445C-4DCD-B616-62ED82FD286D}"/>
    <cellStyle name="Separador de milhares 7 46" xfId="22857" xr:uid="{00000000-0005-0000-0000-00009B630000}"/>
    <cellStyle name="Separador de milhares 7 46 2" xfId="22858" xr:uid="{00000000-0005-0000-0000-00009C630000}"/>
    <cellStyle name="Separador de milhares 7 46 2 2" xfId="31687" xr:uid="{050FA7CC-1098-420F-8D2E-675AC96DE47B}"/>
    <cellStyle name="Separador de milhares 7 46 3" xfId="31686" xr:uid="{7BBD6CC3-8C9E-48B1-9428-975025A7E621}"/>
    <cellStyle name="Separador de milhares 7 47" xfId="22859" xr:uid="{00000000-0005-0000-0000-00009D630000}"/>
    <cellStyle name="Separador de milhares 7 47 2" xfId="22860" xr:uid="{00000000-0005-0000-0000-00009E630000}"/>
    <cellStyle name="Separador de milhares 7 47 2 2" xfId="31689" xr:uid="{72E9276E-C15D-4E9E-962A-85F02BA2B943}"/>
    <cellStyle name="Separador de milhares 7 47 3" xfId="31688" xr:uid="{AC886A54-A88E-403A-A5EF-7FCF60A962B6}"/>
    <cellStyle name="Separador de milhares 7 48" xfId="22861" xr:uid="{00000000-0005-0000-0000-00009F630000}"/>
    <cellStyle name="Separador de milhares 7 48 2" xfId="22862" xr:uid="{00000000-0005-0000-0000-0000A0630000}"/>
    <cellStyle name="Separador de milhares 7 48 2 2" xfId="31691" xr:uid="{24C94FB6-E0FE-4E0C-9453-F0B79FB72CCE}"/>
    <cellStyle name="Separador de milhares 7 48 3" xfId="31690" xr:uid="{E670F866-90BA-453F-A93F-80E2E3EAACC7}"/>
    <cellStyle name="Separador de milhares 7 49" xfId="22863" xr:uid="{00000000-0005-0000-0000-0000A1630000}"/>
    <cellStyle name="Separador de milhares 7 49 2" xfId="22864" xr:uid="{00000000-0005-0000-0000-0000A2630000}"/>
    <cellStyle name="Separador de milhares 7 49 2 2" xfId="31693" xr:uid="{60FD6291-AAD9-4101-B146-C1DE5629F033}"/>
    <cellStyle name="Separador de milhares 7 49 3" xfId="31692" xr:uid="{6F8D7BE1-8352-4C19-886A-EC8976282DF9}"/>
    <cellStyle name="Separador de milhares 7 5" xfId="853" xr:uid="{00000000-0005-0000-0000-0000A3630000}"/>
    <cellStyle name="Separador de milhares 7 5 10" xfId="22866" xr:uid="{00000000-0005-0000-0000-0000A4630000}"/>
    <cellStyle name="Separador de milhares 7 5 10 2" xfId="22867" xr:uid="{00000000-0005-0000-0000-0000A5630000}"/>
    <cellStyle name="Separador de milhares 7 5 10 2 2" xfId="31695" xr:uid="{65AE5417-49FE-47CE-8CA1-12283C95F46A}"/>
    <cellStyle name="Separador de milhares 7 5 10 3" xfId="31694" xr:uid="{10D38CAB-6C71-44F5-87CB-D9C9A20AE6B3}"/>
    <cellStyle name="Separador de milhares 7 5 11" xfId="22868" xr:uid="{00000000-0005-0000-0000-0000A6630000}"/>
    <cellStyle name="Separador de milhares 7 5 11 2" xfId="22869" xr:uid="{00000000-0005-0000-0000-0000A7630000}"/>
    <cellStyle name="Separador de milhares 7 5 11 2 2" xfId="31697" xr:uid="{C589A391-891C-4AE3-91B1-759E00CB767C}"/>
    <cellStyle name="Separador de milhares 7 5 11 3" xfId="31696" xr:uid="{EE672703-E275-4668-9C00-76B84CD7116E}"/>
    <cellStyle name="Separador de milhares 7 5 12" xfId="22870" xr:uid="{00000000-0005-0000-0000-0000A8630000}"/>
    <cellStyle name="Separador de milhares 7 5 12 2" xfId="22871" xr:uid="{00000000-0005-0000-0000-0000A9630000}"/>
    <cellStyle name="Separador de milhares 7 5 12 2 2" xfId="31699" xr:uid="{36F07B48-841D-47AC-921A-53E19CD41F05}"/>
    <cellStyle name="Separador de milhares 7 5 12 3" xfId="31698" xr:uid="{52CB063A-5B6C-4EC7-B41E-C99EE17B4A3C}"/>
    <cellStyle name="Separador de milhares 7 5 13" xfId="22872" xr:uid="{00000000-0005-0000-0000-0000AA630000}"/>
    <cellStyle name="Separador de milhares 7 5 13 2" xfId="22873" xr:uid="{00000000-0005-0000-0000-0000AB630000}"/>
    <cellStyle name="Separador de milhares 7 5 13 2 2" xfId="31701" xr:uid="{4BA9574C-41F8-42EC-83EE-B153CBF4BDF1}"/>
    <cellStyle name="Separador de milhares 7 5 13 3" xfId="31700" xr:uid="{CBB13A6D-C377-4253-9285-F1BEE4AA904F}"/>
    <cellStyle name="Separador de milhares 7 5 14" xfId="22874" xr:uid="{00000000-0005-0000-0000-0000AC630000}"/>
    <cellStyle name="Separador de milhares 7 5 14 2" xfId="22875" xr:uid="{00000000-0005-0000-0000-0000AD630000}"/>
    <cellStyle name="Separador de milhares 7 5 14 2 2" xfId="31703" xr:uid="{A8911364-9D05-476B-9D87-D9978044D569}"/>
    <cellStyle name="Separador de milhares 7 5 14 3" xfId="31702" xr:uid="{14879410-6A22-4D65-ABE9-D6C94BBE8A54}"/>
    <cellStyle name="Separador de milhares 7 5 15" xfId="22876" xr:uid="{00000000-0005-0000-0000-0000AE630000}"/>
    <cellStyle name="Separador de milhares 7 5 15 2" xfId="22877" xr:uid="{00000000-0005-0000-0000-0000AF630000}"/>
    <cellStyle name="Separador de milhares 7 5 15 2 2" xfId="31705" xr:uid="{0DEA5B0A-5CCD-445A-B582-5620A3A7DF11}"/>
    <cellStyle name="Separador de milhares 7 5 15 3" xfId="31704" xr:uid="{7FC6F91C-26A5-42AE-B6CC-74ED88251A83}"/>
    <cellStyle name="Separador de milhares 7 5 16" xfId="22878" xr:uid="{00000000-0005-0000-0000-0000B0630000}"/>
    <cellStyle name="Separador de milhares 7 5 16 2" xfId="22879" xr:uid="{00000000-0005-0000-0000-0000B1630000}"/>
    <cellStyle name="Separador de milhares 7 5 16 2 2" xfId="31707" xr:uid="{57F3475E-7702-45B2-A27D-53CEB0C16C81}"/>
    <cellStyle name="Separador de milhares 7 5 16 3" xfId="31706" xr:uid="{585F2FF9-6969-44CD-B593-E016E7C3AA30}"/>
    <cellStyle name="Separador de milhares 7 5 17" xfId="22880" xr:uid="{00000000-0005-0000-0000-0000B2630000}"/>
    <cellStyle name="Separador de milhares 7 5 17 2" xfId="22881" xr:uid="{00000000-0005-0000-0000-0000B3630000}"/>
    <cellStyle name="Separador de milhares 7 5 17 2 2" xfId="31709" xr:uid="{C2BD2AAF-8720-41E2-B437-742F5B4645ED}"/>
    <cellStyle name="Separador de milhares 7 5 17 3" xfId="31708" xr:uid="{E5F66085-0F81-48F4-AFCD-FEF2293E86C5}"/>
    <cellStyle name="Separador de milhares 7 5 18" xfId="22882" xr:uid="{00000000-0005-0000-0000-0000B4630000}"/>
    <cellStyle name="Separador de milhares 7 5 18 2" xfId="22883" xr:uid="{00000000-0005-0000-0000-0000B5630000}"/>
    <cellStyle name="Separador de milhares 7 5 18 2 2" xfId="31711" xr:uid="{CC043BC8-0939-4F4E-BEEE-55B090A4B85C}"/>
    <cellStyle name="Separador de milhares 7 5 18 3" xfId="31710" xr:uid="{C96AC7EA-59BE-4204-85D0-6D6BDF400F14}"/>
    <cellStyle name="Separador de milhares 7 5 19" xfId="22884" xr:uid="{00000000-0005-0000-0000-0000B6630000}"/>
    <cellStyle name="Separador de milhares 7 5 19 2" xfId="22885" xr:uid="{00000000-0005-0000-0000-0000B7630000}"/>
    <cellStyle name="Separador de milhares 7 5 19 2 2" xfId="31713" xr:uid="{CB9C2A5A-74D5-4191-A277-638FE72DEC44}"/>
    <cellStyle name="Separador de milhares 7 5 19 3" xfId="31712" xr:uid="{17A7B9A7-E60D-4866-AB37-60579C864A68}"/>
    <cellStyle name="Separador de milhares 7 5 2" xfId="854" xr:uid="{00000000-0005-0000-0000-0000B8630000}"/>
    <cellStyle name="Separador de milhares 7 5 2 10" xfId="22887" xr:uid="{00000000-0005-0000-0000-0000B9630000}"/>
    <cellStyle name="Separador de milhares 7 5 2 10 2" xfId="22888" xr:uid="{00000000-0005-0000-0000-0000BA630000}"/>
    <cellStyle name="Separador de milhares 7 5 2 10 2 2" xfId="31716" xr:uid="{6F0234C2-3EEB-4262-8AA0-744F7D0551C5}"/>
    <cellStyle name="Separador de milhares 7 5 2 10 3" xfId="31715" xr:uid="{DD487A88-C34E-45A8-A662-392B678C7397}"/>
    <cellStyle name="Separador de milhares 7 5 2 11" xfId="22889" xr:uid="{00000000-0005-0000-0000-0000BB630000}"/>
    <cellStyle name="Separador de milhares 7 5 2 11 2" xfId="22890" xr:uid="{00000000-0005-0000-0000-0000BC630000}"/>
    <cellStyle name="Separador de milhares 7 5 2 11 2 2" xfId="31718" xr:uid="{47CE3ADF-9CD5-4433-978F-4C4430DD40DF}"/>
    <cellStyle name="Separador de milhares 7 5 2 11 3" xfId="31717" xr:uid="{73102397-3DDD-4A79-AD0A-3C0D969705C5}"/>
    <cellStyle name="Separador de milhares 7 5 2 12" xfId="22891" xr:uid="{00000000-0005-0000-0000-0000BD630000}"/>
    <cellStyle name="Separador de milhares 7 5 2 12 2" xfId="22892" xr:uid="{00000000-0005-0000-0000-0000BE630000}"/>
    <cellStyle name="Separador de milhares 7 5 2 12 2 2" xfId="31720" xr:uid="{0F34471C-FAD6-4581-9394-5C85DB618119}"/>
    <cellStyle name="Separador de milhares 7 5 2 12 3" xfId="31719" xr:uid="{050895B3-26FD-4662-A173-D3514DF435E1}"/>
    <cellStyle name="Separador de milhares 7 5 2 13" xfId="22893" xr:uid="{00000000-0005-0000-0000-0000BF630000}"/>
    <cellStyle name="Separador de milhares 7 5 2 13 2" xfId="22894" xr:uid="{00000000-0005-0000-0000-0000C0630000}"/>
    <cellStyle name="Separador de milhares 7 5 2 13 2 2" xfId="31722" xr:uid="{19D438EA-14FE-4F91-92AF-FB037068E5A8}"/>
    <cellStyle name="Separador de milhares 7 5 2 13 3" xfId="31721" xr:uid="{87AC1831-FFF3-4B29-A132-E88D25FA9706}"/>
    <cellStyle name="Separador de milhares 7 5 2 14" xfId="22895" xr:uid="{00000000-0005-0000-0000-0000C1630000}"/>
    <cellStyle name="Separador de milhares 7 5 2 14 2" xfId="22896" xr:uid="{00000000-0005-0000-0000-0000C2630000}"/>
    <cellStyle name="Separador de milhares 7 5 2 14 2 2" xfId="31724" xr:uid="{2BDACF10-5AAB-4D25-BC36-D1AB0C2FE9B8}"/>
    <cellStyle name="Separador de milhares 7 5 2 14 3" xfId="31723" xr:uid="{2D44AB5B-3130-40BC-8609-F55056CA096E}"/>
    <cellStyle name="Separador de milhares 7 5 2 15" xfId="22897" xr:uid="{00000000-0005-0000-0000-0000C3630000}"/>
    <cellStyle name="Separador de milhares 7 5 2 15 2" xfId="22898" xr:uid="{00000000-0005-0000-0000-0000C4630000}"/>
    <cellStyle name="Separador de milhares 7 5 2 15 2 2" xfId="31726" xr:uid="{A08B1DC1-D69D-470A-AADA-D1E13C00612A}"/>
    <cellStyle name="Separador de milhares 7 5 2 15 3" xfId="31725" xr:uid="{0EAFAAB8-F49D-413A-A1D1-0791CA236C8A}"/>
    <cellStyle name="Separador de milhares 7 5 2 16" xfId="22899" xr:uid="{00000000-0005-0000-0000-0000C5630000}"/>
    <cellStyle name="Separador de milhares 7 5 2 16 2" xfId="22900" xr:uid="{00000000-0005-0000-0000-0000C6630000}"/>
    <cellStyle name="Separador de milhares 7 5 2 16 2 2" xfId="31728" xr:uid="{BD5AC6F4-659C-4077-9FCD-45AFC6950FEE}"/>
    <cellStyle name="Separador de milhares 7 5 2 16 3" xfId="31727" xr:uid="{50EEE12F-11AE-440D-92F8-6EC892E07670}"/>
    <cellStyle name="Separador de milhares 7 5 2 17" xfId="22901" xr:uid="{00000000-0005-0000-0000-0000C7630000}"/>
    <cellStyle name="Separador de milhares 7 5 2 17 2" xfId="22902" xr:uid="{00000000-0005-0000-0000-0000C8630000}"/>
    <cellStyle name="Separador de milhares 7 5 2 17 2 2" xfId="31730" xr:uid="{D549E4AE-CA21-4569-BA11-C5DF68EB98E2}"/>
    <cellStyle name="Separador de milhares 7 5 2 17 3" xfId="31729" xr:uid="{865E3B54-D07C-4D6A-A47F-6F1E056ED06C}"/>
    <cellStyle name="Separador de milhares 7 5 2 18" xfId="22903" xr:uid="{00000000-0005-0000-0000-0000C9630000}"/>
    <cellStyle name="Separador de milhares 7 5 2 18 2" xfId="22904" xr:uid="{00000000-0005-0000-0000-0000CA630000}"/>
    <cellStyle name="Separador de milhares 7 5 2 18 2 2" xfId="31732" xr:uid="{C8418813-7D2D-47E7-B69F-973E3DF9464D}"/>
    <cellStyle name="Separador de milhares 7 5 2 18 3" xfId="31731" xr:uid="{C43EA101-010F-4E12-B225-7E3DB05FB2B5}"/>
    <cellStyle name="Separador de milhares 7 5 2 19" xfId="22905" xr:uid="{00000000-0005-0000-0000-0000CB630000}"/>
    <cellStyle name="Separador de milhares 7 5 2 19 2" xfId="22906" xr:uid="{00000000-0005-0000-0000-0000CC630000}"/>
    <cellStyle name="Separador de milhares 7 5 2 19 2 2" xfId="31734" xr:uid="{DC00CA44-938E-4D9C-B183-7F7FEA8850EF}"/>
    <cellStyle name="Separador de milhares 7 5 2 19 3" xfId="31733" xr:uid="{4E9F80C3-C07D-4777-8F7F-71903AD0E0BF}"/>
    <cellStyle name="Separador de milhares 7 5 2 2" xfId="22907" xr:uid="{00000000-0005-0000-0000-0000CD630000}"/>
    <cellStyle name="Separador de milhares 7 5 2 2 2" xfId="22908" xr:uid="{00000000-0005-0000-0000-0000CE630000}"/>
    <cellStyle name="Separador de milhares 7 5 2 2 2 2" xfId="31736" xr:uid="{324BAAAB-EE52-49FF-BB47-6288AFB7A00A}"/>
    <cellStyle name="Separador de milhares 7 5 2 2 3" xfId="31735" xr:uid="{FF37AD1D-DE5A-4198-A850-EF09E5EDECB3}"/>
    <cellStyle name="Separador de milhares 7 5 2 20" xfId="22909" xr:uid="{00000000-0005-0000-0000-0000CF630000}"/>
    <cellStyle name="Separador de milhares 7 5 2 20 2" xfId="22910" xr:uid="{00000000-0005-0000-0000-0000D0630000}"/>
    <cellStyle name="Separador de milhares 7 5 2 20 2 2" xfId="31738" xr:uid="{B7A84328-F70B-454D-A532-8706E67A9199}"/>
    <cellStyle name="Separador de milhares 7 5 2 20 3" xfId="31737" xr:uid="{8C693DB0-934D-4423-A4A0-C480C57412F0}"/>
    <cellStyle name="Separador de milhares 7 5 2 21" xfId="22911" xr:uid="{00000000-0005-0000-0000-0000D1630000}"/>
    <cellStyle name="Separador de milhares 7 5 2 21 2" xfId="22912" xr:uid="{00000000-0005-0000-0000-0000D2630000}"/>
    <cellStyle name="Separador de milhares 7 5 2 21 2 2" xfId="31740" xr:uid="{C322D88E-7A34-442E-9908-B47251F53CCA}"/>
    <cellStyle name="Separador de milhares 7 5 2 21 3" xfId="31739" xr:uid="{F05D50C3-FCF6-4D61-9C44-29CBF381523A}"/>
    <cellStyle name="Separador de milhares 7 5 2 22" xfId="22913" xr:uid="{00000000-0005-0000-0000-0000D3630000}"/>
    <cellStyle name="Separador de milhares 7 5 2 22 2" xfId="22914" xr:uid="{00000000-0005-0000-0000-0000D4630000}"/>
    <cellStyle name="Separador de milhares 7 5 2 22 2 2" xfId="31742" xr:uid="{0DD7BA81-E2DA-4FF9-86A2-1981C7571D83}"/>
    <cellStyle name="Separador de milhares 7 5 2 22 3" xfId="31741" xr:uid="{9C9A5300-F883-44FC-99B6-85803C9E7CA3}"/>
    <cellStyle name="Separador de milhares 7 5 2 23" xfId="22915" xr:uid="{00000000-0005-0000-0000-0000D5630000}"/>
    <cellStyle name="Separador de milhares 7 5 2 23 2" xfId="22916" xr:uid="{00000000-0005-0000-0000-0000D6630000}"/>
    <cellStyle name="Separador de milhares 7 5 2 23 2 2" xfId="31744" xr:uid="{3DDA0D17-56CF-44C9-860E-C08197FDAD18}"/>
    <cellStyle name="Separador de milhares 7 5 2 23 3" xfId="31743" xr:uid="{6C0C3BEE-9BBD-42A2-9671-B4A60229FE93}"/>
    <cellStyle name="Separador de milhares 7 5 2 24" xfId="22917" xr:uid="{00000000-0005-0000-0000-0000D7630000}"/>
    <cellStyle name="Separador de milhares 7 5 2 24 2" xfId="22918" xr:uid="{00000000-0005-0000-0000-0000D8630000}"/>
    <cellStyle name="Separador de milhares 7 5 2 24 2 2" xfId="31746" xr:uid="{78017757-160C-49C0-8980-5DFEA0AEB9E9}"/>
    <cellStyle name="Separador de milhares 7 5 2 24 3" xfId="31745" xr:uid="{0CCDE5C1-5D5F-46D8-A6D9-5A1D03B309B9}"/>
    <cellStyle name="Separador de milhares 7 5 2 25" xfId="22919" xr:uid="{00000000-0005-0000-0000-0000D9630000}"/>
    <cellStyle name="Separador de milhares 7 5 2 25 2" xfId="22920" xr:uid="{00000000-0005-0000-0000-0000DA630000}"/>
    <cellStyle name="Separador de milhares 7 5 2 25 2 2" xfId="31748" xr:uid="{AAD3B441-B00E-427C-A27E-25890C753FA2}"/>
    <cellStyle name="Separador de milhares 7 5 2 25 3" xfId="31747" xr:uid="{722C72A8-89DA-459D-9373-CBB98C7DEDC2}"/>
    <cellStyle name="Separador de milhares 7 5 2 26" xfId="22921" xr:uid="{00000000-0005-0000-0000-0000DB630000}"/>
    <cellStyle name="Separador de milhares 7 5 2 26 2" xfId="22922" xr:uid="{00000000-0005-0000-0000-0000DC630000}"/>
    <cellStyle name="Separador de milhares 7 5 2 26 2 2" xfId="31750" xr:uid="{114696ED-4238-4CD9-A154-6D88F4538D4D}"/>
    <cellStyle name="Separador de milhares 7 5 2 26 3" xfId="31749" xr:uid="{CAB1C43E-49EA-4852-8191-46CE9740CF8B}"/>
    <cellStyle name="Separador de milhares 7 5 2 27" xfId="22923" xr:uid="{00000000-0005-0000-0000-0000DD630000}"/>
    <cellStyle name="Separador de milhares 7 5 2 27 2" xfId="22924" xr:uid="{00000000-0005-0000-0000-0000DE630000}"/>
    <cellStyle name="Separador de milhares 7 5 2 27 2 2" xfId="31752" xr:uid="{3A48E54A-F89D-4825-8D31-43883DD04B7A}"/>
    <cellStyle name="Separador de milhares 7 5 2 27 3" xfId="31751" xr:uid="{44B34B85-D63B-40EF-89D7-A78B62374B05}"/>
    <cellStyle name="Separador de milhares 7 5 2 28" xfId="22925" xr:uid="{00000000-0005-0000-0000-0000DF630000}"/>
    <cellStyle name="Separador de milhares 7 5 2 28 2" xfId="22926" xr:uid="{00000000-0005-0000-0000-0000E0630000}"/>
    <cellStyle name="Separador de milhares 7 5 2 28 2 2" xfId="31754" xr:uid="{FDE75AC1-B6C9-49A9-A1EC-04DCC5F9E10C}"/>
    <cellStyle name="Separador de milhares 7 5 2 28 3" xfId="31753" xr:uid="{17397075-D07D-4AA3-B290-53E2A698931D}"/>
    <cellStyle name="Separador de milhares 7 5 2 29" xfId="22927" xr:uid="{00000000-0005-0000-0000-0000E1630000}"/>
    <cellStyle name="Separador de milhares 7 5 2 29 2" xfId="22928" xr:uid="{00000000-0005-0000-0000-0000E2630000}"/>
    <cellStyle name="Separador de milhares 7 5 2 29 2 2" xfId="31756" xr:uid="{AE4ADEFE-9410-46FA-AA1D-58655ECED2E7}"/>
    <cellStyle name="Separador de milhares 7 5 2 29 3" xfId="31755" xr:uid="{C83BFB13-BBE7-4D20-9213-E58F0B0BB798}"/>
    <cellStyle name="Separador de milhares 7 5 2 3" xfId="22929" xr:uid="{00000000-0005-0000-0000-0000E3630000}"/>
    <cellStyle name="Separador de milhares 7 5 2 3 2" xfId="22930" xr:uid="{00000000-0005-0000-0000-0000E4630000}"/>
    <cellStyle name="Separador de milhares 7 5 2 3 2 2" xfId="31758" xr:uid="{B4583751-3D09-45C1-8019-F37A96F12127}"/>
    <cellStyle name="Separador de milhares 7 5 2 3 3" xfId="31757" xr:uid="{E1AA35D3-DB3A-476D-A6B7-36D4F7436291}"/>
    <cellStyle name="Separador de milhares 7 5 2 30" xfId="22931" xr:uid="{00000000-0005-0000-0000-0000E5630000}"/>
    <cellStyle name="Separador de milhares 7 5 2 30 2" xfId="22932" xr:uid="{00000000-0005-0000-0000-0000E6630000}"/>
    <cellStyle name="Separador de milhares 7 5 2 30 2 2" xfId="31760" xr:uid="{B558C32E-6737-456B-848B-84616319FD37}"/>
    <cellStyle name="Separador de milhares 7 5 2 30 3" xfId="31759" xr:uid="{0CA42E0E-DFE2-4B87-BCE9-628F0F0D8E5A}"/>
    <cellStyle name="Separador de milhares 7 5 2 31" xfId="22933" xr:uid="{00000000-0005-0000-0000-0000E7630000}"/>
    <cellStyle name="Separador de milhares 7 5 2 31 2" xfId="22934" xr:uid="{00000000-0005-0000-0000-0000E8630000}"/>
    <cellStyle name="Separador de milhares 7 5 2 31 2 2" xfId="31762" xr:uid="{44276F7C-6B2A-4913-93C9-7E86EA174007}"/>
    <cellStyle name="Separador de milhares 7 5 2 31 3" xfId="31761" xr:uid="{770C5ED6-B2B7-4D02-A9E6-5801C356FBFA}"/>
    <cellStyle name="Separador de milhares 7 5 2 32" xfId="22935" xr:uid="{00000000-0005-0000-0000-0000E9630000}"/>
    <cellStyle name="Separador de milhares 7 5 2 32 2" xfId="22936" xr:uid="{00000000-0005-0000-0000-0000EA630000}"/>
    <cellStyle name="Separador de milhares 7 5 2 32 2 2" xfId="31764" xr:uid="{0D8CDCB9-B77E-490A-B741-D5F75D828679}"/>
    <cellStyle name="Separador de milhares 7 5 2 32 3" xfId="31763" xr:uid="{98CEF94C-3A9E-4D2B-A0A8-76ACB5DFF8BA}"/>
    <cellStyle name="Separador de milhares 7 5 2 33" xfId="22937" xr:uid="{00000000-0005-0000-0000-0000EB630000}"/>
    <cellStyle name="Separador de milhares 7 5 2 33 2" xfId="22938" xr:uid="{00000000-0005-0000-0000-0000EC630000}"/>
    <cellStyle name="Separador de milhares 7 5 2 33 2 2" xfId="31766" xr:uid="{8CEDFA72-8540-4853-A4C5-0CB3F939454B}"/>
    <cellStyle name="Separador de milhares 7 5 2 33 3" xfId="31765" xr:uid="{8130FCE1-2AA1-43B8-8632-887C0C590AAC}"/>
    <cellStyle name="Separador de milhares 7 5 2 34" xfId="22939" xr:uid="{00000000-0005-0000-0000-0000ED630000}"/>
    <cellStyle name="Separador de milhares 7 5 2 34 2" xfId="22940" xr:uid="{00000000-0005-0000-0000-0000EE630000}"/>
    <cellStyle name="Separador de milhares 7 5 2 34 2 2" xfId="31768" xr:uid="{20872661-D85A-4756-8370-6D047809EE7E}"/>
    <cellStyle name="Separador de milhares 7 5 2 34 3" xfId="31767" xr:uid="{0B37A15C-204F-4350-BBF1-F745A3770CC7}"/>
    <cellStyle name="Separador de milhares 7 5 2 35" xfId="22941" xr:uid="{00000000-0005-0000-0000-0000EF630000}"/>
    <cellStyle name="Separador de milhares 7 5 2 35 2" xfId="31769" xr:uid="{D641E623-D0C1-483D-A0FE-EEB998F30976}"/>
    <cellStyle name="Separador de milhares 7 5 2 36" xfId="22886" xr:uid="{00000000-0005-0000-0000-0000F0630000}"/>
    <cellStyle name="Separador de milhares 7 5 2 36 2" xfId="31714" xr:uid="{BCC97786-EDF7-4D5A-8F56-A3FE497A298D}"/>
    <cellStyle name="Separador de milhares 7 5 2 37" xfId="28086" xr:uid="{0C602548-3A13-4D90-B0DF-2E2E07622831}"/>
    <cellStyle name="Separador de milhares 7 5 2 4" xfId="22942" xr:uid="{00000000-0005-0000-0000-0000F1630000}"/>
    <cellStyle name="Separador de milhares 7 5 2 4 2" xfId="22943" xr:uid="{00000000-0005-0000-0000-0000F2630000}"/>
    <cellStyle name="Separador de milhares 7 5 2 4 2 2" xfId="31771" xr:uid="{50D2D973-4D42-47B5-A6B7-8637860F57A9}"/>
    <cellStyle name="Separador de milhares 7 5 2 4 3" xfId="31770" xr:uid="{939D626B-0836-47FA-A133-04A8C5CD4F31}"/>
    <cellStyle name="Separador de milhares 7 5 2 5" xfId="22944" xr:uid="{00000000-0005-0000-0000-0000F3630000}"/>
    <cellStyle name="Separador de milhares 7 5 2 5 2" xfId="22945" xr:uid="{00000000-0005-0000-0000-0000F4630000}"/>
    <cellStyle name="Separador de milhares 7 5 2 5 2 2" xfId="31773" xr:uid="{842E29E3-7E9D-4670-B481-640A4229B40A}"/>
    <cellStyle name="Separador de milhares 7 5 2 5 3" xfId="31772" xr:uid="{69AD963D-83F7-4B10-9A57-D2AA9D38CDCB}"/>
    <cellStyle name="Separador de milhares 7 5 2 6" xfId="22946" xr:uid="{00000000-0005-0000-0000-0000F5630000}"/>
    <cellStyle name="Separador de milhares 7 5 2 6 2" xfId="22947" xr:uid="{00000000-0005-0000-0000-0000F6630000}"/>
    <cellStyle name="Separador de milhares 7 5 2 6 2 2" xfId="31775" xr:uid="{ED352C98-B583-40AD-B003-7B8E4F2AE304}"/>
    <cellStyle name="Separador de milhares 7 5 2 6 3" xfId="31774" xr:uid="{32481246-54BC-4908-B644-AB02CEEC373E}"/>
    <cellStyle name="Separador de milhares 7 5 2 7" xfId="22948" xr:uid="{00000000-0005-0000-0000-0000F7630000}"/>
    <cellStyle name="Separador de milhares 7 5 2 7 2" xfId="22949" xr:uid="{00000000-0005-0000-0000-0000F8630000}"/>
    <cellStyle name="Separador de milhares 7 5 2 7 2 2" xfId="31777" xr:uid="{7427E332-8BC7-4C1B-8ABB-494F21157D22}"/>
    <cellStyle name="Separador de milhares 7 5 2 7 3" xfId="31776" xr:uid="{88FB044F-9A6F-4ED1-92C9-DFAD3CF1ABB7}"/>
    <cellStyle name="Separador de milhares 7 5 2 8" xfId="22950" xr:uid="{00000000-0005-0000-0000-0000F9630000}"/>
    <cellStyle name="Separador de milhares 7 5 2 8 2" xfId="22951" xr:uid="{00000000-0005-0000-0000-0000FA630000}"/>
    <cellStyle name="Separador de milhares 7 5 2 8 2 2" xfId="31779" xr:uid="{E89AAB76-C5BF-44F7-AE6A-816B923CCA69}"/>
    <cellStyle name="Separador de milhares 7 5 2 8 3" xfId="31778" xr:uid="{65294F4B-85EA-4838-82BE-F529112D2C42}"/>
    <cellStyle name="Separador de milhares 7 5 2 9" xfId="22952" xr:uid="{00000000-0005-0000-0000-0000FB630000}"/>
    <cellStyle name="Separador de milhares 7 5 2 9 2" xfId="22953" xr:uid="{00000000-0005-0000-0000-0000FC630000}"/>
    <cellStyle name="Separador de milhares 7 5 2 9 2 2" xfId="31781" xr:uid="{11CF825B-A3C4-4127-8FD0-3F81CA68CDAD}"/>
    <cellStyle name="Separador de milhares 7 5 2 9 3" xfId="31780" xr:uid="{519C975B-B251-429F-B432-BFB3A0B0F8BA}"/>
    <cellStyle name="Separador de milhares 7 5 20" xfId="22954" xr:uid="{00000000-0005-0000-0000-0000FD630000}"/>
    <cellStyle name="Separador de milhares 7 5 20 2" xfId="22955" xr:uid="{00000000-0005-0000-0000-0000FE630000}"/>
    <cellStyle name="Separador de milhares 7 5 20 2 2" xfId="31783" xr:uid="{05251D26-B8D5-47C0-A3AF-BC96BB35EE20}"/>
    <cellStyle name="Separador de milhares 7 5 20 3" xfId="31782" xr:uid="{AE7587D4-DA3C-4A54-992B-69F5C046289B}"/>
    <cellStyle name="Separador de milhares 7 5 21" xfId="22956" xr:uid="{00000000-0005-0000-0000-0000FF630000}"/>
    <cellStyle name="Separador de milhares 7 5 21 2" xfId="22957" xr:uid="{00000000-0005-0000-0000-000000640000}"/>
    <cellStyle name="Separador de milhares 7 5 21 2 2" xfId="31785" xr:uid="{28356D5D-CD11-4697-BAE5-14F836640371}"/>
    <cellStyle name="Separador de milhares 7 5 21 3" xfId="31784" xr:uid="{11BA977E-7DB8-43DA-BF13-258E712C6F2B}"/>
    <cellStyle name="Separador de milhares 7 5 22" xfId="22958" xr:uid="{00000000-0005-0000-0000-000001640000}"/>
    <cellStyle name="Separador de milhares 7 5 22 2" xfId="22959" xr:uid="{00000000-0005-0000-0000-000002640000}"/>
    <cellStyle name="Separador de milhares 7 5 22 2 2" xfId="31787" xr:uid="{37DC23ED-1383-4198-968B-E936312DDBCB}"/>
    <cellStyle name="Separador de milhares 7 5 22 3" xfId="31786" xr:uid="{CD3E080D-07EB-4F27-8A02-990690EB076C}"/>
    <cellStyle name="Separador de milhares 7 5 23" xfId="22960" xr:uid="{00000000-0005-0000-0000-000003640000}"/>
    <cellStyle name="Separador de milhares 7 5 23 2" xfId="22961" xr:uid="{00000000-0005-0000-0000-000004640000}"/>
    <cellStyle name="Separador de milhares 7 5 23 2 2" xfId="31789" xr:uid="{DA2A5B17-3496-4969-B7CE-5190F8625953}"/>
    <cellStyle name="Separador de milhares 7 5 23 3" xfId="31788" xr:uid="{63444E1F-BBD8-4293-B3D1-9FDEA1B8F832}"/>
    <cellStyle name="Separador de milhares 7 5 24" xfId="22962" xr:uid="{00000000-0005-0000-0000-000005640000}"/>
    <cellStyle name="Separador de milhares 7 5 24 2" xfId="22963" xr:uid="{00000000-0005-0000-0000-000006640000}"/>
    <cellStyle name="Separador de milhares 7 5 24 2 2" xfId="31791" xr:uid="{078C51A8-83BC-42D6-B1C4-7DD25709E633}"/>
    <cellStyle name="Separador de milhares 7 5 24 3" xfId="31790" xr:uid="{076F3303-7423-44FA-95B7-816B608CF59E}"/>
    <cellStyle name="Separador de milhares 7 5 25" xfId="22964" xr:uid="{00000000-0005-0000-0000-000007640000}"/>
    <cellStyle name="Separador de milhares 7 5 25 2" xfId="22965" xr:uid="{00000000-0005-0000-0000-000008640000}"/>
    <cellStyle name="Separador de milhares 7 5 25 2 2" xfId="31793" xr:uid="{A4A9E88E-BA69-4388-895E-9994C5562D30}"/>
    <cellStyle name="Separador de milhares 7 5 25 3" xfId="31792" xr:uid="{03378645-CA08-42E3-B620-C27E082A2A31}"/>
    <cellStyle name="Separador de milhares 7 5 26" xfId="22966" xr:uid="{00000000-0005-0000-0000-000009640000}"/>
    <cellStyle name="Separador de milhares 7 5 26 2" xfId="22967" xr:uid="{00000000-0005-0000-0000-00000A640000}"/>
    <cellStyle name="Separador de milhares 7 5 26 2 2" xfId="31795" xr:uid="{46872A49-5861-435D-AB54-41F883E1320F}"/>
    <cellStyle name="Separador de milhares 7 5 26 3" xfId="31794" xr:uid="{36D61A8C-EA18-4AD8-92A9-4765753139EA}"/>
    <cellStyle name="Separador de milhares 7 5 27" xfId="22968" xr:uid="{00000000-0005-0000-0000-00000B640000}"/>
    <cellStyle name="Separador de milhares 7 5 27 2" xfId="22969" xr:uid="{00000000-0005-0000-0000-00000C640000}"/>
    <cellStyle name="Separador de milhares 7 5 27 2 2" xfId="31797" xr:uid="{F749574E-A574-4BA8-8E0A-8575D836D2AC}"/>
    <cellStyle name="Separador de milhares 7 5 27 3" xfId="31796" xr:uid="{ADC50C28-6201-44A0-8C95-E73B83965164}"/>
    <cellStyle name="Separador de milhares 7 5 28" xfId="22970" xr:uid="{00000000-0005-0000-0000-00000D640000}"/>
    <cellStyle name="Separador de milhares 7 5 28 2" xfId="22971" xr:uid="{00000000-0005-0000-0000-00000E640000}"/>
    <cellStyle name="Separador de milhares 7 5 28 2 2" xfId="31799" xr:uid="{6C6ADADC-FB0B-4F6E-9CD7-3ECB6CF4641B}"/>
    <cellStyle name="Separador de milhares 7 5 28 3" xfId="31798" xr:uid="{F799D3BF-6DEF-482B-8561-921CCFD665BA}"/>
    <cellStyle name="Separador de milhares 7 5 29" xfId="22972" xr:uid="{00000000-0005-0000-0000-00000F640000}"/>
    <cellStyle name="Separador de milhares 7 5 29 2" xfId="22973" xr:uid="{00000000-0005-0000-0000-000010640000}"/>
    <cellStyle name="Separador de milhares 7 5 29 2 2" xfId="31801" xr:uid="{192A970D-968B-43D1-88E0-5CE951CF6655}"/>
    <cellStyle name="Separador de milhares 7 5 29 3" xfId="31800" xr:uid="{0A9AFEFF-488B-49BA-9ECB-7400616F15F7}"/>
    <cellStyle name="Separador de milhares 7 5 3" xfId="22974" xr:uid="{00000000-0005-0000-0000-000011640000}"/>
    <cellStyle name="Separador de milhares 7 5 3 10" xfId="22975" xr:uid="{00000000-0005-0000-0000-000012640000}"/>
    <cellStyle name="Separador de milhares 7 5 3 10 2" xfId="22976" xr:uid="{00000000-0005-0000-0000-000013640000}"/>
    <cellStyle name="Separador de milhares 7 5 3 10 2 2" xfId="31804" xr:uid="{FFB240A5-F2A1-4619-B8BC-2BE06AF12F47}"/>
    <cellStyle name="Separador de milhares 7 5 3 10 3" xfId="31803" xr:uid="{CAB01EAE-0E68-4776-B8EB-0F28A8DB201D}"/>
    <cellStyle name="Separador de milhares 7 5 3 11" xfId="22977" xr:uid="{00000000-0005-0000-0000-000014640000}"/>
    <cellStyle name="Separador de milhares 7 5 3 11 2" xfId="22978" xr:uid="{00000000-0005-0000-0000-000015640000}"/>
    <cellStyle name="Separador de milhares 7 5 3 11 2 2" xfId="31806" xr:uid="{A1A77047-B27D-4BC0-BF14-00D32DE0EC03}"/>
    <cellStyle name="Separador de milhares 7 5 3 11 3" xfId="31805" xr:uid="{2F48B21A-9CA3-4D88-BDD3-50E4CC23BCE3}"/>
    <cellStyle name="Separador de milhares 7 5 3 12" xfId="22979" xr:uid="{00000000-0005-0000-0000-000016640000}"/>
    <cellStyle name="Separador de milhares 7 5 3 12 2" xfId="22980" xr:uid="{00000000-0005-0000-0000-000017640000}"/>
    <cellStyle name="Separador de milhares 7 5 3 12 2 2" xfId="31808" xr:uid="{84495FA5-279A-4275-96CC-A792F0082058}"/>
    <cellStyle name="Separador de milhares 7 5 3 12 3" xfId="31807" xr:uid="{83E9DAA2-FB1C-46EE-9E97-7071366C4E67}"/>
    <cellStyle name="Separador de milhares 7 5 3 13" xfId="22981" xr:uid="{00000000-0005-0000-0000-000018640000}"/>
    <cellStyle name="Separador de milhares 7 5 3 13 2" xfId="22982" xr:uid="{00000000-0005-0000-0000-000019640000}"/>
    <cellStyle name="Separador de milhares 7 5 3 13 2 2" xfId="31810" xr:uid="{EA874D69-ED78-4B03-820D-61443E39AE03}"/>
    <cellStyle name="Separador de milhares 7 5 3 13 3" xfId="31809" xr:uid="{E7BD92FE-3DDD-4694-8190-0356C45EFB89}"/>
    <cellStyle name="Separador de milhares 7 5 3 14" xfId="22983" xr:uid="{00000000-0005-0000-0000-00001A640000}"/>
    <cellStyle name="Separador de milhares 7 5 3 14 2" xfId="22984" xr:uid="{00000000-0005-0000-0000-00001B640000}"/>
    <cellStyle name="Separador de milhares 7 5 3 14 2 2" xfId="31812" xr:uid="{8E778A47-2058-4278-A2B8-C25421CAD6C3}"/>
    <cellStyle name="Separador de milhares 7 5 3 14 3" xfId="31811" xr:uid="{CDA427F8-9A85-498E-A161-30CF06F70FD3}"/>
    <cellStyle name="Separador de milhares 7 5 3 15" xfId="22985" xr:uid="{00000000-0005-0000-0000-00001C640000}"/>
    <cellStyle name="Separador de milhares 7 5 3 15 2" xfId="22986" xr:uid="{00000000-0005-0000-0000-00001D640000}"/>
    <cellStyle name="Separador de milhares 7 5 3 15 2 2" xfId="31814" xr:uid="{1B634DDA-8311-41B4-8295-3C469087B4D6}"/>
    <cellStyle name="Separador de milhares 7 5 3 15 3" xfId="31813" xr:uid="{29B2A3C4-FEA3-4691-9B7B-C6434FED2EC2}"/>
    <cellStyle name="Separador de milhares 7 5 3 16" xfId="22987" xr:uid="{00000000-0005-0000-0000-00001E640000}"/>
    <cellStyle name="Separador de milhares 7 5 3 16 2" xfId="22988" xr:uid="{00000000-0005-0000-0000-00001F640000}"/>
    <cellStyle name="Separador de milhares 7 5 3 16 2 2" xfId="31816" xr:uid="{B9F79F77-63BC-4403-9C66-F6E7391D4655}"/>
    <cellStyle name="Separador de milhares 7 5 3 16 3" xfId="31815" xr:uid="{F938A265-10D2-4F56-BF05-C1A32B2653FD}"/>
    <cellStyle name="Separador de milhares 7 5 3 17" xfId="22989" xr:uid="{00000000-0005-0000-0000-000020640000}"/>
    <cellStyle name="Separador de milhares 7 5 3 17 2" xfId="22990" xr:uid="{00000000-0005-0000-0000-000021640000}"/>
    <cellStyle name="Separador de milhares 7 5 3 17 2 2" xfId="31818" xr:uid="{83889948-DF21-4CF5-8F45-E6E332D1A0F5}"/>
    <cellStyle name="Separador de milhares 7 5 3 17 3" xfId="31817" xr:uid="{3A4FCAA4-8A43-4452-8C2E-E385189E6F3D}"/>
    <cellStyle name="Separador de milhares 7 5 3 18" xfId="22991" xr:uid="{00000000-0005-0000-0000-000022640000}"/>
    <cellStyle name="Separador de milhares 7 5 3 18 2" xfId="22992" xr:uid="{00000000-0005-0000-0000-000023640000}"/>
    <cellStyle name="Separador de milhares 7 5 3 18 2 2" xfId="31820" xr:uid="{98E41E76-34EC-4B8A-8CAE-5B042BB9CF1B}"/>
    <cellStyle name="Separador de milhares 7 5 3 18 3" xfId="31819" xr:uid="{B02F90CD-FCDA-41D7-81B5-6F239D16ADE7}"/>
    <cellStyle name="Separador de milhares 7 5 3 19" xfId="22993" xr:uid="{00000000-0005-0000-0000-000024640000}"/>
    <cellStyle name="Separador de milhares 7 5 3 19 2" xfId="22994" xr:uid="{00000000-0005-0000-0000-000025640000}"/>
    <cellStyle name="Separador de milhares 7 5 3 19 2 2" xfId="31822" xr:uid="{56DD84CA-BE93-492F-8418-E0AE4B6BD557}"/>
    <cellStyle name="Separador de milhares 7 5 3 19 3" xfId="31821" xr:uid="{8EC13E2C-FAD8-4B5E-A0B8-8586765BC710}"/>
    <cellStyle name="Separador de milhares 7 5 3 2" xfId="22995" xr:uid="{00000000-0005-0000-0000-000026640000}"/>
    <cellStyle name="Separador de milhares 7 5 3 2 2" xfId="22996" xr:uid="{00000000-0005-0000-0000-000027640000}"/>
    <cellStyle name="Separador de milhares 7 5 3 2 2 2" xfId="31824" xr:uid="{BDC538AB-F88B-4586-A650-E7F2A812FE66}"/>
    <cellStyle name="Separador de milhares 7 5 3 2 3" xfId="31823" xr:uid="{CB4CFE41-6C7C-456C-B786-B29E1B90FFCF}"/>
    <cellStyle name="Separador de milhares 7 5 3 20" xfId="22997" xr:uid="{00000000-0005-0000-0000-000028640000}"/>
    <cellStyle name="Separador de milhares 7 5 3 20 2" xfId="22998" xr:uid="{00000000-0005-0000-0000-000029640000}"/>
    <cellStyle name="Separador de milhares 7 5 3 20 2 2" xfId="31826" xr:uid="{2396C7E5-CF02-459E-9FB4-DBFA72BA2D7F}"/>
    <cellStyle name="Separador de milhares 7 5 3 20 3" xfId="31825" xr:uid="{BB917DE9-6EC0-4EF6-8A91-3F0F4B3C2DA3}"/>
    <cellStyle name="Separador de milhares 7 5 3 21" xfId="22999" xr:uid="{00000000-0005-0000-0000-00002A640000}"/>
    <cellStyle name="Separador de milhares 7 5 3 21 2" xfId="23000" xr:uid="{00000000-0005-0000-0000-00002B640000}"/>
    <cellStyle name="Separador de milhares 7 5 3 21 2 2" xfId="31828" xr:uid="{D6EFF011-B74A-4076-B285-ABF38F64EEF2}"/>
    <cellStyle name="Separador de milhares 7 5 3 21 3" xfId="31827" xr:uid="{2B2F3737-6C4C-4EAC-9CFC-2346BFADF072}"/>
    <cellStyle name="Separador de milhares 7 5 3 22" xfId="23001" xr:uid="{00000000-0005-0000-0000-00002C640000}"/>
    <cellStyle name="Separador de milhares 7 5 3 22 2" xfId="23002" xr:uid="{00000000-0005-0000-0000-00002D640000}"/>
    <cellStyle name="Separador de milhares 7 5 3 22 2 2" xfId="31830" xr:uid="{A4560C8F-E22D-4961-BF81-6CB10612594C}"/>
    <cellStyle name="Separador de milhares 7 5 3 22 3" xfId="31829" xr:uid="{88F43FED-2266-4A1A-A4A6-4EE10EB9653C}"/>
    <cellStyle name="Separador de milhares 7 5 3 23" xfId="23003" xr:uid="{00000000-0005-0000-0000-00002E640000}"/>
    <cellStyle name="Separador de milhares 7 5 3 23 2" xfId="23004" xr:uid="{00000000-0005-0000-0000-00002F640000}"/>
    <cellStyle name="Separador de milhares 7 5 3 23 2 2" xfId="31832" xr:uid="{2BE11ABE-41B8-4E14-84D6-ADA5B97F6AD6}"/>
    <cellStyle name="Separador de milhares 7 5 3 23 3" xfId="31831" xr:uid="{21A40F68-8BA9-4D5F-89CD-A4F972F9A880}"/>
    <cellStyle name="Separador de milhares 7 5 3 24" xfId="23005" xr:uid="{00000000-0005-0000-0000-000030640000}"/>
    <cellStyle name="Separador de milhares 7 5 3 24 2" xfId="23006" xr:uid="{00000000-0005-0000-0000-000031640000}"/>
    <cellStyle name="Separador de milhares 7 5 3 24 2 2" xfId="31834" xr:uid="{33065EB1-AD9B-4F33-A44D-481BFD2828DE}"/>
    <cellStyle name="Separador de milhares 7 5 3 24 3" xfId="31833" xr:uid="{B3EBEE17-31D7-4006-B922-75C0513ABC26}"/>
    <cellStyle name="Separador de milhares 7 5 3 25" xfId="23007" xr:uid="{00000000-0005-0000-0000-000032640000}"/>
    <cellStyle name="Separador de milhares 7 5 3 25 2" xfId="23008" xr:uid="{00000000-0005-0000-0000-000033640000}"/>
    <cellStyle name="Separador de milhares 7 5 3 25 2 2" xfId="31836" xr:uid="{2A89AFA4-68C3-401F-937A-B30F137C3F17}"/>
    <cellStyle name="Separador de milhares 7 5 3 25 3" xfId="31835" xr:uid="{8A2AB6AB-DF38-44A5-98FD-ABC79CB5D388}"/>
    <cellStyle name="Separador de milhares 7 5 3 26" xfId="23009" xr:uid="{00000000-0005-0000-0000-000034640000}"/>
    <cellStyle name="Separador de milhares 7 5 3 26 2" xfId="23010" xr:uid="{00000000-0005-0000-0000-000035640000}"/>
    <cellStyle name="Separador de milhares 7 5 3 26 2 2" xfId="31838" xr:uid="{23052E0F-2652-4E22-80C3-53A410F0F8CF}"/>
    <cellStyle name="Separador de milhares 7 5 3 26 3" xfId="31837" xr:uid="{40F58E7F-CF34-41CD-96F0-795787EB9372}"/>
    <cellStyle name="Separador de milhares 7 5 3 27" xfId="23011" xr:uid="{00000000-0005-0000-0000-000036640000}"/>
    <cellStyle name="Separador de milhares 7 5 3 27 2" xfId="23012" xr:uid="{00000000-0005-0000-0000-000037640000}"/>
    <cellStyle name="Separador de milhares 7 5 3 27 2 2" xfId="31840" xr:uid="{2144A22F-0CF5-4D66-AEF3-E37C923EFF7F}"/>
    <cellStyle name="Separador de milhares 7 5 3 27 3" xfId="31839" xr:uid="{AD1E2727-CC5E-4123-85CF-D15FA808576F}"/>
    <cellStyle name="Separador de milhares 7 5 3 28" xfId="23013" xr:uid="{00000000-0005-0000-0000-000038640000}"/>
    <cellStyle name="Separador de milhares 7 5 3 28 2" xfId="23014" xr:uid="{00000000-0005-0000-0000-000039640000}"/>
    <cellStyle name="Separador de milhares 7 5 3 28 2 2" xfId="31842" xr:uid="{9822993B-C02B-4E4B-B04D-6302D767B867}"/>
    <cellStyle name="Separador de milhares 7 5 3 28 3" xfId="31841" xr:uid="{12BE4403-E13F-4923-9735-7003FCCEB9B1}"/>
    <cellStyle name="Separador de milhares 7 5 3 29" xfId="23015" xr:uid="{00000000-0005-0000-0000-00003A640000}"/>
    <cellStyle name="Separador de milhares 7 5 3 29 2" xfId="23016" xr:uid="{00000000-0005-0000-0000-00003B640000}"/>
    <cellStyle name="Separador de milhares 7 5 3 29 2 2" xfId="31844" xr:uid="{EC2EAB41-4E85-4F71-8149-4473904B9CAD}"/>
    <cellStyle name="Separador de milhares 7 5 3 29 3" xfId="31843" xr:uid="{8EE751D9-5E01-43EE-824A-B387DD7E0F3A}"/>
    <cellStyle name="Separador de milhares 7 5 3 3" xfId="23017" xr:uid="{00000000-0005-0000-0000-00003C640000}"/>
    <cellStyle name="Separador de milhares 7 5 3 3 2" xfId="23018" xr:uid="{00000000-0005-0000-0000-00003D640000}"/>
    <cellStyle name="Separador de milhares 7 5 3 3 2 2" xfId="31846" xr:uid="{AA9CC0F0-691D-46F7-BCCC-579084DA197A}"/>
    <cellStyle name="Separador de milhares 7 5 3 3 3" xfId="31845" xr:uid="{238B5A25-E784-4769-9366-A761EE71D689}"/>
    <cellStyle name="Separador de milhares 7 5 3 30" xfId="23019" xr:uid="{00000000-0005-0000-0000-00003E640000}"/>
    <cellStyle name="Separador de milhares 7 5 3 30 2" xfId="23020" xr:uid="{00000000-0005-0000-0000-00003F640000}"/>
    <cellStyle name="Separador de milhares 7 5 3 30 2 2" xfId="31848" xr:uid="{9E14A1BA-B1C5-46CD-BCA6-1A45649162C3}"/>
    <cellStyle name="Separador de milhares 7 5 3 30 3" xfId="31847" xr:uid="{592A82E6-3A58-4A3E-BA17-4515F39754C1}"/>
    <cellStyle name="Separador de milhares 7 5 3 31" xfId="23021" xr:uid="{00000000-0005-0000-0000-000040640000}"/>
    <cellStyle name="Separador de milhares 7 5 3 31 2" xfId="23022" xr:uid="{00000000-0005-0000-0000-000041640000}"/>
    <cellStyle name="Separador de milhares 7 5 3 31 2 2" xfId="31850" xr:uid="{944818A2-F345-4C54-A7EC-399C8212CA16}"/>
    <cellStyle name="Separador de milhares 7 5 3 31 3" xfId="31849" xr:uid="{657A2081-90C1-4A57-A4AD-2C7BB99B046D}"/>
    <cellStyle name="Separador de milhares 7 5 3 32" xfId="23023" xr:uid="{00000000-0005-0000-0000-000042640000}"/>
    <cellStyle name="Separador de milhares 7 5 3 32 2" xfId="23024" xr:uid="{00000000-0005-0000-0000-000043640000}"/>
    <cellStyle name="Separador de milhares 7 5 3 32 2 2" xfId="31852" xr:uid="{38AFDC5B-8D41-49EA-AEBD-AF50A7C6A3A7}"/>
    <cellStyle name="Separador de milhares 7 5 3 32 3" xfId="31851" xr:uid="{C7565E1E-A947-451E-81A8-EE4AB11571ED}"/>
    <cellStyle name="Separador de milhares 7 5 3 33" xfId="23025" xr:uid="{00000000-0005-0000-0000-000044640000}"/>
    <cellStyle name="Separador de milhares 7 5 3 33 2" xfId="23026" xr:uid="{00000000-0005-0000-0000-000045640000}"/>
    <cellStyle name="Separador de milhares 7 5 3 33 2 2" xfId="31854" xr:uid="{25772F28-46D2-448E-8151-746E48650D01}"/>
    <cellStyle name="Separador de milhares 7 5 3 33 3" xfId="31853" xr:uid="{E8E9ED6A-693F-4C12-91B7-C34B719C595C}"/>
    <cellStyle name="Separador de milhares 7 5 3 34" xfId="23027" xr:uid="{00000000-0005-0000-0000-000046640000}"/>
    <cellStyle name="Separador de milhares 7 5 3 34 2" xfId="23028" xr:uid="{00000000-0005-0000-0000-000047640000}"/>
    <cellStyle name="Separador de milhares 7 5 3 34 2 2" xfId="31856" xr:uid="{23AC351C-EE3B-4C77-AE5E-3F19EC61EF99}"/>
    <cellStyle name="Separador de milhares 7 5 3 34 3" xfId="31855" xr:uid="{3B90FA70-3294-4459-863F-B228A9352BD2}"/>
    <cellStyle name="Separador de milhares 7 5 3 35" xfId="23029" xr:uid="{00000000-0005-0000-0000-000048640000}"/>
    <cellStyle name="Separador de milhares 7 5 3 35 2" xfId="31857" xr:uid="{8E02A58E-29A7-48D5-8FE3-D42E50D4183C}"/>
    <cellStyle name="Separador de milhares 7 5 3 36" xfId="31802" xr:uid="{E9E15518-E8E7-44CB-8135-1A545B5AE49C}"/>
    <cellStyle name="Separador de milhares 7 5 3 4" xfId="23030" xr:uid="{00000000-0005-0000-0000-000049640000}"/>
    <cellStyle name="Separador de milhares 7 5 3 4 2" xfId="23031" xr:uid="{00000000-0005-0000-0000-00004A640000}"/>
    <cellStyle name="Separador de milhares 7 5 3 4 2 2" xfId="31859" xr:uid="{2661AAE9-EB09-4F39-AB48-D5DDC4DE1750}"/>
    <cellStyle name="Separador de milhares 7 5 3 4 3" xfId="31858" xr:uid="{2C544770-1B75-4499-A866-361932AD6102}"/>
    <cellStyle name="Separador de milhares 7 5 3 5" xfId="23032" xr:uid="{00000000-0005-0000-0000-00004B640000}"/>
    <cellStyle name="Separador de milhares 7 5 3 5 2" xfId="23033" xr:uid="{00000000-0005-0000-0000-00004C640000}"/>
    <cellStyle name="Separador de milhares 7 5 3 5 2 2" xfId="31861" xr:uid="{5F426D16-429F-485F-A0C3-67AA5FE53004}"/>
    <cellStyle name="Separador de milhares 7 5 3 5 3" xfId="31860" xr:uid="{5BE28B48-8E4F-45A6-8117-BE1044E4089F}"/>
    <cellStyle name="Separador de milhares 7 5 3 6" xfId="23034" xr:uid="{00000000-0005-0000-0000-00004D640000}"/>
    <cellStyle name="Separador de milhares 7 5 3 6 2" xfId="23035" xr:uid="{00000000-0005-0000-0000-00004E640000}"/>
    <cellStyle name="Separador de milhares 7 5 3 6 2 2" xfId="31863" xr:uid="{C6484E6A-D1F5-4DB7-A1F4-C0F7FF2F2F6C}"/>
    <cellStyle name="Separador de milhares 7 5 3 6 3" xfId="31862" xr:uid="{67B7C0DB-C6DD-4502-AE1A-1891D5D3C9E5}"/>
    <cellStyle name="Separador de milhares 7 5 3 7" xfId="23036" xr:uid="{00000000-0005-0000-0000-00004F640000}"/>
    <cellStyle name="Separador de milhares 7 5 3 7 2" xfId="23037" xr:uid="{00000000-0005-0000-0000-000050640000}"/>
    <cellStyle name="Separador de milhares 7 5 3 7 2 2" xfId="31865" xr:uid="{B534F01A-122D-4BD6-B5EC-300020F60936}"/>
    <cellStyle name="Separador de milhares 7 5 3 7 3" xfId="31864" xr:uid="{B78B2C0B-F060-467A-9C69-659F8B88039B}"/>
    <cellStyle name="Separador de milhares 7 5 3 8" xfId="23038" xr:uid="{00000000-0005-0000-0000-000051640000}"/>
    <cellStyle name="Separador de milhares 7 5 3 8 2" xfId="23039" xr:uid="{00000000-0005-0000-0000-000052640000}"/>
    <cellStyle name="Separador de milhares 7 5 3 8 2 2" xfId="31867" xr:uid="{15DAF5D6-A4B3-4B8D-976B-138E0F8B4E1A}"/>
    <cellStyle name="Separador de milhares 7 5 3 8 3" xfId="31866" xr:uid="{93CCA4EA-83FD-492E-BBC9-316A18DDA6C6}"/>
    <cellStyle name="Separador de milhares 7 5 3 9" xfId="23040" xr:uid="{00000000-0005-0000-0000-000053640000}"/>
    <cellStyle name="Separador de milhares 7 5 3 9 2" xfId="23041" xr:uid="{00000000-0005-0000-0000-000054640000}"/>
    <cellStyle name="Separador de milhares 7 5 3 9 2 2" xfId="31869" xr:uid="{C647599B-8623-464C-BBC1-920C90F68F09}"/>
    <cellStyle name="Separador de milhares 7 5 3 9 3" xfId="31868" xr:uid="{4CDA4F9A-AC2E-4270-B705-F499E84A83B1}"/>
    <cellStyle name="Separador de milhares 7 5 30" xfId="23042" xr:uid="{00000000-0005-0000-0000-000055640000}"/>
    <cellStyle name="Separador de milhares 7 5 30 2" xfId="23043" xr:uid="{00000000-0005-0000-0000-000056640000}"/>
    <cellStyle name="Separador de milhares 7 5 30 2 2" xfId="31871" xr:uid="{52FEC8D5-FBF1-4462-88F2-EFB671D8A620}"/>
    <cellStyle name="Separador de milhares 7 5 30 3" xfId="31870" xr:uid="{885B1237-3318-4AD5-BC75-A8FA4DD37DCB}"/>
    <cellStyle name="Separador de milhares 7 5 31" xfId="23044" xr:uid="{00000000-0005-0000-0000-000057640000}"/>
    <cellStyle name="Separador de milhares 7 5 31 2" xfId="23045" xr:uid="{00000000-0005-0000-0000-000058640000}"/>
    <cellStyle name="Separador de milhares 7 5 31 2 2" xfId="31873" xr:uid="{A225D0ED-0165-423F-802C-1453FB812234}"/>
    <cellStyle name="Separador de milhares 7 5 31 3" xfId="31872" xr:uid="{B33918C2-9738-49F3-8B13-B717D0749758}"/>
    <cellStyle name="Separador de milhares 7 5 32" xfId="23046" xr:uid="{00000000-0005-0000-0000-000059640000}"/>
    <cellStyle name="Separador de milhares 7 5 32 2" xfId="23047" xr:uid="{00000000-0005-0000-0000-00005A640000}"/>
    <cellStyle name="Separador de milhares 7 5 32 2 2" xfId="31875" xr:uid="{8E7B216D-8AB4-461F-889F-150C5DFA65AB}"/>
    <cellStyle name="Separador de milhares 7 5 32 3" xfId="31874" xr:uid="{EFEE297B-3ED2-4A1E-82BC-957392E06E9B}"/>
    <cellStyle name="Separador de milhares 7 5 33" xfId="23048" xr:uid="{00000000-0005-0000-0000-00005B640000}"/>
    <cellStyle name="Separador de milhares 7 5 33 2" xfId="23049" xr:uid="{00000000-0005-0000-0000-00005C640000}"/>
    <cellStyle name="Separador de milhares 7 5 33 2 2" xfId="31877" xr:uid="{16D64FCF-E0D6-4F55-A8AE-DB1B9E96736C}"/>
    <cellStyle name="Separador de milhares 7 5 33 3" xfId="31876" xr:uid="{9CC053AE-8F92-467E-8B06-EC4C66A452BC}"/>
    <cellStyle name="Separador de milhares 7 5 34" xfId="23050" xr:uid="{00000000-0005-0000-0000-00005D640000}"/>
    <cellStyle name="Separador de milhares 7 5 34 2" xfId="23051" xr:uid="{00000000-0005-0000-0000-00005E640000}"/>
    <cellStyle name="Separador de milhares 7 5 34 2 2" xfId="31879" xr:uid="{B568F6FF-77C4-4A48-B36E-32B61506C42C}"/>
    <cellStyle name="Separador de milhares 7 5 34 3" xfId="31878" xr:uid="{1C48D713-2488-45FC-AF49-088D31D61F1D}"/>
    <cellStyle name="Separador de milhares 7 5 35" xfId="23052" xr:uid="{00000000-0005-0000-0000-00005F640000}"/>
    <cellStyle name="Separador de milhares 7 5 35 2" xfId="23053" xr:uid="{00000000-0005-0000-0000-000060640000}"/>
    <cellStyle name="Separador de milhares 7 5 35 2 2" xfId="31881" xr:uid="{62D00725-CEAA-4EB5-A780-656E8D5E7E69}"/>
    <cellStyle name="Separador de milhares 7 5 35 3" xfId="31880" xr:uid="{F65F7225-82C9-4696-A30E-0D003BB479A4}"/>
    <cellStyle name="Separador de milhares 7 5 36" xfId="23054" xr:uid="{00000000-0005-0000-0000-000061640000}"/>
    <cellStyle name="Separador de milhares 7 5 36 2" xfId="23055" xr:uid="{00000000-0005-0000-0000-000062640000}"/>
    <cellStyle name="Separador de milhares 7 5 36 2 2" xfId="31883" xr:uid="{588A9E51-CB55-4295-925A-ABD24F728B6D}"/>
    <cellStyle name="Separador de milhares 7 5 36 3" xfId="31882" xr:uid="{38B36521-F163-437D-9076-66AE0E2C7998}"/>
    <cellStyle name="Separador de milhares 7 5 37" xfId="23056" xr:uid="{00000000-0005-0000-0000-000063640000}"/>
    <cellStyle name="Separador de milhares 7 5 37 2" xfId="23057" xr:uid="{00000000-0005-0000-0000-000064640000}"/>
    <cellStyle name="Separador de milhares 7 5 37 2 2" xfId="31885" xr:uid="{2373625D-34F0-475F-90DE-09A36175A797}"/>
    <cellStyle name="Separador de milhares 7 5 37 3" xfId="31884" xr:uid="{4CFE3C1F-0E8C-4177-8026-91F97CEED6B5}"/>
    <cellStyle name="Separador de milhares 7 5 38" xfId="23058" xr:uid="{00000000-0005-0000-0000-000065640000}"/>
    <cellStyle name="Separador de milhares 7 5 38 2" xfId="23059" xr:uid="{00000000-0005-0000-0000-000066640000}"/>
    <cellStyle name="Separador de milhares 7 5 38 2 2" xfId="31887" xr:uid="{BA89ED05-550C-4BA9-ABCC-2CF2190C9A3C}"/>
    <cellStyle name="Separador de milhares 7 5 38 3" xfId="31886" xr:uid="{40A82193-1BDA-4AE2-8449-33F760563615}"/>
    <cellStyle name="Separador de milhares 7 5 39" xfId="23060" xr:uid="{00000000-0005-0000-0000-000067640000}"/>
    <cellStyle name="Separador de milhares 7 5 39 2" xfId="23061" xr:uid="{00000000-0005-0000-0000-000068640000}"/>
    <cellStyle name="Separador de milhares 7 5 39 2 2" xfId="31889" xr:uid="{D40143A3-FE12-49FA-82F4-5FC9E78FAB8E}"/>
    <cellStyle name="Separador de milhares 7 5 39 3" xfId="31888" xr:uid="{7379807A-2442-4175-93E9-A0EF19EBDF15}"/>
    <cellStyle name="Separador de milhares 7 5 4" xfId="23062" xr:uid="{00000000-0005-0000-0000-000069640000}"/>
    <cellStyle name="Separador de milhares 7 5 4 2" xfId="23063" xr:uid="{00000000-0005-0000-0000-00006A640000}"/>
    <cellStyle name="Separador de milhares 7 5 4 2 2" xfId="23064" xr:uid="{00000000-0005-0000-0000-00006B640000}"/>
    <cellStyle name="Separador de milhares 7 5 4 2 2 2" xfId="31892" xr:uid="{E859DBBC-FBAA-4E93-AE8D-CECF53F639BF}"/>
    <cellStyle name="Separador de milhares 7 5 4 2 3" xfId="31891" xr:uid="{50A5CDBC-B5C4-4CE8-962E-C440BCE22848}"/>
    <cellStyle name="Separador de milhares 7 5 4 3" xfId="23065" xr:uid="{00000000-0005-0000-0000-00006C640000}"/>
    <cellStyle name="Separador de milhares 7 5 4 3 2" xfId="23066" xr:uid="{00000000-0005-0000-0000-00006D640000}"/>
    <cellStyle name="Separador de milhares 7 5 4 3 2 2" xfId="31894" xr:uid="{9ABE0DEA-D4E1-4C5D-B068-C7FC939DD835}"/>
    <cellStyle name="Separador de milhares 7 5 4 3 3" xfId="31893" xr:uid="{AAF98D4B-DEB3-4C96-8781-E8A2AE3EAB82}"/>
    <cellStyle name="Separador de milhares 7 5 4 4" xfId="23067" xr:uid="{00000000-0005-0000-0000-00006E640000}"/>
    <cellStyle name="Separador de milhares 7 5 4 4 2" xfId="23068" xr:uid="{00000000-0005-0000-0000-00006F640000}"/>
    <cellStyle name="Separador de milhares 7 5 4 4 2 2" xfId="31896" xr:uid="{94EC0E04-802F-4D57-A12A-580E873B929F}"/>
    <cellStyle name="Separador de milhares 7 5 4 4 3" xfId="31895" xr:uid="{B366DC75-243C-4289-B5C5-A856D14DD139}"/>
    <cellStyle name="Separador de milhares 7 5 4 5" xfId="23069" xr:uid="{00000000-0005-0000-0000-000070640000}"/>
    <cellStyle name="Separador de milhares 7 5 4 5 2" xfId="23070" xr:uid="{00000000-0005-0000-0000-000071640000}"/>
    <cellStyle name="Separador de milhares 7 5 4 5 2 2" xfId="31898" xr:uid="{A78E301A-B836-4924-AB1A-6A6F84827C9C}"/>
    <cellStyle name="Separador de milhares 7 5 4 5 3" xfId="31897" xr:uid="{ACB2D55A-9EFB-4FF3-BC31-A5843BC57299}"/>
    <cellStyle name="Separador de milhares 7 5 4 6" xfId="23071" xr:uid="{00000000-0005-0000-0000-000072640000}"/>
    <cellStyle name="Separador de milhares 7 5 4 6 2" xfId="31899" xr:uid="{25FCFA75-4597-48CD-A49B-74C97C8B1DFF}"/>
    <cellStyle name="Separador de milhares 7 5 4 7" xfId="31890" xr:uid="{C2BC8AE6-9CFC-4F64-85B6-0C1F370385C8}"/>
    <cellStyle name="Separador de milhares 7 5 40" xfId="23072" xr:uid="{00000000-0005-0000-0000-000073640000}"/>
    <cellStyle name="Separador de milhares 7 5 40 2" xfId="23073" xr:uid="{00000000-0005-0000-0000-000074640000}"/>
    <cellStyle name="Separador de milhares 7 5 40 2 2" xfId="31901" xr:uid="{060C76A8-67CD-4301-98F8-5027B0B0CCCB}"/>
    <cellStyle name="Separador de milhares 7 5 40 3" xfId="31900" xr:uid="{F0962D92-E4F3-4E7E-9B10-27DD5B2156DB}"/>
    <cellStyle name="Separador de milhares 7 5 41" xfId="23074" xr:uid="{00000000-0005-0000-0000-000075640000}"/>
    <cellStyle name="Separador de milhares 7 5 41 2" xfId="23075" xr:uid="{00000000-0005-0000-0000-000076640000}"/>
    <cellStyle name="Separador de milhares 7 5 41 2 2" xfId="31903" xr:uid="{449BAE3B-C049-4B18-BC28-4FA4788D25F9}"/>
    <cellStyle name="Separador de milhares 7 5 41 3" xfId="31902" xr:uid="{D37DD629-881F-4D84-91C0-A5378FA0A6F0}"/>
    <cellStyle name="Separador de milhares 7 5 42" xfId="23076" xr:uid="{00000000-0005-0000-0000-000077640000}"/>
    <cellStyle name="Separador de milhares 7 5 42 2" xfId="23077" xr:uid="{00000000-0005-0000-0000-000078640000}"/>
    <cellStyle name="Separador de milhares 7 5 42 2 2" xfId="31905" xr:uid="{CEC5266C-131C-4B87-A051-69F68AB818F6}"/>
    <cellStyle name="Separador de milhares 7 5 42 3" xfId="31904" xr:uid="{7BB2CCA5-6927-4279-B712-AD774BD970C7}"/>
    <cellStyle name="Separador de milhares 7 5 43" xfId="23078" xr:uid="{00000000-0005-0000-0000-000079640000}"/>
    <cellStyle name="Separador de milhares 7 5 43 2" xfId="23079" xr:uid="{00000000-0005-0000-0000-00007A640000}"/>
    <cellStyle name="Separador de milhares 7 5 43 2 2" xfId="31907" xr:uid="{57C53AD7-AB23-4596-9AE8-9581B3788394}"/>
    <cellStyle name="Separador de milhares 7 5 43 3" xfId="31906" xr:uid="{4BD297C2-5F3F-4277-A4C0-EE5458C7F1EF}"/>
    <cellStyle name="Separador de milhares 7 5 44" xfId="23080" xr:uid="{00000000-0005-0000-0000-00007B640000}"/>
    <cellStyle name="Separador de milhares 7 5 44 2" xfId="23081" xr:uid="{00000000-0005-0000-0000-00007C640000}"/>
    <cellStyle name="Separador de milhares 7 5 44 2 2" xfId="31909" xr:uid="{00C10119-C9E6-479D-9E28-999A378D437C}"/>
    <cellStyle name="Separador de milhares 7 5 44 3" xfId="31908" xr:uid="{5445B62C-7EEF-4507-B3DF-A3D73BC87FD7}"/>
    <cellStyle name="Separador de milhares 7 5 45" xfId="23082" xr:uid="{00000000-0005-0000-0000-00007D640000}"/>
    <cellStyle name="Separador de milhares 7 5 45 2" xfId="23083" xr:uid="{00000000-0005-0000-0000-00007E640000}"/>
    <cellStyle name="Separador de milhares 7 5 45 2 2" xfId="31911" xr:uid="{178DD6CE-B38B-42A7-8497-CD99740C41C8}"/>
    <cellStyle name="Separador de milhares 7 5 45 3" xfId="31910" xr:uid="{58884793-0A8F-4983-9E0E-1E2E6AFD2EAC}"/>
    <cellStyle name="Separador de milhares 7 5 46" xfId="23084" xr:uid="{00000000-0005-0000-0000-00007F640000}"/>
    <cellStyle name="Separador de milhares 7 5 46 2" xfId="23085" xr:uid="{00000000-0005-0000-0000-000080640000}"/>
    <cellStyle name="Separador de milhares 7 5 46 2 2" xfId="31913" xr:uid="{40755BEC-BEA9-40DD-A46F-6BCC0DDC56DC}"/>
    <cellStyle name="Separador de milhares 7 5 46 3" xfId="31912" xr:uid="{C585BCCB-3598-407E-A2AE-79E2F27D2A3A}"/>
    <cellStyle name="Separador de milhares 7 5 47" xfId="23086" xr:uid="{00000000-0005-0000-0000-000081640000}"/>
    <cellStyle name="Separador de milhares 7 5 47 2" xfId="31914" xr:uid="{B11E32F1-00BE-4787-ACB9-2850C79654CF}"/>
    <cellStyle name="Separador de milhares 7 5 48" xfId="22865" xr:uid="{00000000-0005-0000-0000-000082640000}"/>
    <cellStyle name="Separador de milhares 7 5 49" xfId="28085" xr:uid="{A1BE390C-CB6C-457E-AE88-C6AE5F8917F7}"/>
    <cellStyle name="Separador de milhares 7 5 5" xfId="23087" xr:uid="{00000000-0005-0000-0000-000083640000}"/>
    <cellStyle name="Separador de milhares 7 5 5 2" xfId="23088" xr:uid="{00000000-0005-0000-0000-000084640000}"/>
    <cellStyle name="Separador de milhares 7 5 5 2 2" xfId="31916" xr:uid="{9351ACCD-9D09-4FCB-833C-0B4F6F0E7CDA}"/>
    <cellStyle name="Separador de milhares 7 5 5 3" xfId="31915" xr:uid="{F229BEB6-F846-45CD-B99C-B5018B395669}"/>
    <cellStyle name="Separador de milhares 7 5 6" xfId="23089" xr:uid="{00000000-0005-0000-0000-000085640000}"/>
    <cellStyle name="Separador de milhares 7 5 6 2" xfId="23090" xr:uid="{00000000-0005-0000-0000-000086640000}"/>
    <cellStyle name="Separador de milhares 7 5 6 2 2" xfId="31918" xr:uid="{1170BE9A-68EA-4BF6-AB56-E879349AF8C8}"/>
    <cellStyle name="Separador de milhares 7 5 6 3" xfId="31917" xr:uid="{8E142DB4-858F-4A83-97AA-5C179C532D0F}"/>
    <cellStyle name="Separador de milhares 7 5 7" xfId="23091" xr:uid="{00000000-0005-0000-0000-000087640000}"/>
    <cellStyle name="Separador de milhares 7 5 7 2" xfId="23092" xr:uid="{00000000-0005-0000-0000-000088640000}"/>
    <cellStyle name="Separador de milhares 7 5 7 2 2" xfId="31920" xr:uid="{CBB70A8D-4AA0-42C5-846A-BF07176F951F}"/>
    <cellStyle name="Separador de milhares 7 5 7 3" xfId="31919" xr:uid="{0710B34C-8AC1-476E-8804-8015C595F898}"/>
    <cellStyle name="Separador de milhares 7 5 8" xfId="23093" xr:uid="{00000000-0005-0000-0000-000089640000}"/>
    <cellStyle name="Separador de milhares 7 5 8 2" xfId="23094" xr:uid="{00000000-0005-0000-0000-00008A640000}"/>
    <cellStyle name="Separador de milhares 7 5 8 2 2" xfId="31922" xr:uid="{4D8D5EE2-1778-4636-BD4F-D97B6092E612}"/>
    <cellStyle name="Separador de milhares 7 5 8 3" xfId="31921" xr:uid="{9C3FA276-1225-49AC-9A6A-441ED7454CAD}"/>
    <cellStyle name="Separador de milhares 7 5 9" xfId="23095" xr:uid="{00000000-0005-0000-0000-00008B640000}"/>
    <cellStyle name="Separador de milhares 7 5 9 2" xfId="23096" xr:uid="{00000000-0005-0000-0000-00008C640000}"/>
    <cellStyle name="Separador de milhares 7 5 9 2 2" xfId="31924" xr:uid="{5FFB769E-1D09-4E40-B14E-8D7E191C734A}"/>
    <cellStyle name="Separador de milhares 7 5 9 3" xfId="31923" xr:uid="{E74C2BFA-76CC-412F-BB45-C45B90A39D1D}"/>
    <cellStyle name="Separador de milhares 7 50" xfId="23097" xr:uid="{00000000-0005-0000-0000-00008D640000}"/>
    <cellStyle name="Separador de milhares 7 50 2" xfId="23098" xr:uid="{00000000-0005-0000-0000-00008E640000}"/>
    <cellStyle name="Separador de milhares 7 50 2 2" xfId="31926" xr:uid="{63F59D76-733C-469A-9870-51E6EABAF3F4}"/>
    <cellStyle name="Separador de milhares 7 50 3" xfId="31925" xr:uid="{204CDB78-F527-4928-9BA0-3775991F45F9}"/>
    <cellStyle name="Separador de milhares 7 51" xfId="23099" xr:uid="{00000000-0005-0000-0000-00008F640000}"/>
    <cellStyle name="Separador de milhares 7 51 2" xfId="23100" xr:uid="{00000000-0005-0000-0000-000090640000}"/>
    <cellStyle name="Separador de milhares 7 51 2 2" xfId="31928" xr:uid="{A469D705-7E9E-449C-949A-621433A85328}"/>
    <cellStyle name="Separador de milhares 7 51 3" xfId="31927" xr:uid="{3F63F34A-EEA4-4B87-BDF5-E100667A60A5}"/>
    <cellStyle name="Separador de milhares 7 52" xfId="23101" xr:uid="{00000000-0005-0000-0000-000091640000}"/>
    <cellStyle name="Separador de milhares 7 52 2" xfId="23102" xr:uid="{00000000-0005-0000-0000-000092640000}"/>
    <cellStyle name="Separador de milhares 7 52 2 2" xfId="31930" xr:uid="{7D02AB6E-8BAE-484D-A887-89D5D655AA18}"/>
    <cellStyle name="Separador de milhares 7 52 3" xfId="31929" xr:uid="{501B8DF5-D616-4FDD-B8BB-35D2A0AD1162}"/>
    <cellStyle name="Separador de milhares 7 53" xfId="23103" xr:uid="{00000000-0005-0000-0000-000093640000}"/>
    <cellStyle name="Separador de milhares 7 53 2" xfId="23104" xr:uid="{00000000-0005-0000-0000-000094640000}"/>
    <cellStyle name="Separador de milhares 7 53 2 2" xfId="31932" xr:uid="{2058E879-CAF1-4E22-8805-7F291A4BA1B1}"/>
    <cellStyle name="Separador de milhares 7 53 3" xfId="31931" xr:uid="{317F8CC4-8067-4CFC-B9D7-0B31E5C5AFC7}"/>
    <cellStyle name="Separador de milhares 7 54" xfId="23105" xr:uid="{00000000-0005-0000-0000-000095640000}"/>
    <cellStyle name="Separador de milhares 7 54 2" xfId="31933" xr:uid="{5EF6A5C7-31AD-4464-A9D5-E1776B40A69A}"/>
    <cellStyle name="Separador de milhares 7 55" xfId="27215" xr:uid="{00000000-0005-0000-0000-000096640000}"/>
    <cellStyle name="Separador de milhares 7 55 2" xfId="33057" xr:uid="{DD16F604-1B74-4C3A-B87E-785D031BC5BF}"/>
    <cellStyle name="Separador de milhares 7 56" xfId="27395" xr:uid="{00000000-0005-0000-0000-000097640000}"/>
    <cellStyle name="Separador de milhares 7 56 2" xfId="33232" xr:uid="{FBCC89EC-A178-4D95-BC0D-2B28140D6ED5}"/>
    <cellStyle name="Separador de milhares 7 57" xfId="27573" xr:uid="{00000000-0005-0000-0000-000098640000}"/>
    <cellStyle name="Separador de milhares 7 57 2" xfId="33385" xr:uid="{9ABBCBC1-254D-4896-9F81-D795EA333558}"/>
    <cellStyle name="Separador de milhares 7 58" xfId="27724" xr:uid="{00000000-0005-0000-0000-000099640000}"/>
    <cellStyle name="Separador de milhares 7 58 2" xfId="33535" xr:uid="{6C19DEAB-D37B-4F85-9457-F688EAB5D206}"/>
    <cellStyle name="Separador de milhares 7 59" xfId="28064" xr:uid="{3FE96624-54E8-4364-B08E-B2C1540E20E5}"/>
    <cellStyle name="Separador de milhares 7 6" xfId="855" xr:uid="{00000000-0005-0000-0000-00009A640000}"/>
    <cellStyle name="Separador de milhares 7 6 10" xfId="23107" xr:uid="{00000000-0005-0000-0000-00009B640000}"/>
    <cellStyle name="Separador de milhares 7 6 10 2" xfId="23108" xr:uid="{00000000-0005-0000-0000-00009C640000}"/>
    <cellStyle name="Separador de milhares 7 6 10 2 2" xfId="31935" xr:uid="{9A2FF350-8F7C-40AC-A04F-D485216726A1}"/>
    <cellStyle name="Separador de milhares 7 6 10 3" xfId="31934" xr:uid="{6B09C79A-472D-4F04-AADB-D88197C7E036}"/>
    <cellStyle name="Separador de milhares 7 6 11" xfId="23109" xr:uid="{00000000-0005-0000-0000-00009D640000}"/>
    <cellStyle name="Separador de milhares 7 6 11 2" xfId="23110" xr:uid="{00000000-0005-0000-0000-00009E640000}"/>
    <cellStyle name="Separador de milhares 7 6 11 2 2" xfId="31937" xr:uid="{58B71F15-DEC0-43A3-A979-EA05D96402F6}"/>
    <cellStyle name="Separador de milhares 7 6 11 3" xfId="31936" xr:uid="{44AEB5CB-1B60-4E64-8F41-2380FBFE4E36}"/>
    <cellStyle name="Separador de milhares 7 6 12" xfId="23111" xr:uid="{00000000-0005-0000-0000-00009F640000}"/>
    <cellStyle name="Separador de milhares 7 6 12 2" xfId="23112" xr:uid="{00000000-0005-0000-0000-0000A0640000}"/>
    <cellStyle name="Separador de milhares 7 6 12 2 2" xfId="31939" xr:uid="{A311168D-9461-4166-AFE2-0D8CE5BA6978}"/>
    <cellStyle name="Separador de milhares 7 6 12 3" xfId="31938" xr:uid="{96C737C4-1BC6-4F28-816D-8F9846EE4400}"/>
    <cellStyle name="Separador de milhares 7 6 13" xfId="23113" xr:uid="{00000000-0005-0000-0000-0000A1640000}"/>
    <cellStyle name="Separador de milhares 7 6 13 2" xfId="23114" xr:uid="{00000000-0005-0000-0000-0000A2640000}"/>
    <cellStyle name="Separador de milhares 7 6 13 2 2" xfId="31941" xr:uid="{02928370-669D-4C37-A426-875B67F915F6}"/>
    <cellStyle name="Separador de milhares 7 6 13 3" xfId="31940" xr:uid="{BEC32C1A-0F86-4508-9D79-EBC2DC36F37A}"/>
    <cellStyle name="Separador de milhares 7 6 14" xfId="23115" xr:uid="{00000000-0005-0000-0000-0000A3640000}"/>
    <cellStyle name="Separador de milhares 7 6 14 2" xfId="23116" xr:uid="{00000000-0005-0000-0000-0000A4640000}"/>
    <cellStyle name="Separador de milhares 7 6 14 2 2" xfId="31943" xr:uid="{9F916D9F-BC33-46A5-A94B-D5E799F496FC}"/>
    <cellStyle name="Separador de milhares 7 6 14 3" xfId="31942" xr:uid="{0DCD5099-8416-400D-B847-01FBBC741FB9}"/>
    <cellStyle name="Separador de milhares 7 6 15" xfId="23117" xr:uid="{00000000-0005-0000-0000-0000A5640000}"/>
    <cellStyle name="Separador de milhares 7 6 15 2" xfId="23118" xr:uid="{00000000-0005-0000-0000-0000A6640000}"/>
    <cellStyle name="Separador de milhares 7 6 15 2 2" xfId="31945" xr:uid="{8CAF7998-7114-4CAC-8084-8C0C3F57BE3F}"/>
    <cellStyle name="Separador de milhares 7 6 15 3" xfId="31944" xr:uid="{1D589AF9-FC24-4556-8E43-2499B372664B}"/>
    <cellStyle name="Separador de milhares 7 6 16" xfId="23119" xr:uid="{00000000-0005-0000-0000-0000A7640000}"/>
    <cellStyle name="Separador de milhares 7 6 16 2" xfId="23120" xr:uid="{00000000-0005-0000-0000-0000A8640000}"/>
    <cellStyle name="Separador de milhares 7 6 16 2 2" xfId="31947" xr:uid="{B8FABCC0-0F70-4C1F-8EF6-36498A458A45}"/>
    <cellStyle name="Separador de milhares 7 6 16 3" xfId="31946" xr:uid="{ED234B7D-ECB2-44AB-B8AA-8554393DF512}"/>
    <cellStyle name="Separador de milhares 7 6 17" xfId="23121" xr:uid="{00000000-0005-0000-0000-0000A9640000}"/>
    <cellStyle name="Separador de milhares 7 6 17 2" xfId="23122" xr:uid="{00000000-0005-0000-0000-0000AA640000}"/>
    <cellStyle name="Separador de milhares 7 6 17 2 2" xfId="31949" xr:uid="{79DAA9BD-961E-4ADA-9ABC-ED8FD531D81C}"/>
    <cellStyle name="Separador de milhares 7 6 17 3" xfId="31948" xr:uid="{4FE829A5-431A-40E8-A0BD-4C669557B6B4}"/>
    <cellStyle name="Separador de milhares 7 6 18" xfId="23123" xr:uid="{00000000-0005-0000-0000-0000AB640000}"/>
    <cellStyle name="Separador de milhares 7 6 18 2" xfId="23124" xr:uid="{00000000-0005-0000-0000-0000AC640000}"/>
    <cellStyle name="Separador de milhares 7 6 18 2 2" xfId="31951" xr:uid="{2780C425-FE18-4492-803F-4446CC07F7EA}"/>
    <cellStyle name="Separador de milhares 7 6 18 3" xfId="31950" xr:uid="{4895A2DD-B7CD-4B04-8455-0DB307CC703B}"/>
    <cellStyle name="Separador de milhares 7 6 19" xfId="23125" xr:uid="{00000000-0005-0000-0000-0000AD640000}"/>
    <cellStyle name="Separador de milhares 7 6 19 2" xfId="23126" xr:uid="{00000000-0005-0000-0000-0000AE640000}"/>
    <cellStyle name="Separador de milhares 7 6 19 2 2" xfId="31953" xr:uid="{0323755E-DA6D-4817-803C-E52E8C5A28DC}"/>
    <cellStyle name="Separador de milhares 7 6 19 3" xfId="31952" xr:uid="{C3218EBD-F800-4104-90B3-7CF825EB285E}"/>
    <cellStyle name="Separador de milhares 7 6 2" xfId="23127" xr:uid="{00000000-0005-0000-0000-0000AF640000}"/>
    <cellStyle name="Separador de milhares 7 6 2 10" xfId="23128" xr:uid="{00000000-0005-0000-0000-0000B0640000}"/>
    <cellStyle name="Separador de milhares 7 6 2 10 2" xfId="23129" xr:uid="{00000000-0005-0000-0000-0000B1640000}"/>
    <cellStyle name="Separador de milhares 7 6 2 10 2 2" xfId="31956" xr:uid="{1839BCA6-01AD-4BCE-91A7-993E0BCAC849}"/>
    <cellStyle name="Separador de milhares 7 6 2 10 3" xfId="31955" xr:uid="{DA152889-400E-4441-925F-3ED69E7EF357}"/>
    <cellStyle name="Separador de milhares 7 6 2 11" xfId="23130" xr:uid="{00000000-0005-0000-0000-0000B2640000}"/>
    <cellStyle name="Separador de milhares 7 6 2 11 2" xfId="23131" xr:uid="{00000000-0005-0000-0000-0000B3640000}"/>
    <cellStyle name="Separador de milhares 7 6 2 11 2 2" xfId="31958" xr:uid="{986835F8-C6BB-496A-8957-7BFA7F9E2CF1}"/>
    <cellStyle name="Separador de milhares 7 6 2 11 3" xfId="31957" xr:uid="{AB8345BA-AF68-4E30-9908-6BFF810B9AED}"/>
    <cellStyle name="Separador de milhares 7 6 2 12" xfId="23132" xr:uid="{00000000-0005-0000-0000-0000B4640000}"/>
    <cellStyle name="Separador de milhares 7 6 2 12 2" xfId="23133" xr:uid="{00000000-0005-0000-0000-0000B5640000}"/>
    <cellStyle name="Separador de milhares 7 6 2 12 2 2" xfId="31960" xr:uid="{21495F50-C971-4E2A-8D80-712F2AD01026}"/>
    <cellStyle name="Separador de milhares 7 6 2 12 3" xfId="31959" xr:uid="{1CE13152-8748-4954-AD68-0FCB12AFBD0D}"/>
    <cellStyle name="Separador de milhares 7 6 2 13" xfId="23134" xr:uid="{00000000-0005-0000-0000-0000B6640000}"/>
    <cellStyle name="Separador de milhares 7 6 2 13 2" xfId="23135" xr:uid="{00000000-0005-0000-0000-0000B7640000}"/>
    <cellStyle name="Separador de milhares 7 6 2 13 2 2" xfId="31962" xr:uid="{BBEC06D0-AA2B-4F72-8819-9AFAA401F3C4}"/>
    <cellStyle name="Separador de milhares 7 6 2 13 3" xfId="31961" xr:uid="{E325FF4F-92D9-46CD-8EBF-3CA061919850}"/>
    <cellStyle name="Separador de milhares 7 6 2 14" xfId="23136" xr:uid="{00000000-0005-0000-0000-0000B8640000}"/>
    <cellStyle name="Separador de milhares 7 6 2 14 2" xfId="23137" xr:uid="{00000000-0005-0000-0000-0000B9640000}"/>
    <cellStyle name="Separador de milhares 7 6 2 14 2 2" xfId="31964" xr:uid="{E1E8DDC8-277C-452A-ADDD-9C58F1059884}"/>
    <cellStyle name="Separador de milhares 7 6 2 14 3" xfId="31963" xr:uid="{C7D67C86-3445-4790-B434-84E408FD72A4}"/>
    <cellStyle name="Separador de milhares 7 6 2 15" xfId="23138" xr:uid="{00000000-0005-0000-0000-0000BA640000}"/>
    <cellStyle name="Separador de milhares 7 6 2 15 2" xfId="23139" xr:uid="{00000000-0005-0000-0000-0000BB640000}"/>
    <cellStyle name="Separador de milhares 7 6 2 15 2 2" xfId="31966" xr:uid="{CFB62EC7-FB76-4595-B049-13354C57C62E}"/>
    <cellStyle name="Separador de milhares 7 6 2 15 3" xfId="31965" xr:uid="{FF876331-A939-47AC-B774-197F54422B28}"/>
    <cellStyle name="Separador de milhares 7 6 2 16" xfId="23140" xr:uid="{00000000-0005-0000-0000-0000BC640000}"/>
    <cellStyle name="Separador de milhares 7 6 2 16 2" xfId="23141" xr:uid="{00000000-0005-0000-0000-0000BD640000}"/>
    <cellStyle name="Separador de milhares 7 6 2 16 2 2" xfId="31968" xr:uid="{9233CB71-EE97-48B1-A479-F3A3594D227F}"/>
    <cellStyle name="Separador de milhares 7 6 2 16 3" xfId="31967" xr:uid="{3C947800-7BDB-4154-982D-5086A7D69CB8}"/>
    <cellStyle name="Separador de milhares 7 6 2 17" xfId="23142" xr:uid="{00000000-0005-0000-0000-0000BE640000}"/>
    <cellStyle name="Separador de milhares 7 6 2 17 2" xfId="23143" xr:uid="{00000000-0005-0000-0000-0000BF640000}"/>
    <cellStyle name="Separador de milhares 7 6 2 17 2 2" xfId="31970" xr:uid="{21AAD625-2E7D-44BB-9A45-7317679F4F72}"/>
    <cellStyle name="Separador de milhares 7 6 2 17 3" xfId="31969" xr:uid="{686156CE-94C1-47C2-83DE-533B2D833246}"/>
    <cellStyle name="Separador de milhares 7 6 2 18" xfId="23144" xr:uid="{00000000-0005-0000-0000-0000C0640000}"/>
    <cellStyle name="Separador de milhares 7 6 2 18 2" xfId="23145" xr:uid="{00000000-0005-0000-0000-0000C1640000}"/>
    <cellStyle name="Separador de milhares 7 6 2 18 2 2" xfId="31972" xr:uid="{5E410039-8D7F-405D-9ACC-1EBC2A45F4D4}"/>
    <cellStyle name="Separador de milhares 7 6 2 18 3" xfId="31971" xr:uid="{D8F3C320-EB37-4154-97F3-C99B98C8E6D0}"/>
    <cellStyle name="Separador de milhares 7 6 2 19" xfId="23146" xr:uid="{00000000-0005-0000-0000-0000C2640000}"/>
    <cellStyle name="Separador de milhares 7 6 2 19 2" xfId="23147" xr:uid="{00000000-0005-0000-0000-0000C3640000}"/>
    <cellStyle name="Separador de milhares 7 6 2 19 2 2" xfId="31974" xr:uid="{27F36559-3CE4-4685-98B9-17279A16D397}"/>
    <cellStyle name="Separador de milhares 7 6 2 19 3" xfId="31973" xr:uid="{35A2AFE3-2789-4A4E-BCA2-A6D7C02ED4D6}"/>
    <cellStyle name="Separador de milhares 7 6 2 2" xfId="23148" xr:uid="{00000000-0005-0000-0000-0000C4640000}"/>
    <cellStyle name="Separador de milhares 7 6 2 2 2" xfId="23149" xr:uid="{00000000-0005-0000-0000-0000C5640000}"/>
    <cellStyle name="Separador de milhares 7 6 2 2 2 2" xfId="31976" xr:uid="{16CA3993-2DFC-4361-AC65-F9B699783116}"/>
    <cellStyle name="Separador de milhares 7 6 2 2 3" xfId="31975" xr:uid="{F3F5AEBF-5A32-42F9-9D79-D572D2CA1BA6}"/>
    <cellStyle name="Separador de milhares 7 6 2 20" xfId="23150" xr:uid="{00000000-0005-0000-0000-0000C6640000}"/>
    <cellStyle name="Separador de milhares 7 6 2 20 2" xfId="23151" xr:uid="{00000000-0005-0000-0000-0000C7640000}"/>
    <cellStyle name="Separador de milhares 7 6 2 20 2 2" xfId="31978" xr:uid="{41038F4D-C000-4CD6-A207-C243E2A6A466}"/>
    <cellStyle name="Separador de milhares 7 6 2 20 3" xfId="31977" xr:uid="{BA0C0C1E-D034-45C0-8339-C433566AE48A}"/>
    <cellStyle name="Separador de milhares 7 6 2 21" xfId="23152" xr:uid="{00000000-0005-0000-0000-0000C8640000}"/>
    <cellStyle name="Separador de milhares 7 6 2 21 2" xfId="23153" xr:uid="{00000000-0005-0000-0000-0000C9640000}"/>
    <cellStyle name="Separador de milhares 7 6 2 21 2 2" xfId="31980" xr:uid="{6B564476-0B6C-41DA-A8D4-C14CB11B9C90}"/>
    <cellStyle name="Separador de milhares 7 6 2 21 3" xfId="31979" xr:uid="{A4A3C165-A630-40BC-B335-00767561D7BA}"/>
    <cellStyle name="Separador de milhares 7 6 2 22" xfId="23154" xr:uid="{00000000-0005-0000-0000-0000CA640000}"/>
    <cellStyle name="Separador de milhares 7 6 2 22 2" xfId="23155" xr:uid="{00000000-0005-0000-0000-0000CB640000}"/>
    <cellStyle name="Separador de milhares 7 6 2 22 2 2" xfId="31982" xr:uid="{239D97BA-1EF9-4E0C-8C8D-00F7EF70F1CE}"/>
    <cellStyle name="Separador de milhares 7 6 2 22 3" xfId="31981" xr:uid="{4C86E6C2-5A81-47AA-8229-AA9F7E378717}"/>
    <cellStyle name="Separador de milhares 7 6 2 23" xfId="23156" xr:uid="{00000000-0005-0000-0000-0000CC640000}"/>
    <cellStyle name="Separador de milhares 7 6 2 23 2" xfId="23157" xr:uid="{00000000-0005-0000-0000-0000CD640000}"/>
    <cellStyle name="Separador de milhares 7 6 2 23 2 2" xfId="31984" xr:uid="{60131A84-FFCB-4320-8561-090FE6649C3D}"/>
    <cellStyle name="Separador de milhares 7 6 2 23 3" xfId="31983" xr:uid="{8E42AD6E-C41B-46F1-87A2-8064D29B7342}"/>
    <cellStyle name="Separador de milhares 7 6 2 24" xfId="23158" xr:uid="{00000000-0005-0000-0000-0000CE640000}"/>
    <cellStyle name="Separador de milhares 7 6 2 24 2" xfId="23159" xr:uid="{00000000-0005-0000-0000-0000CF640000}"/>
    <cellStyle name="Separador de milhares 7 6 2 24 2 2" xfId="31986" xr:uid="{567E7589-7BFA-4009-A9C9-8C9F243EF599}"/>
    <cellStyle name="Separador de milhares 7 6 2 24 3" xfId="31985" xr:uid="{D22EE084-FDE8-49E6-AB6B-F1EAF90C48A3}"/>
    <cellStyle name="Separador de milhares 7 6 2 25" xfId="23160" xr:uid="{00000000-0005-0000-0000-0000D0640000}"/>
    <cellStyle name="Separador de milhares 7 6 2 25 2" xfId="23161" xr:uid="{00000000-0005-0000-0000-0000D1640000}"/>
    <cellStyle name="Separador de milhares 7 6 2 25 2 2" xfId="31988" xr:uid="{CC46DBCC-B882-4869-8B33-955A03A60DF0}"/>
    <cellStyle name="Separador de milhares 7 6 2 25 3" xfId="31987" xr:uid="{46C72909-7DC8-433D-8CC5-826D4A3475B1}"/>
    <cellStyle name="Separador de milhares 7 6 2 26" xfId="23162" xr:uid="{00000000-0005-0000-0000-0000D2640000}"/>
    <cellStyle name="Separador de milhares 7 6 2 26 2" xfId="23163" xr:uid="{00000000-0005-0000-0000-0000D3640000}"/>
    <cellStyle name="Separador de milhares 7 6 2 26 2 2" xfId="31990" xr:uid="{B5F8B547-871B-466B-9257-16EDC7260826}"/>
    <cellStyle name="Separador de milhares 7 6 2 26 3" xfId="31989" xr:uid="{70533DE4-CCB8-4C1E-ACAA-8A0351413E97}"/>
    <cellStyle name="Separador de milhares 7 6 2 27" xfId="23164" xr:uid="{00000000-0005-0000-0000-0000D4640000}"/>
    <cellStyle name="Separador de milhares 7 6 2 27 2" xfId="23165" xr:uid="{00000000-0005-0000-0000-0000D5640000}"/>
    <cellStyle name="Separador de milhares 7 6 2 27 2 2" xfId="31992" xr:uid="{5EE4EA69-FBC6-4660-BF0C-D8C19736A8C6}"/>
    <cellStyle name="Separador de milhares 7 6 2 27 3" xfId="31991" xr:uid="{5C7C343F-1C3A-4702-A437-4D94EBCD2BA1}"/>
    <cellStyle name="Separador de milhares 7 6 2 28" xfId="23166" xr:uid="{00000000-0005-0000-0000-0000D6640000}"/>
    <cellStyle name="Separador de milhares 7 6 2 28 2" xfId="23167" xr:uid="{00000000-0005-0000-0000-0000D7640000}"/>
    <cellStyle name="Separador de milhares 7 6 2 28 2 2" xfId="31994" xr:uid="{FE471CFF-F1B3-44B0-A698-97BAB9F77DFA}"/>
    <cellStyle name="Separador de milhares 7 6 2 28 3" xfId="31993" xr:uid="{812169DA-38E7-4F40-8185-26067331318F}"/>
    <cellStyle name="Separador de milhares 7 6 2 29" xfId="23168" xr:uid="{00000000-0005-0000-0000-0000D8640000}"/>
    <cellStyle name="Separador de milhares 7 6 2 29 2" xfId="23169" xr:uid="{00000000-0005-0000-0000-0000D9640000}"/>
    <cellStyle name="Separador de milhares 7 6 2 29 2 2" xfId="31996" xr:uid="{51ADA73D-E480-42CA-9F0D-F1081F394BCC}"/>
    <cellStyle name="Separador de milhares 7 6 2 29 3" xfId="31995" xr:uid="{7EC78756-C0DE-44C1-ADD0-8E0949BE849E}"/>
    <cellStyle name="Separador de milhares 7 6 2 3" xfId="23170" xr:uid="{00000000-0005-0000-0000-0000DA640000}"/>
    <cellStyle name="Separador de milhares 7 6 2 3 2" xfId="23171" xr:uid="{00000000-0005-0000-0000-0000DB640000}"/>
    <cellStyle name="Separador de milhares 7 6 2 3 2 2" xfId="31998" xr:uid="{FC531D0D-64AE-43B7-A585-617BD5934CB2}"/>
    <cellStyle name="Separador de milhares 7 6 2 3 3" xfId="31997" xr:uid="{EDCCD210-F709-4008-96D4-DB686F73CCC3}"/>
    <cellStyle name="Separador de milhares 7 6 2 30" xfId="23172" xr:uid="{00000000-0005-0000-0000-0000DC640000}"/>
    <cellStyle name="Separador de milhares 7 6 2 30 2" xfId="23173" xr:uid="{00000000-0005-0000-0000-0000DD640000}"/>
    <cellStyle name="Separador de milhares 7 6 2 30 2 2" xfId="32000" xr:uid="{7237CD01-C9D7-42AE-9468-BEF64CF083F1}"/>
    <cellStyle name="Separador de milhares 7 6 2 30 3" xfId="31999" xr:uid="{EF03D5F6-4E0A-4FCF-BC5B-45FCE162812B}"/>
    <cellStyle name="Separador de milhares 7 6 2 31" xfId="23174" xr:uid="{00000000-0005-0000-0000-0000DE640000}"/>
    <cellStyle name="Separador de milhares 7 6 2 31 2" xfId="23175" xr:uid="{00000000-0005-0000-0000-0000DF640000}"/>
    <cellStyle name="Separador de milhares 7 6 2 31 2 2" xfId="32002" xr:uid="{871DFF7D-D944-4707-9697-25BD6C8626AC}"/>
    <cellStyle name="Separador de milhares 7 6 2 31 3" xfId="32001" xr:uid="{81CF7749-9118-45EF-92C0-70B652F4DCEE}"/>
    <cellStyle name="Separador de milhares 7 6 2 32" xfId="23176" xr:uid="{00000000-0005-0000-0000-0000E0640000}"/>
    <cellStyle name="Separador de milhares 7 6 2 32 2" xfId="23177" xr:uid="{00000000-0005-0000-0000-0000E1640000}"/>
    <cellStyle name="Separador de milhares 7 6 2 32 2 2" xfId="32004" xr:uid="{B818D7FA-E0C3-4B4B-881A-6B7F9F25C85F}"/>
    <cellStyle name="Separador de milhares 7 6 2 32 3" xfId="32003" xr:uid="{CBEE3BD9-FAB7-435C-9FE5-AACD0CF45107}"/>
    <cellStyle name="Separador de milhares 7 6 2 33" xfId="23178" xr:uid="{00000000-0005-0000-0000-0000E2640000}"/>
    <cellStyle name="Separador de milhares 7 6 2 33 2" xfId="23179" xr:uid="{00000000-0005-0000-0000-0000E3640000}"/>
    <cellStyle name="Separador de milhares 7 6 2 33 2 2" xfId="32006" xr:uid="{E50D0044-3556-43CD-9C6F-F27411D71A85}"/>
    <cellStyle name="Separador de milhares 7 6 2 33 3" xfId="32005" xr:uid="{3CA2596D-0638-4505-A2AF-C42060EBDD78}"/>
    <cellStyle name="Separador de milhares 7 6 2 34" xfId="23180" xr:uid="{00000000-0005-0000-0000-0000E4640000}"/>
    <cellStyle name="Separador de milhares 7 6 2 34 2" xfId="23181" xr:uid="{00000000-0005-0000-0000-0000E5640000}"/>
    <cellStyle name="Separador de milhares 7 6 2 34 2 2" xfId="32008" xr:uid="{0DFEB97A-AEF7-4196-A522-EF579B60EA58}"/>
    <cellStyle name="Separador de milhares 7 6 2 34 3" xfId="32007" xr:uid="{FFFA5AAA-C4E1-497E-9C4D-CE701CE5B4FB}"/>
    <cellStyle name="Separador de milhares 7 6 2 35" xfId="23182" xr:uid="{00000000-0005-0000-0000-0000E6640000}"/>
    <cellStyle name="Separador de milhares 7 6 2 35 2" xfId="32009" xr:uid="{8DED5FEC-CD9F-4261-87B9-1C1D001783B5}"/>
    <cellStyle name="Separador de milhares 7 6 2 36" xfId="31954" xr:uid="{249CCE62-D2FC-41A0-8DD1-9FF4B28DD115}"/>
    <cellStyle name="Separador de milhares 7 6 2 4" xfId="23183" xr:uid="{00000000-0005-0000-0000-0000E7640000}"/>
    <cellStyle name="Separador de milhares 7 6 2 4 2" xfId="23184" xr:uid="{00000000-0005-0000-0000-0000E8640000}"/>
    <cellStyle name="Separador de milhares 7 6 2 4 2 2" xfId="32011" xr:uid="{F1B22FA5-70FA-4EBD-8F86-538AFFD2345E}"/>
    <cellStyle name="Separador de milhares 7 6 2 4 3" xfId="32010" xr:uid="{D0B98386-AB62-4CF5-A66F-5A96DCEE4308}"/>
    <cellStyle name="Separador de milhares 7 6 2 5" xfId="23185" xr:uid="{00000000-0005-0000-0000-0000E9640000}"/>
    <cellStyle name="Separador de milhares 7 6 2 5 2" xfId="23186" xr:uid="{00000000-0005-0000-0000-0000EA640000}"/>
    <cellStyle name="Separador de milhares 7 6 2 5 2 2" xfId="32013" xr:uid="{268152AC-8896-47D6-8398-79C7FB46655E}"/>
    <cellStyle name="Separador de milhares 7 6 2 5 3" xfId="32012" xr:uid="{B3797C8F-3F3E-4F0F-BA88-61471A233069}"/>
    <cellStyle name="Separador de milhares 7 6 2 6" xfId="23187" xr:uid="{00000000-0005-0000-0000-0000EB640000}"/>
    <cellStyle name="Separador de milhares 7 6 2 6 2" xfId="23188" xr:uid="{00000000-0005-0000-0000-0000EC640000}"/>
    <cellStyle name="Separador de milhares 7 6 2 6 2 2" xfId="32015" xr:uid="{FAF281DC-6FE8-4CBE-984B-C2B4E5B558F0}"/>
    <cellStyle name="Separador de milhares 7 6 2 6 3" xfId="32014" xr:uid="{CD5C36B9-80E5-4736-A5DF-D86BE6D641AE}"/>
    <cellStyle name="Separador de milhares 7 6 2 7" xfId="23189" xr:uid="{00000000-0005-0000-0000-0000ED640000}"/>
    <cellStyle name="Separador de milhares 7 6 2 7 2" xfId="23190" xr:uid="{00000000-0005-0000-0000-0000EE640000}"/>
    <cellStyle name="Separador de milhares 7 6 2 7 2 2" xfId="32017" xr:uid="{F99F7C88-691D-48B5-9D06-9DA1E9A6C027}"/>
    <cellStyle name="Separador de milhares 7 6 2 7 3" xfId="32016" xr:uid="{F1BC0822-EF35-4FFD-9786-247BE0E93AA5}"/>
    <cellStyle name="Separador de milhares 7 6 2 8" xfId="23191" xr:uid="{00000000-0005-0000-0000-0000EF640000}"/>
    <cellStyle name="Separador de milhares 7 6 2 8 2" xfId="23192" xr:uid="{00000000-0005-0000-0000-0000F0640000}"/>
    <cellStyle name="Separador de milhares 7 6 2 8 2 2" xfId="32019" xr:uid="{B65FDB02-E3CC-40D1-A9DB-D6539F534C31}"/>
    <cellStyle name="Separador de milhares 7 6 2 8 3" xfId="32018" xr:uid="{2EEFEA57-6247-4B96-9692-1EC000885D52}"/>
    <cellStyle name="Separador de milhares 7 6 2 9" xfId="23193" xr:uid="{00000000-0005-0000-0000-0000F1640000}"/>
    <cellStyle name="Separador de milhares 7 6 2 9 2" xfId="23194" xr:uid="{00000000-0005-0000-0000-0000F2640000}"/>
    <cellStyle name="Separador de milhares 7 6 2 9 2 2" xfId="32021" xr:uid="{93B0CB5F-EDB8-41BD-BF72-8404743EA5E9}"/>
    <cellStyle name="Separador de milhares 7 6 2 9 3" xfId="32020" xr:uid="{BF7F821B-E962-45FC-91DA-107E5291605A}"/>
    <cellStyle name="Separador de milhares 7 6 20" xfId="23195" xr:uid="{00000000-0005-0000-0000-0000F3640000}"/>
    <cellStyle name="Separador de milhares 7 6 20 2" xfId="23196" xr:uid="{00000000-0005-0000-0000-0000F4640000}"/>
    <cellStyle name="Separador de milhares 7 6 20 2 2" xfId="32023" xr:uid="{F28266CA-DE66-491A-834B-CBEBD46DB4BB}"/>
    <cellStyle name="Separador de milhares 7 6 20 3" xfId="32022" xr:uid="{ABD74FA7-AC1C-4A0A-BEC2-31FA2D85DC81}"/>
    <cellStyle name="Separador de milhares 7 6 21" xfId="23197" xr:uid="{00000000-0005-0000-0000-0000F5640000}"/>
    <cellStyle name="Separador de milhares 7 6 21 2" xfId="23198" xr:uid="{00000000-0005-0000-0000-0000F6640000}"/>
    <cellStyle name="Separador de milhares 7 6 21 2 2" xfId="32025" xr:uid="{DDEC2C21-B0FF-4429-ACAF-51D90C4188BA}"/>
    <cellStyle name="Separador de milhares 7 6 21 3" xfId="32024" xr:uid="{978E161E-DFD3-4863-950F-D44597B5B560}"/>
    <cellStyle name="Separador de milhares 7 6 22" xfId="23199" xr:uid="{00000000-0005-0000-0000-0000F7640000}"/>
    <cellStyle name="Separador de milhares 7 6 22 2" xfId="23200" xr:uid="{00000000-0005-0000-0000-0000F8640000}"/>
    <cellStyle name="Separador de milhares 7 6 22 2 2" xfId="32027" xr:uid="{345C8449-18B1-4008-9066-1379F28E14BD}"/>
    <cellStyle name="Separador de milhares 7 6 22 3" xfId="32026" xr:uid="{20E75566-B1E3-4E12-922C-806059394F53}"/>
    <cellStyle name="Separador de milhares 7 6 23" xfId="23201" xr:uid="{00000000-0005-0000-0000-0000F9640000}"/>
    <cellStyle name="Separador de milhares 7 6 23 2" xfId="23202" xr:uid="{00000000-0005-0000-0000-0000FA640000}"/>
    <cellStyle name="Separador de milhares 7 6 23 2 2" xfId="32029" xr:uid="{009AA74A-9012-4269-A60D-A5538D2A8FB8}"/>
    <cellStyle name="Separador de milhares 7 6 23 3" xfId="32028" xr:uid="{8764B49C-3D9C-4C8E-A3CC-1224D6DC5B31}"/>
    <cellStyle name="Separador de milhares 7 6 24" xfId="23203" xr:uid="{00000000-0005-0000-0000-0000FB640000}"/>
    <cellStyle name="Separador de milhares 7 6 24 2" xfId="23204" xr:uid="{00000000-0005-0000-0000-0000FC640000}"/>
    <cellStyle name="Separador de milhares 7 6 24 2 2" xfId="32031" xr:uid="{A140C999-4265-49F0-A490-67C05D1F93DF}"/>
    <cellStyle name="Separador de milhares 7 6 24 3" xfId="32030" xr:uid="{CE2C5FE9-8F09-47DE-A1AD-5D3E2BB71633}"/>
    <cellStyle name="Separador de milhares 7 6 25" xfId="23205" xr:uid="{00000000-0005-0000-0000-0000FD640000}"/>
    <cellStyle name="Separador de milhares 7 6 25 2" xfId="23206" xr:uid="{00000000-0005-0000-0000-0000FE640000}"/>
    <cellStyle name="Separador de milhares 7 6 25 2 2" xfId="32033" xr:uid="{7BF79113-D828-4377-BFDC-3B5A713FA96E}"/>
    <cellStyle name="Separador de milhares 7 6 25 3" xfId="32032" xr:uid="{4F5366D1-8E28-4A9C-8514-B0683B05C9CE}"/>
    <cellStyle name="Separador de milhares 7 6 26" xfId="23207" xr:uid="{00000000-0005-0000-0000-0000FF640000}"/>
    <cellStyle name="Separador de milhares 7 6 26 2" xfId="23208" xr:uid="{00000000-0005-0000-0000-000000650000}"/>
    <cellStyle name="Separador de milhares 7 6 26 2 2" xfId="32035" xr:uid="{82F800BB-97E0-4DB2-B2CD-ED7211402BF7}"/>
    <cellStyle name="Separador de milhares 7 6 26 3" xfId="32034" xr:uid="{D9CBD0FB-FB9D-4772-AF4E-F8390A7F547D}"/>
    <cellStyle name="Separador de milhares 7 6 27" xfId="23209" xr:uid="{00000000-0005-0000-0000-000001650000}"/>
    <cellStyle name="Separador de milhares 7 6 27 2" xfId="23210" xr:uid="{00000000-0005-0000-0000-000002650000}"/>
    <cellStyle name="Separador de milhares 7 6 27 2 2" xfId="32037" xr:uid="{94A646C0-034A-4993-9329-BB78BD926DD5}"/>
    <cellStyle name="Separador de milhares 7 6 27 3" xfId="32036" xr:uid="{AC7B4D6E-BC55-4CDF-AE51-F76B54CBC44F}"/>
    <cellStyle name="Separador de milhares 7 6 28" xfId="23211" xr:uid="{00000000-0005-0000-0000-000003650000}"/>
    <cellStyle name="Separador de milhares 7 6 28 2" xfId="23212" xr:uid="{00000000-0005-0000-0000-000004650000}"/>
    <cellStyle name="Separador de milhares 7 6 28 2 2" xfId="32039" xr:uid="{E91A8B1E-89D9-4551-A797-A8D6CFA75515}"/>
    <cellStyle name="Separador de milhares 7 6 28 3" xfId="32038" xr:uid="{0BD49AB9-C3C5-4E17-A1E6-21C095BEA2CF}"/>
    <cellStyle name="Separador de milhares 7 6 29" xfId="23213" xr:uid="{00000000-0005-0000-0000-000005650000}"/>
    <cellStyle name="Separador de milhares 7 6 29 2" xfId="23214" xr:uid="{00000000-0005-0000-0000-000006650000}"/>
    <cellStyle name="Separador de milhares 7 6 29 2 2" xfId="32041" xr:uid="{75076BE9-97F8-4A35-9699-C9D717FE9D19}"/>
    <cellStyle name="Separador de milhares 7 6 29 3" xfId="32040" xr:uid="{2F362BEA-B43F-4D63-858C-D4D60FFDB2B3}"/>
    <cellStyle name="Separador de milhares 7 6 3" xfId="23215" xr:uid="{00000000-0005-0000-0000-000007650000}"/>
    <cellStyle name="Separador de milhares 7 6 3 10" xfId="23216" xr:uid="{00000000-0005-0000-0000-000008650000}"/>
    <cellStyle name="Separador de milhares 7 6 3 10 2" xfId="23217" xr:uid="{00000000-0005-0000-0000-000009650000}"/>
    <cellStyle name="Separador de milhares 7 6 3 10 2 2" xfId="32044" xr:uid="{705D1D55-4038-4109-ACA3-4E4B2B6F3EFE}"/>
    <cellStyle name="Separador de milhares 7 6 3 10 3" xfId="32043" xr:uid="{111ACC8E-D428-4043-B7F0-D890E4C1F6A0}"/>
    <cellStyle name="Separador de milhares 7 6 3 11" xfId="23218" xr:uid="{00000000-0005-0000-0000-00000A650000}"/>
    <cellStyle name="Separador de milhares 7 6 3 11 2" xfId="23219" xr:uid="{00000000-0005-0000-0000-00000B650000}"/>
    <cellStyle name="Separador de milhares 7 6 3 11 2 2" xfId="32046" xr:uid="{DE7A10D8-80FC-49B6-B84C-6B12929A2C41}"/>
    <cellStyle name="Separador de milhares 7 6 3 11 3" xfId="32045" xr:uid="{92C25E8A-2F1D-42CF-9021-BD256CFF2F62}"/>
    <cellStyle name="Separador de milhares 7 6 3 12" xfId="23220" xr:uid="{00000000-0005-0000-0000-00000C650000}"/>
    <cellStyle name="Separador de milhares 7 6 3 12 2" xfId="23221" xr:uid="{00000000-0005-0000-0000-00000D650000}"/>
    <cellStyle name="Separador de milhares 7 6 3 12 2 2" xfId="32048" xr:uid="{5FD77F53-03B6-4C52-9C4F-A7E3C7A13F7B}"/>
    <cellStyle name="Separador de milhares 7 6 3 12 3" xfId="32047" xr:uid="{42A8B1D7-D2BB-4598-94B1-92CB98958D99}"/>
    <cellStyle name="Separador de milhares 7 6 3 13" xfId="23222" xr:uid="{00000000-0005-0000-0000-00000E650000}"/>
    <cellStyle name="Separador de milhares 7 6 3 13 2" xfId="23223" xr:uid="{00000000-0005-0000-0000-00000F650000}"/>
    <cellStyle name="Separador de milhares 7 6 3 13 2 2" xfId="32050" xr:uid="{6B1BA5AF-F33B-4BAA-98B4-7D8927788CE5}"/>
    <cellStyle name="Separador de milhares 7 6 3 13 3" xfId="32049" xr:uid="{2844FFA6-82B9-4D08-8F44-3C312F292EF1}"/>
    <cellStyle name="Separador de milhares 7 6 3 14" xfId="23224" xr:uid="{00000000-0005-0000-0000-000010650000}"/>
    <cellStyle name="Separador de milhares 7 6 3 14 2" xfId="23225" xr:uid="{00000000-0005-0000-0000-000011650000}"/>
    <cellStyle name="Separador de milhares 7 6 3 14 2 2" xfId="32052" xr:uid="{6FEAEC5B-3DF6-48BC-8286-629654A58300}"/>
    <cellStyle name="Separador de milhares 7 6 3 14 3" xfId="32051" xr:uid="{B01BD651-37C1-421E-9565-9A6CADC3E725}"/>
    <cellStyle name="Separador de milhares 7 6 3 15" xfId="23226" xr:uid="{00000000-0005-0000-0000-000012650000}"/>
    <cellStyle name="Separador de milhares 7 6 3 15 2" xfId="23227" xr:uid="{00000000-0005-0000-0000-000013650000}"/>
    <cellStyle name="Separador de milhares 7 6 3 15 2 2" xfId="32054" xr:uid="{1313ABB7-35CC-4E88-B18B-D3D5E52D239E}"/>
    <cellStyle name="Separador de milhares 7 6 3 15 3" xfId="32053" xr:uid="{8914FCF4-2ED3-491B-9E1D-D6E222C00589}"/>
    <cellStyle name="Separador de milhares 7 6 3 16" xfId="23228" xr:uid="{00000000-0005-0000-0000-000014650000}"/>
    <cellStyle name="Separador de milhares 7 6 3 16 2" xfId="23229" xr:uid="{00000000-0005-0000-0000-000015650000}"/>
    <cellStyle name="Separador de milhares 7 6 3 16 2 2" xfId="32056" xr:uid="{F13EBD27-250D-47AE-8ED7-A33814A0A2A4}"/>
    <cellStyle name="Separador de milhares 7 6 3 16 3" xfId="32055" xr:uid="{099C808A-4619-409A-94DF-AABDC94D6E60}"/>
    <cellStyle name="Separador de milhares 7 6 3 17" xfId="23230" xr:uid="{00000000-0005-0000-0000-000016650000}"/>
    <cellStyle name="Separador de milhares 7 6 3 17 2" xfId="23231" xr:uid="{00000000-0005-0000-0000-000017650000}"/>
    <cellStyle name="Separador de milhares 7 6 3 17 2 2" xfId="32058" xr:uid="{B226CF53-C7BA-4872-9E63-04E38227B819}"/>
    <cellStyle name="Separador de milhares 7 6 3 17 3" xfId="32057" xr:uid="{0B045E50-53A6-42A2-9F39-D9F10CDA0FE9}"/>
    <cellStyle name="Separador de milhares 7 6 3 18" xfId="23232" xr:uid="{00000000-0005-0000-0000-000018650000}"/>
    <cellStyle name="Separador de milhares 7 6 3 18 2" xfId="23233" xr:uid="{00000000-0005-0000-0000-000019650000}"/>
    <cellStyle name="Separador de milhares 7 6 3 18 2 2" xfId="32060" xr:uid="{A96AF87A-E21C-4A15-B9E0-AA1AF7DACCA7}"/>
    <cellStyle name="Separador de milhares 7 6 3 18 3" xfId="32059" xr:uid="{808F4E07-F05F-471F-9577-E9DAC8835A02}"/>
    <cellStyle name="Separador de milhares 7 6 3 19" xfId="23234" xr:uid="{00000000-0005-0000-0000-00001A650000}"/>
    <cellStyle name="Separador de milhares 7 6 3 19 2" xfId="23235" xr:uid="{00000000-0005-0000-0000-00001B650000}"/>
    <cellStyle name="Separador de milhares 7 6 3 19 2 2" xfId="32062" xr:uid="{B5392C8E-8821-4D28-92FE-D3F9BD872CD7}"/>
    <cellStyle name="Separador de milhares 7 6 3 19 3" xfId="32061" xr:uid="{A48D38EB-5BCD-4970-8961-10B0B3C293C3}"/>
    <cellStyle name="Separador de milhares 7 6 3 2" xfId="23236" xr:uid="{00000000-0005-0000-0000-00001C650000}"/>
    <cellStyle name="Separador de milhares 7 6 3 2 2" xfId="23237" xr:uid="{00000000-0005-0000-0000-00001D650000}"/>
    <cellStyle name="Separador de milhares 7 6 3 2 2 2" xfId="32064" xr:uid="{89C90F6F-C3CF-4E61-AD0E-7D8F45529046}"/>
    <cellStyle name="Separador de milhares 7 6 3 2 3" xfId="32063" xr:uid="{EB5CF2A5-2396-4C1E-AAF7-A594E577AE52}"/>
    <cellStyle name="Separador de milhares 7 6 3 20" xfId="23238" xr:uid="{00000000-0005-0000-0000-00001E650000}"/>
    <cellStyle name="Separador de milhares 7 6 3 20 2" xfId="23239" xr:uid="{00000000-0005-0000-0000-00001F650000}"/>
    <cellStyle name="Separador de milhares 7 6 3 20 2 2" xfId="32066" xr:uid="{8C16CA4A-982A-411E-A4F0-565FD368EB5D}"/>
    <cellStyle name="Separador de milhares 7 6 3 20 3" xfId="32065" xr:uid="{FE316F63-8055-4E0F-870E-DD0FBE0B26DF}"/>
    <cellStyle name="Separador de milhares 7 6 3 21" xfId="23240" xr:uid="{00000000-0005-0000-0000-000020650000}"/>
    <cellStyle name="Separador de milhares 7 6 3 21 2" xfId="23241" xr:uid="{00000000-0005-0000-0000-000021650000}"/>
    <cellStyle name="Separador de milhares 7 6 3 21 2 2" xfId="32068" xr:uid="{90705686-6840-4749-BD5D-33F09D6E309F}"/>
    <cellStyle name="Separador de milhares 7 6 3 21 3" xfId="32067" xr:uid="{BBE17070-F34C-45AB-A42B-303F3996196A}"/>
    <cellStyle name="Separador de milhares 7 6 3 22" xfId="23242" xr:uid="{00000000-0005-0000-0000-000022650000}"/>
    <cellStyle name="Separador de milhares 7 6 3 22 2" xfId="23243" xr:uid="{00000000-0005-0000-0000-000023650000}"/>
    <cellStyle name="Separador de milhares 7 6 3 22 2 2" xfId="32070" xr:uid="{A418C736-4E9E-4C13-BF0E-6FB3EB22C8C8}"/>
    <cellStyle name="Separador de milhares 7 6 3 22 3" xfId="32069" xr:uid="{76C07C81-3A04-4DC4-B77B-9BA5C4FF47B4}"/>
    <cellStyle name="Separador de milhares 7 6 3 23" xfId="23244" xr:uid="{00000000-0005-0000-0000-000024650000}"/>
    <cellStyle name="Separador de milhares 7 6 3 23 2" xfId="23245" xr:uid="{00000000-0005-0000-0000-000025650000}"/>
    <cellStyle name="Separador de milhares 7 6 3 23 2 2" xfId="32072" xr:uid="{AF31FFDF-8912-47B0-B00D-D14FCE9FB475}"/>
    <cellStyle name="Separador de milhares 7 6 3 23 3" xfId="32071" xr:uid="{37AC97E4-90E1-4D03-B074-EE343A903A5C}"/>
    <cellStyle name="Separador de milhares 7 6 3 24" xfId="23246" xr:uid="{00000000-0005-0000-0000-000026650000}"/>
    <cellStyle name="Separador de milhares 7 6 3 24 2" xfId="23247" xr:uid="{00000000-0005-0000-0000-000027650000}"/>
    <cellStyle name="Separador de milhares 7 6 3 24 2 2" xfId="32074" xr:uid="{84CE12DC-2BA7-46D2-9B4B-3ACC383987AB}"/>
    <cellStyle name="Separador de milhares 7 6 3 24 3" xfId="32073" xr:uid="{ABC7E1F4-4851-4BE6-87AF-EF27943B2EC3}"/>
    <cellStyle name="Separador de milhares 7 6 3 25" xfId="23248" xr:uid="{00000000-0005-0000-0000-000028650000}"/>
    <cellStyle name="Separador de milhares 7 6 3 25 2" xfId="23249" xr:uid="{00000000-0005-0000-0000-000029650000}"/>
    <cellStyle name="Separador de milhares 7 6 3 25 2 2" xfId="32076" xr:uid="{41CBCA2B-FB47-4EB0-8921-6B1AEDFFFEAD}"/>
    <cellStyle name="Separador de milhares 7 6 3 25 3" xfId="32075" xr:uid="{E67D904A-0231-4C21-909E-CF00F91A6047}"/>
    <cellStyle name="Separador de milhares 7 6 3 26" xfId="23250" xr:uid="{00000000-0005-0000-0000-00002A650000}"/>
    <cellStyle name="Separador de milhares 7 6 3 26 2" xfId="23251" xr:uid="{00000000-0005-0000-0000-00002B650000}"/>
    <cellStyle name="Separador de milhares 7 6 3 26 2 2" xfId="32078" xr:uid="{4740AFC5-E1B2-424A-B8CA-3E4987645D1C}"/>
    <cellStyle name="Separador de milhares 7 6 3 26 3" xfId="32077" xr:uid="{03889509-DB96-4371-9C0A-E1CC453C6477}"/>
    <cellStyle name="Separador de milhares 7 6 3 27" xfId="23252" xr:uid="{00000000-0005-0000-0000-00002C650000}"/>
    <cellStyle name="Separador de milhares 7 6 3 27 2" xfId="23253" xr:uid="{00000000-0005-0000-0000-00002D650000}"/>
    <cellStyle name="Separador de milhares 7 6 3 27 2 2" xfId="32080" xr:uid="{1576C71C-4C0A-4782-8DC5-ECE516C328B6}"/>
    <cellStyle name="Separador de milhares 7 6 3 27 3" xfId="32079" xr:uid="{7D2EEA24-77AC-48E6-8492-DAC6D9813F04}"/>
    <cellStyle name="Separador de milhares 7 6 3 28" xfId="23254" xr:uid="{00000000-0005-0000-0000-00002E650000}"/>
    <cellStyle name="Separador de milhares 7 6 3 28 2" xfId="23255" xr:uid="{00000000-0005-0000-0000-00002F650000}"/>
    <cellStyle name="Separador de milhares 7 6 3 28 2 2" xfId="32082" xr:uid="{98E661FD-D947-4293-B4C9-C8816359C931}"/>
    <cellStyle name="Separador de milhares 7 6 3 28 3" xfId="32081" xr:uid="{041FE4CF-261C-47E9-8BD5-3A046091637F}"/>
    <cellStyle name="Separador de milhares 7 6 3 29" xfId="23256" xr:uid="{00000000-0005-0000-0000-000030650000}"/>
    <cellStyle name="Separador de milhares 7 6 3 29 2" xfId="23257" xr:uid="{00000000-0005-0000-0000-000031650000}"/>
    <cellStyle name="Separador de milhares 7 6 3 29 2 2" xfId="32084" xr:uid="{1FADC232-A1C7-47AC-A475-304A912DB2EA}"/>
    <cellStyle name="Separador de milhares 7 6 3 29 3" xfId="32083" xr:uid="{A91D7F07-5B99-4343-8E7E-EAA933B659F0}"/>
    <cellStyle name="Separador de milhares 7 6 3 3" xfId="23258" xr:uid="{00000000-0005-0000-0000-000032650000}"/>
    <cellStyle name="Separador de milhares 7 6 3 3 2" xfId="23259" xr:uid="{00000000-0005-0000-0000-000033650000}"/>
    <cellStyle name="Separador de milhares 7 6 3 3 2 2" xfId="32086" xr:uid="{F2579089-C2A0-4E69-9A00-8E4A1C0D4CF3}"/>
    <cellStyle name="Separador de milhares 7 6 3 3 3" xfId="32085" xr:uid="{1E533154-D6A8-4D36-97E8-A74884408D0B}"/>
    <cellStyle name="Separador de milhares 7 6 3 30" xfId="23260" xr:uid="{00000000-0005-0000-0000-000034650000}"/>
    <cellStyle name="Separador de milhares 7 6 3 30 2" xfId="23261" xr:uid="{00000000-0005-0000-0000-000035650000}"/>
    <cellStyle name="Separador de milhares 7 6 3 30 2 2" xfId="32088" xr:uid="{7C5EB5C4-2D53-4B59-A0EF-3A7CA3020BD2}"/>
    <cellStyle name="Separador de milhares 7 6 3 30 3" xfId="32087" xr:uid="{4D065698-6F95-4335-8FEA-F8BC4AA9BC51}"/>
    <cellStyle name="Separador de milhares 7 6 3 31" xfId="23262" xr:uid="{00000000-0005-0000-0000-000036650000}"/>
    <cellStyle name="Separador de milhares 7 6 3 31 2" xfId="23263" xr:uid="{00000000-0005-0000-0000-000037650000}"/>
    <cellStyle name="Separador de milhares 7 6 3 31 2 2" xfId="32090" xr:uid="{3F1BF67B-81DC-49FC-BD9F-75FBF4112788}"/>
    <cellStyle name="Separador de milhares 7 6 3 31 3" xfId="32089" xr:uid="{77BBF2CA-8A97-4EC4-80D1-6399776CF654}"/>
    <cellStyle name="Separador de milhares 7 6 3 32" xfId="23264" xr:uid="{00000000-0005-0000-0000-000038650000}"/>
    <cellStyle name="Separador de milhares 7 6 3 32 2" xfId="23265" xr:uid="{00000000-0005-0000-0000-000039650000}"/>
    <cellStyle name="Separador de milhares 7 6 3 32 2 2" xfId="32092" xr:uid="{7FF375A3-0A85-42DA-B55E-7DFB024960D0}"/>
    <cellStyle name="Separador de milhares 7 6 3 32 3" xfId="32091" xr:uid="{1F4A362F-3605-4571-9FC0-F4A8D881FEDD}"/>
    <cellStyle name="Separador de milhares 7 6 3 33" xfId="23266" xr:uid="{00000000-0005-0000-0000-00003A650000}"/>
    <cellStyle name="Separador de milhares 7 6 3 33 2" xfId="23267" xr:uid="{00000000-0005-0000-0000-00003B650000}"/>
    <cellStyle name="Separador de milhares 7 6 3 33 2 2" xfId="32094" xr:uid="{C93ADB4F-EF13-49EF-928B-CED1F6B28321}"/>
    <cellStyle name="Separador de milhares 7 6 3 33 3" xfId="32093" xr:uid="{19925FDA-233C-4A93-B1BB-C50FEDD5B2B8}"/>
    <cellStyle name="Separador de milhares 7 6 3 34" xfId="23268" xr:uid="{00000000-0005-0000-0000-00003C650000}"/>
    <cellStyle name="Separador de milhares 7 6 3 34 2" xfId="23269" xr:uid="{00000000-0005-0000-0000-00003D650000}"/>
    <cellStyle name="Separador de milhares 7 6 3 34 2 2" xfId="32096" xr:uid="{5C84C201-4234-4F07-88B9-4B9FA3F04911}"/>
    <cellStyle name="Separador de milhares 7 6 3 34 3" xfId="32095" xr:uid="{F84D2444-08AB-447B-9D4B-CA8F825D32DB}"/>
    <cellStyle name="Separador de milhares 7 6 3 35" xfId="23270" xr:uid="{00000000-0005-0000-0000-00003E650000}"/>
    <cellStyle name="Separador de milhares 7 6 3 35 2" xfId="32097" xr:uid="{9A738D42-F27B-4753-88B0-0E77E2CABBFE}"/>
    <cellStyle name="Separador de milhares 7 6 3 36" xfId="32042" xr:uid="{CC215435-A618-49BB-B5D4-D6DCC66B6635}"/>
    <cellStyle name="Separador de milhares 7 6 3 4" xfId="23271" xr:uid="{00000000-0005-0000-0000-00003F650000}"/>
    <cellStyle name="Separador de milhares 7 6 3 4 2" xfId="23272" xr:uid="{00000000-0005-0000-0000-000040650000}"/>
    <cellStyle name="Separador de milhares 7 6 3 4 2 2" xfId="32099" xr:uid="{07F2A2E3-234D-4ABE-8AE9-093B4717A28F}"/>
    <cellStyle name="Separador de milhares 7 6 3 4 3" xfId="32098" xr:uid="{055276D7-4236-4D20-8255-A7C8656A8DBA}"/>
    <cellStyle name="Separador de milhares 7 6 3 5" xfId="23273" xr:uid="{00000000-0005-0000-0000-000041650000}"/>
    <cellStyle name="Separador de milhares 7 6 3 5 2" xfId="23274" xr:uid="{00000000-0005-0000-0000-000042650000}"/>
    <cellStyle name="Separador de milhares 7 6 3 5 2 2" xfId="32101" xr:uid="{AF4A3A68-3460-4093-A344-CCC285B1B1CD}"/>
    <cellStyle name="Separador de milhares 7 6 3 5 3" xfId="32100" xr:uid="{78813ADE-F0D1-4925-B75B-20932FDC0B6A}"/>
    <cellStyle name="Separador de milhares 7 6 3 6" xfId="23275" xr:uid="{00000000-0005-0000-0000-000043650000}"/>
    <cellStyle name="Separador de milhares 7 6 3 6 2" xfId="23276" xr:uid="{00000000-0005-0000-0000-000044650000}"/>
    <cellStyle name="Separador de milhares 7 6 3 6 2 2" xfId="32103" xr:uid="{3A392BE1-ACAA-4EFB-9DC2-C655EF173563}"/>
    <cellStyle name="Separador de milhares 7 6 3 6 3" xfId="32102" xr:uid="{4F18A1D6-79B4-4D47-B1B1-E066C9BFF224}"/>
    <cellStyle name="Separador de milhares 7 6 3 7" xfId="23277" xr:uid="{00000000-0005-0000-0000-000045650000}"/>
    <cellStyle name="Separador de milhares 7 6 3 7 2" xfId="23278" xr:uid="{00000000-0005-0000-0000-000046650000}"/>
    <cellStyle name="Separador de milhares 7 6 3 7 2 2" xfId="32105" xr:uid="{15D6FCE6-75FA-47A4-9280-16A0F8512251}"/>
    <cellStyle name="Separador de milhares 7 6 3 7 3" xfId="32104" xr:uid="{AD14B8FF-0744-4736-9D84-056628C41946}"/>
    <cellStyle name="Separador de milhares 7 6 3 8" xfId="23279" xr:uid="{00000000-0005-0000-0000-000047650000}"/>
    <cellStyle name="Separador de milhares 7 6 3 8 2" xfId="23280" xr:uid="{00000000-0005-0000-0000-000048650000}"/>
    <cellStyle name="Separador de milhares 7 6 3 8 2 2" xfId="32107" xr:uid="{1E2054A8-2D1E-4FA1-963A-B7ECC996BCFB}"/>
    <cellStyle name="Separador de milhares 7 6 3 8 3" xfId="32106" xr:uid="{10643FD7-CE05-426E-B9C3-717A966B89BF}"/>
    <cellStyle name="Separador de milhares 7 6 3 9" xfId="23281" xr:uid="{00000000-0005-0000-0000-000049650000}"/>
    <cellStyle name="Separador de milhares 7 6 3 9 2" xfId="23282" xr:uid="{00000000-0005-0000-0000-00004A650000}"/>
    <cellStyle name="Separador de milhares 7 6 3 9 2 2" xfId="32109" xr:uid="{59B04AD3-7928-4B27-A99D-E010611B92E4}"/>
    <cellStyle name="Separador de milhares 7 6 3 9 3" xfId="32108" xr:uid="{9EE02D83-27DA-4963-807B-868F31F9E4DD}"/>
    <cellStyle name="Separador de milhares 7 6 30" xfId="23283" xr:uid="{00000000-0005-0000-0000-00004B650000}"/>
    <cellStyle name="Separador de milhares 7 6 30 2" xfId="23284" xr:uid="{00000000-0005-0000-0000-00004C650000}"/>
    <cellStyle name="Separador de milhares 7 6 30 2 2" xfId="32111" xr:uid="{D04D554F-45CD-4725-B030-1D129D0089C5}"/>
    <cellStyle name="Separador de milhares 7 6 30 3" xfId="32110" xr:uid="{776A01FF-EA20-44B3-9EE3-06BE40A23D31}"/>
    <cellStyle name="Separador de milhares 7 6 31" xfId="23285" xr:uid="{00000000-0005-0000-0000-00004D650000}"/>
    <cellStyle name="Separador de milhares 7 6 31 2" xfId="23286" xr:uid="{00000000-0005-0000-0000-00004E650000}"/>
    <cellStyle name="Separador de milhares 7 6 31 2 2" xfId="32113" xr:uid="{2A9D0B0F-8EBA-4C1A-B245-3B0B717A698D}"/>
    <cellStyle name="Separador de milhares 7 6 31 3" xfId="32112" xr:uid="{7E4AA84B-48C1-4859-820C-E4ACD1306C08}"/>
    <cellStyle name="Separador de milhares 7 6 32" xfId="23287" xr:uid="{00000000-0005-0000-0000-00004F650000}"/>
    <cellStyle name="Separador de milhares 7 6 32 2" xfId="23288" xr:uid="{00000000-0005-0000-0000-000050650000}"/>
    <cellStyle name="Separador de milhares 7 6 32 2 2" xfId="32115" xr:uid="{28F77896-38BC-4A4E-BF74-D429BDE5397D}"/>
    <cellStyle name="Separador de milhares 7 6 32 3" xfId="32114" xr:uid="{E5554D58-8223-4DA3-9BBF-8D2BADEF1A25}"/>
    <cellStyle name="Separador de milhares 7 6 33" xfId="23289" xr:uid="{00000000-0005-0000-0000-000051650000}"/>
    <cellStyle name="Separador de milhares 7 6 33 2" xfId="23290" xr:uid="{00000000-0005-0000-0000-000052650000}"/>
    <cellStyle name="Separador de milhares 7 6 33 2 2" xfId="32117" xr:uid="{8933129F-E104-4934-8810-52BB67768995}"/>
    <cellStyle name="Separador de milhares 7 6 33 3" xfId="32116" xr:uid="{07A1E29B-9364-4809-97F3-648CE0CB5B3E}"/>
    <cellStyle name="Separador de milhares 7 6 34" xfId="23291" xr:uid="{00000000-0005-0000-0000-000053650000}"/>
    <cellStyle name="Separador de milhares 7 6 34 2" xfId="23292" xr:uid="{00000000-0005-0000-0000-000054650000}"/>
    <cellStyle name="Separador de milhares 7 6 34 2 2" xfId="32119" xr:uid="{CC553074-B327-4DFC-A8B0-41CB4689445C}"/>
    <cellStyle name="Separador de milhares 7 6 34 3" xfId="32118" xr:uid="{8F31F328-9DFF-4557-96AF-F73BE05DBCA8}"/>
    <cellStyle name="Separador de milhares 7 6 35" xfId="23293" xr:uid="{00000000-0005-0000-0000-000055650000}"/>
    <cellStyle name="Separador de milhares 7 6 35 2" xfId="23294" xr:uid="{00000000-0005-0000-0000-000056650000}"/>
    <cellStyle name="Separador de milhares 7 6 35 2 2" xfId="32121" xr:uid="{B88F8FF5-BB7A-4D79-BD95-A28DF0DE30E5}"/>
    <cellStyle name="Separador de milhares 7 6 35 3" xfId="32120" xr:uid="{DD665B9E-2655-429F-8B28-40E50AF6CDA3}"/>
    <cellStyle name="Separador de milhares 7 6 36" xfId="23295" xr:uid="{00000000-0005-0000-0000-000057650000}"/>
    <cellStyle name="Separador de milhares 7 6 36 2" xfId="23296" xr:uid="{00000000-0005-0000-0000-000058650000}"/>
    <cellStyle name="Separador de milhares 7 6 36 2 2" xfId="32123" xr:uid="{4574ED1F-1525-4698-B381-F1E7F7FFB345}"/>
    <cellStyle name="Separador de milhares 7 6 36 3" xfId="32122" xr:uid="{99BC1BAD-51BA-4D96-9AA6-48BC02159BA4}"/>
    <cellStyle name="Separador de milhares 7 6 37" xfId="23297" xr:uid="{00000000-0005-0000-0000-000059650000}"/>
    <cellStyle name="Separador de milhares 7 6 37 2" xfId="23298" xr:uid="{00000000-0005-0000-0000-00005A650000}"/>
    <cellStyle name="Separador de milhares 7 6 37 2 2" xfId="32125" xr:uid="{ED6730E7-8B61-4B94-9D54-7641AA83603C}"/>
    <cellStyle name="Separador de milhares 7 6 37 3" xfId="32124" xr:uid="{95FF1DA1-07CB-47F3-93F6-0853EBF6C7F2}"/>
    <cellStyle name="Separador de milhares 7 6 38" xfId="23299" xr:uid="{00000000-0005-0000-0000-00005B650000}"/>
    <cellStyle name="Separador de milhares 7 6 38 2" xfId="23300" xr:uid="{00000000-0005-0000-0000-00005C650000}"/>
    <cellStyle name="Separador de milhares 7 6 38 2 2" xfId="32127" xr:uid="{CD98E8FA-4012-49C5-B56C-1467A089E8F1}"/>
    <cellStyle name="Separador de milhares 7 6 38 3" xfId="32126" xr:uid="{5F201E71-97AF-4F81-983D-D52394867348}"/>
    <cellStyle name="Separador de milhares 7 6 39" xfId="23301" xr:uid="{00000000-0005-0000-0000-00005D650000}"/>
    <cellStyle name="Separador de milhares 7 6 39 2" xfId="23302" xr:uid="{00000000-0005-0000-0000-00005E650000}"/>
    <cellStyle name="Separador de milhares 7 6 39 2 2" xfId="32129" xr:uid="{ACE58706-55BB-457F-9330-22E776A624D1}"/>
    <cellStyle name="Separador de milhares 7 6 39 3" xfId="32128" xr:uid="{7A23009B-D662-4887-8B9F-2D3BAEF9389E}"/>
    <cellStyle name="Separador de milhares 7 6 4" xfId="23303" xr:uid="{00000000-0005-0000-0000-00005F650000}"/>
    <cellStyle name="Separador de milhares 7 6 4 2" xfId="23304" xr:uid="{00000000-0005-0000-0000-000060650000}"/>
    <cellStyle name="Separador de milhares 7 6 4 2 2" xfId="23305" xr:uid="{00000000-0005-0000-0000-000061650000}"/>
    <cellStyle name="Separador de milhares 7 6 4 2 2 2" xfId="32132" xr:uid="{09984B8F-5733-4D96-922E-1BD0E380DD5A}"/>
    <cellStyle name="Separador de milhares 7 6 4 2 3" xfId="32131" xr:uid="{D8C50509-CC87-4288-B49A-248D8E0CEA4A}"/>
    <cellStyle name="Separador de milhares 7 6 4 3" xfId="23306" xr:uid="{00000000-0005-0000-0000-000062650000}"/>
    <cellStyle name="Separador de milhares 7 6 4 3 2" xfId="23307" xr:uid="{00000000-0005-0000-0000-000063650000}"/>
    <cellStyle name="Separador de milhares 7 6 4 3 2 2" xfId="32134" xr:uid="{0EA54C76-DB68-48A1-8188-21EE58469AE2}"/>
    <cellStyle name="Separador de milhares 7 6 4 3 3" xfId="32133" xr:uid="{0A9596DE-8FB1-4001-9517-29E67F58BF90}"/>
    <cellStyle name="Separador de milhares 7 6 4 4" xfId="23308" xr:uid="{00000000-0005-0000-0000-000064650000}"/>
    <cellStyle name="Separador de milhares 7 6 4 4 2" xfId="23309" xr:uid="{00000000-0005-0000-0000-000065650000}"/>
    <cellStyle name="Separador de milhares 7 6 4 4 2 2" xfId="32136" xr:uid="{1886AE73-5AD7-4CA5-9156-F2D428D9A116}"/>
    <cellStyle name="Separador de milhares 7 6 4 4 3" xfId="32135" xr:uid="{2A8612AE-D794-4268-9ECB-159F06298897}"/>
    <cellStyle name="Separador de milhares 7 6 4 5" xfId="23310" xr:uid="{00000000-0005-0000-0000-000066650000}"/>
    <cellStyle name="Separador de milhares 7 6 4 5 2" xfId="23311" xr:uid="{00000000-0005-0000-0000-000067650000}"/>
    <cellStyle name="Separador de milhares 7 6 4 5 2 2" xfId="32138" xr:uid="{60CA0991-FD39-45AF-B6F6-54B6D9C9B074}"/>
    <cellStyle name="Separador de milhares 7 6 4 5 3" xfId="32137" xr:uid="{2C2931CD-A649-4930-BC3F-02D0C4F3A992}"/>
    <cellStyle name="Separador de milhares 7 6 4 6" xfId="23312" xr:uid="{00000000-0005-0000-0000-000068650000}"/>
    <cellStyle name="Separador de milhares 7 6 4 6 2" xfId="32139" xr:uid="{B0E25D88-9A05-420C-BEAC-35B570B8E0A7}"/>
    <cellStyle name="Separador de milhares 7 6 4 7" xfId="32130" xr:uid="{4C572327-9BD5-48CA-BF26-A14F3AD71C4B}"/>
    <cellStyle name="Separador de milhares 7 6 40" xfId="23313" xr:uid="{00000000-0005-0000-0000-000069650000}"/>
    <cellStyle name="Separador de milhares 7 6 40 2" xfId="23314" xr:uid="{00000000-0005-0000-0000-00006A650000}"/>
    <cellStyle name="Separador de milhares 7 6 40 2 2" xfId="32141" xr:uid="{5C90FA4C-00A3-4720-B817-24A341B9A9CE}"/>
    <cellStyle name="Separador de milhares 7 6 40 3" xfId="32140" xr:uid="{57AC60CF-ACE3-43B1-978E-007BA11AFB88}"/>
    <cellStyle name="Separador de milhares 7 6 41" xfId="23315" xr:uid="{00000000-0005-0000-0000-00006B650000}"/>
    <cellStyle name="Separador de milhares 7 6 41 2" xfId="23316" xr:uid="{00000000-0005-0000-0000-00006C650000}"/>
    <cellStyle name="Separador de milhares 7 6 41 2 2" xfId="32143" xr:uid="{05DEC723-8983-4ED4-9F7F-6CAF2864CF6B}"/>
    <cellStyle name="Separador de milhares 7 6 41 3" xfId="32142" xr:uid="{49205989-A0DD-4C1E-89D8-516061EC277D}"/>
    <cellStyle name="Separador de milhares 7 6 42" xfId="23317" xr:uid="{00000000-0005-0000-0000-00006D650000}"/>
    <cellStyle name="Separador de milhares 7 6 42 2" xfId="23318" xr:uid="{00000000-0005-0000-0000-00006E650000}"/>
    <cellStyle name="Separador de milhares 7 6 42 2 2" xfId="32145" xr:uid="{F7DF30A6-E897-467A-B72F-94442A4B73C8}"/>
    <cellStyle name="Separador de milhares 7 6 42 3" xfId="32144" xr:uid="{A0A5B303-F73D-48C6-A38C-78B188073792}"/>
    <cellStyle name="Separador de milhares 7 6 43" xfId="23319" xr:uid="{00000000-0005-0000-0000-00006F650000}"/>
    <cellStyle name="Separador de milhares 7 6 43 2" xfId="23320" xr:uid="{00000000-0005-0000-0000-000070650000}"/>
    <cellStyle name="Separador de milhares 7 6 43 2 2" xfId="32147" xr:uid="{675030CC-F97B-4AC9-B74B-8FAA35B2AA58}"/>
    <cellStyle name="Separador de milhares 7 6 43 3" xfId="32146" xr:uid="{0E2D28ED-2558-4297-9B9F-81B35E25F6DB}"/>
    <cellStyle name="Separador de milhares 7 6 44" xfId="23321" xr:uid="{00000000-0005-0000-0000-000071650000}"/>
    <cellStyle name="Separador de milhares 7 6 44 2" xfId="23322" xr:uid="{00000000-0005-0000-0000-000072650000}"/>
    <cellStyle name="Separador de milhares 7 6 44 2 2" xfId="32149" xr:uid="{19CF4AAF-3DF3-4F3E-A9F9-6D90AF6D4A16}"/>
    <cellStyle name="Separador de milhares 7 6 44 3" xfId="32148" xr:uid="{7548DC86-9B8A-4DE7-B8C7-A09B692DF0D2}"/>
    <cellStyle name="Separador de milhares 7 6 45" xfId="23323" xr:uid="{00000000-0005-0000-0000-000073650000}"/>
    <cellStyle name="Separador de milhares 7 6 45 2" xfId="23324" xr:uid="{00000000-0005-0000-0000-000074650000}"/>
    <cellStyle name="Separador de milhares 7 6 45 2 2" xfId="32151" xr:uid="{2CAA2F89-2D8B-4737-AF42-85315E87ACB9}"/>
    <cellStyle name="Separador de milhares 7 6 45 3" xfId="32150" xr:uid="{BCCABB22-4F2E-40DB-90E1-AB5907048DC6}"/>
    <cellStyle name="Separador de milhares 7 6 46" xfId="23325" xr:uid="{00000000-0005-0000-0000-000075650000}"/>
    <cellStyle name="Separador de milhares 7 6 46 2" xfId="23326" xr:uid="{00000000-0005-0000-0000-000076650000}"/>
    <cellStyle name="Separador de milhares 7 6 46 2 2" xfId="32153" xr:uid="{0E4012BC-AE3C-4638-889B-B8AF4BC348CC}"/>
    <cellStyle name="Separador de milhares 7 6 46 3" xfId="32152" xr:uid="{BFE47B18-9B5C-4445-A56E-7579C0C3F813}"/>
    <cellStyle name="Separador de milhares 7 6 47" xfId="23327" xr:uid="{00000000-0005-0000-0000-000077650000}"/>
    <cellStyle name="Separador de milhares 7 6 47 2" xfId="32154" xr:uid="{07160FA0-6E0F-470E-8F0A-3C952437A141}"/>
    <cellStyle name="Separador de milhares 7 6 48" xfId="23106" xr:uid="{00000000-0005-0000-0000-000078650000}"/>
    <cellStyle name="Separador de milhares 7 6 49" xfId="28087" xr:uid="{07211303-4702-4D2B-BE4B-17ECEA87B1C8}"/>
    <cellStyle name="Separador de milhares 7 6 5" xfId="23328" xr:uid="{00000000-0005-0000-0000-000079650000}"/>
    <cellStyle name="Separador de milhares 7 6 5 2" xfId="23329" xr:uid="{00000000-0005-0000-0000-00007A650000}"/>
    <cellStyle name="Separador de milhares 7 6 5 2 2" xfId="32156" xr:uid="{61D1B2BA-FEE7-4E3B-B829-A8C62DF1E3E4}"/>
    <cellStyle name="Separador de milhares 7 6 5 3" xfId="32155" xr:uid="{8E5D2E7F-FC49-431E-98C8-4EDE3B664BE2}"/>
    <cellStyle name="Separador de milhares 7 6 6" xfId="23330" xr:uid="{00000000-0005-0000-0000-00007B650000}"/>
    <cellStyle name="Separador de milhares 7 6 6 2" xfId="23331" xr:uid="{00000000-0005-0000-0000-00007C650000}"/>
    <cellStyle name="Separador de milhares 7 6 6 2 2" xfId="32158" xr:uid="{D884F11D-3AEE-4FF6-9AF2-D6316CD351CA}"/>
    <cellStyle name="Separador de milhares 7 6 6 3" xfId="32157" xr:uid="{05740866-4A3F-407B-AD4D-B31749EF7E33}"/>
    <cellStyle name="Separador de milhares 7 6 7" xfId="23332" xr:uid="{00000000-0005-0000-0000-00007D650000}"/>
    <cellStyle name="Separador de milhares 7 6 7 2" xfId="23333" xr:uid="{00000000-0005-0000-0000-00007E650000}"/>
    <cellStyle name="Separador de milhares 7 6 7 2 2" xfId="32160" xr:uid="{26F78F49-E9DA-41D0-AEFD-D4E8D430EFD4}"/>
    <cellStyle name="Separador de milhares 7 6 7 3" xfId="32159" xr:uid="{8DFC02BB-FD31-4217-B88F-7D4307C4A52B}"/>
    <cellStyle name="Separador de milhares 7 6 8" xfId="23334" xr:uid="{00000000-0005-0000-0000-00007F650000}"/>
    <cellStyle name="Separador de milhares 7 6 8 2" xfId="23335" xr:uid="{00000000-0005-0000-0000-000080650000}"/>
    <cellStyle name="Separador de milhares 7 6 8 2 2" xfId="32162" xr:uid="{730DF2F0-FD40-49DD-8EBB-E0113572852E}"/>
    <cellStyle name="Separador de milhares 7 6 8 3" xfId="32161" xr:uid="{08168D81-56FD-4933-83B2-26B1AEA994E6}"/>
    <cellStyle name="Separador de milhares 7 6 9" xfId="23336" xr:uid="{00000000-0005-0000-0000-000081650000}"/>
    <cellStyle name="Separador de milhares 7 6 9 2" xfId="23337" xr:uid="{00000000-0005-0000-0000-000082650000}"/>
    <cellStyle name="Separador de milhares 7 6 9 2 2" xfId="32164" xr:uid="{CBB25376-1BBC-4036-BFB4-5123D96907E3}"/>
    <cellStyle name="Separador de milhares 7 6 9 3" xfId="32163" xr:uid="{28AA0E8D-6546-4F41-8E65-B47C0EAF39C8}"/>
    <cellStyle name="Separador de milhares 7 7" xfId="856" xr:uid="{00000000-0005-0000-0000-000083650000}"/>
    <cellStyle name="Separador de milhares 7 7 10" xfId="23339" xr:uid="{00000000-0005-0000-0000-000084650000}"/>
    <cellStyle name="Separador de milhares 7 7 10 2" xfId="23340" xr:uid="{00000000-0005-0000-0000-000085650000}"/>
    <cellStyle name="Separador de milhares 7 7 10 2 2" xfId="32166" xr:uid="{4BFE9AEF-0BC4-4D1E-B150-39C7693F8765}"/>
    <cellStyle name="Separador de milhares 7 7 10 3" xfId="32165" xr:uid="{7A0922B4-3913-43BA-A486-73CBB1468274}"/>
    <cellStyle name="Separador de milhares 7 7 11" xfId="23341" xr:uid="{00000000-0005-0000-0000-000086650000}"/>
    <cellStyle name="Separador de milhares 7 7 11 2" xfId="23342" xr:uid="{00000000-0005-0000-0000-000087650000}"/>
    <cellStyle name="Separador de milhares 7 7 11 2 2" xfId="32168" xr:uid="{318FB751-E32B-4A7A-8B7E-9B56F9546246}"/>
    <cellStyle name="Separador de milhares 7 7 11 3" xfId="32167" xr:uid="{4319CB31-C96D-433C-ADFB-4A97643240BE}"/>
    <cellStyle name="Separador de milhares 7 7 12" xfId="23343" xr:uid="{00000000-0005-0000-0000-000088650000}"/>
    <cellStyle name="Separador de milhares 7 7 12 2" xfId="23344" xr:uid="{00000000-0005-0000-0000-000089650000}"/>
    <cellStyle name="Separador de milhares 7 7 12 2 2" xfId="32170" xr:uid="{4CFC6598-C1FF-43A5-ACC6-1C502ECB58C1}"/>
    <cellStyle name="Separador de milhares 7 7 12 3" xfId="32169" xr:uid="{91CB2ADF-76FE-412C-8777-E0383775F5C8}"/>
    <cellStyle name="Separador de milhares 7 7 13" xfId="23345" xr:uid="{00000000-0005-0000-0000-00008A650000}"/>
    <cellStyle name="Separador de milhares 7 7 13 2" xfId="23346" xr:uid="{00000000-0005-0000-0000-00008B650000}"/>
    <cellStyle name="Separador de milhares 7 7 13 2 2" xfId="32172" xr:uid="{B949BA67-261F-4B90-AFB1-5AA82D338326}"/>
    <cellStyle name="Separador de milhares 7 7 13 3" xfId="32171" xr:uid="{1A1F3321-23F9-433E-A589-756E9D63D244}"/>
    <cellStyle name="Separador de milhares 7 7 14" xfId="23347" xr:uid="{00000000-0005-0000-0000-00008C650000}"/>
    <cellStyle name="Separador de milhares 7 7 14 2" xfId="23348" xr:uid="{00000000-0005-0000-0000-00008D650000}"/>
    <cellStyle name="Separador de milhares 7 7 14 2 2" xfId="32174" xr:uid="{50DC5D32-3EE8-46F1-9DB9-D4D240C55F43}"/>
    <cellStyle name="Separador de milhares 7 7 14 3" xfId="32173" xr:uid="{1D3234B0-BA5F-4262-8EA1-548610CA3BE9}"/>
    <cellStyle name="Separador de milhares 7 7 15" xfId="23349" xr:uid="{00000000-0005-0000-0000-00008E650000}"/>
    <cellStyle name="Separador de milhares 7 7 15 2" xfId="23350" xr:uid="{00000000-0005-0000-0000-00008F650000}"/>
    <cellStyle name="Separador de milhares 7 7 15 2 2" xfId="32176" xr:uid="{B1866F8E-FB50-40DC-8240-6437F5E52801}"/>
    <cellStyle name="Separador de milhares 7 7 15 3" xfId="32175" xr:uid="{4ED57E2E-1443-481F-B13D-1605781988AB}"/>
    <cellStyle name="Separador de milhares 7 7 16" xfId="23351" xr:uid="{00000000-0005-0000-0000-000090650000}"/>
    <cellStyle name="Separador de milhares 7 7 16 2" xfId="23352" xr:uid="{00000000-0005-0000-0000-000091650000}"/>
    <cellStyle name="Separador de milhares 7 7 16 2 2" xfId="32178" xr:uid="{1C4CE5EA-4BCB-4376-AA0A-FDAA68816018}"/>
    <cellStyle name="Separador de milhares 7 7 16 3" xfId="32177" xr:uid="{34959DC7-9AED-4BBE-80D0-5ABBBBC73C4A}"/>
    <cellStyle name="Separador de milhares 7 7 17" xfId="23353" xr:uid="{00000000-0005-0000-0000-000092650000}"/>
    <cellStyle name="Separador de milhares 7 7 17 2" xfId="23354" xr:uid="{00000000-0005-0000-0000-000093650000}"/>
    <cellStyle name="Separador de milhares 7 7 17 2 2" xfId="32180" xr:uid="{F8FC7727-99FA-4F6D-8EE9-32FC93B0431C}"/>
    <cellStyle name="Separador de milhares 7 7 17 3" xfId="32179" xr:uid="{71799626-77A9-4F5C-A4E1-E81671D6DA5F}"/>
    <cellStyle name="Separador de milhares 7 7 18" xfId="23355" xr:uid="{00000000-0005-0000-0000-000094650000}"/>
    <cellStyle name="Separador de milhares 7 7 18 2" xfId="23356" xr:uid="{00000000-0005-0000-0000-000095650000}"/>
    <cellStyle name="Separador de milhares 7 7 18 2 2" xfId="32182" xr:uid="{6500BF18-5525-4619-AAC7-C928B05B7760}"/>
    <cellStyle name="Separador de milhares 7 7 18 3" xfId="32181" xr:uid="{F94F242B-B150-42AA-B9B8-CEB942EFB35B}"/>
    <cellStyle name="Separador de milhares 7 7 19" xfId="23357" xr:uid="{00000000-0005-0000-0000-000096650000}"/>
    <cellStyle name="Separador de milhares 7 7 19 2" xfId="23358" xr:uid="{00000000-0005-0000-0000-000097650000}"/>
    <cellStyle name="Separador de milhares 7 7 19 2 2" xfId="32184" xr:uid="{EBD66730-64EB-4197-97B2-2A3D61D6CF5E}"/>
    <cellStyle name="Separador de milhares 7 7 19 3" xfId="32183" xr:uid="{7F5508EA-CFD9-4442-9F93-6F288377CDD8}"/>
    <cellStyle name="Separador de milhares 7 7 2" xfId="23359" xr:uid="{00000000-0005-0000-0000-000098650000}"/>
    <cellStyle name="Separador de milhares 7 7 2 2" xfId="23360" xr:uid="{00000000-0005-0000-0000-000099650000}"/>
    <cellStyle name="Separador de milhares 7 7 2 2 2" xfId="23361" xr:uid="{00000000-0005-0000-0000-00009A650000}"/>
    <cellStyle name="Separador de milhares 7 7 2 2 2 2" xfId="32187" xr:uid="{92063D79-9558-4427-99FD-73417374E38C}"/>
    <cellStyle name="Separador de milhares 7 7 2 2 3" xfId="32186" xr:uid="{14F73428-60DB-4667-80D3-C60B3F76C698}"/>
    <cellStyle name="Separador de milhares 7 7 2 3" xfId="23362" xr:uid="{00000000-0005-0000-0000-00009B650000}"/>
    <cellStyle name="Separador de milhares 7 7 2 3 2" xfId="23363" xr:uid="{00000000-0005-0000-0000-00009C650000}"/>
    <cellStyle name="Separador de milhares 7 7 2 3 2 2" xfId="32189" xr:uid="{E79C2B45-4184-4131-99F0-45A9734595AB}"/>
    <cellStyle name="Separador de milhares 7 7 2 3 3" xfId="32188" xr:uid="{CF37BEBE-586B-4FCE-B4E6-492742D18F3D}"/>
    <cellStyle name="Separador de milhares 7 7 2 4" xfId="23364" xr:uid="{00000000-0005-0000-0000-00009D650000}"/>
    <cellStyle name="Separador de milhares 7 7 2 4 2" xfId="23365" xr:uid="{00000000-0005-0000-0000-00009E650000}"/>
    <cellStyle name="Separador de milhares 7 7 2 4 2 2" xfId="32191" xr:uid="{5E70A408-9D4C-49B4-AB6F-073B49E665FA}"/>
    <cellStyle name="Separador de milhares 7 7 2 4 3" xfId="32190" xr:uid="{B14344F8-6321-4F2B-A990-3929F432955D}"/>
    <cellStyle name="Separador de milhares 7 7 2 5" xfId="23366" xr:uid="{00000000-0005-0000-0000-00009F650000}"/>
    <cellStyle name="Separador de milhares 7 7 2 5 2" xfId="23367" xr:uid="{00000000-0005-0000-0000-0000A0650000}"/>
    <cellStyle name="Separador de milhares 7 7 2 5 2 2" xfId="32193" xr:uid="{1801CE76-B6DC-4155-B1FF-F92B13AE3F0E}"/>
    <cellStyle name="Separador de milhares 7 7 2 5 3" xfId="32192" xr:uid="{5CA6FC08-0051-487F-9775-198A14466EF2}"/>
    <cellStyle name="Separador de milhares 7 7 2 6" xfId="23368" xr:uid="{00000000-0005-0000-0000-0000A1650000}"/>
    <cellStyle name="Separador de milhares 7 7 2 6 2" xfId="32194" xr:uid="{4790061C-A885-4E1D-B194-7F13802D1A86}"/>
    <cellStyle name="Separador de milhares 7 7 2 7" xfId="32185" xr:uid="{C9756204-1FAA-457B-9412-D66AD374A941}"/>
    <cellStyle name="Separador de milhares 7 7 20" xfId="23369" xr:uid="{00000000-0005-0000-0000-0000A2650000}"/>
    <cellStyle name="Separador de milhares 7 7 20 2" xfId="23370" xr:uid="{00000000-0005-0000-0000-0000A3650000}"/>
    <cellStyle name="Separador de milhares 7 7 20 2 2" xfId="32196" xr:uid="{D3FAE98B-9878-4BB8-B6B4-8EE0522B16F3}"/>
    <cellStyle name="Separador de milhares 7 7 20 3" xfId="32195" xr:uid="{400F4044-E986-410B-83CD-0173B9AD3F81}"/>
    <cellStyle name="Separador de milhares 7 7 21" xfId="23371" xr:uid="{00000000-0005-0000-0000-0000A4650000}"/>
    <cellStyle name="Separador de milhares 7 7 21 2" xfId="23372" xr:uid="{00000000-0005-0000-0000-0000A5650000}"/>
    <cellStyle name="Separador de milhares 7 7 21 2 2" xfId="32198" xr:uid="{15A7E2FC-3005-43F7-8152-8889E670B23C}"/>
    <cellStyle name="Separador de milhares 7 7 21 3" xfId="32197" xr:uid="{937EF656-2EAF-4284-8D03-197A927329EE}"/>
    <cellStyle name="Separador de milhares 7 7 22" xfId="23373" xr:uid="{00000000-0005-0000-0000-0000A6650000}"/>
    <cellStyle name="Separador de milhares 7 7 22 2" xfId="23374" xr:uid="{00000000-0005-0000-0000-0000A7650000}"/>
    <cellStyle name="Separador de milhares 7 7 22 2 2" xfId="32200" xr:uid="{0754397F-47F4-4C68-903D-23035AF2B04B}"/>
    <cellStyle name="Separador de milhares 7 7 22 3" xfId="32199" xr:uid="{21F66199-3D6C-4817-AC6C-400FA915FE92}"/>
    <cellStyle name="Separador de milhares 7 7 23" xfId="23375" xr:uid="{00000000-0005-0000-0000-0000A8650000}"/>
    <cellStyle name="Separador de milhares 7 7 23 2" xfId="23376" xr:uid="{00000000-0005-0000-0000-0000A9650000}"/>
    <cellStyle name="Separador de milhares 7 7 23 2 2" xfId="32202" xr:uid="{BC30C394-33FC-4BE4-B261-1FD66605448D}"/>
    <cellStyle name="Separador de milhares 7 7 23 3" xfId="32201" xr:uid="{FA4E3786-B6A3-4D61-A4B3-500B78B73D01}"/>
    <cellStyle name="Separador de milhares 7 7 24" xfId="23377" xr:uid="{00000000-0005-0000-0000-0000AA650000}"/>
    <cellStyle name="Separador de milhares 7 7 24 2" xfId="23378" xr:uid="{00000000-0005-0000-0000-0000AB650000}"/>
    <cellStyle name="Separador de milhares 7 7 24 2 2" xfId="32204" xr:uid="{BDD3885F-C6A8-45BD-852D-8044E4726037}"/>
    <cellStyle name="Separador de milhares 7 7 24 3" xfId="32203" xr:uid="{1AE85D41-41E5-44F8-8494-5F2C025CC309}"/>
    <cellStyle name="Separador de milhares 7 7 25" xfId="23379" xr:uid="{00000000-0005-0000-0000-0000AC650000}"/>
    <cellStyle name="Separador de milhares 7 7 25 2" xfId="23380" xr:uid="{00000000-0005-0000-0000-0000AD650000}"/>
    <cellStyle name="Separador de milhares 7 7 25 2 2" xfId="32206" xr:uid="{C36BCC0C-7B02-414B-A191-2C68C073AF8C}"/>
    <cellStyle name="Separador de milhares 7 7 25 3" xfId="32205" xr:uid="{BD5BA7F5-FA69-4E10-828A-0F02F91ABE6F}"/>
    <cellStyle name="Separador de milhares 7 7 26" xfId="23381" xr:uid="{00000000-0005-0000-0000-0000AE650000}"/>
    <cellStyle name="Separador de milhares 7 7 26 2" xfId="23382" xr:uid="{00000000-0005-0000-0000-0000AF650000}"/>
    <cellStyle name="Separador de milhares 7 7 26 2 2" xfId="32208" xr:uid="{CC0C8F87-5DB9-4E0A-A90B-B40FD368FA80}"/>
    <cellStyle name="Separador de milhares 7 7 26 3" xfId="32207" xr:uid="{16118FB1-0DFF-4F56-91E1-AC707648B462}"/>
    <cellStyle name="Separador de milhares 7 7 27" xfId="23383" xr:uid="{00000000-0005-0000-0000-0000B0650000}"/>
    <cellStyle name="Separador de milhares 7 7 27 2" xfId="23384" xr:uid="{00000000-0005-0000-0000-0000B1650000}"/>
    <cellStyle name="Separador de milhares 7 7 27 2 2" xfId="32210" xr:uid="{BEC2D117-5BB9-4535-B2EC-0A1FEFE5AEA1}"/>
    <cellStyle name="Separador de milhares 7 7 27 3" xfId="32209" xr:uid="{2E9077AD-B0E8-496D-BBE5-57723DE3C137}"/>
    <cellStyle name="Separador de milhares 7 7 28" xfId="23385" xr:uid="{00000000-0005-0000-0000-0000B2650000}"/>
    <cellStyle name="Separador de milhares 7 7 28 2" xfId="23386" xr:uid="{00000000-0005-0000-0000-0000B3650000}"/>
    <cellStyle name="Separador de milhares 7 7 28 2 2" xfId="32212" xr:uid="{2D9B7CF7-100F-4065-B01E-EDE4294F545B}"/>
    <cellStyle name="Separador de milhares 7 7 28 3" xfId="32211" xr:uid="{DCF8693F-4F1F-439E-9938-ADCC95BA12D6}"/>
    <cellStyle name="Separador de milhares 7 7 29" xfId="23387" xr:uid="{00000000-0005-0000-0000-0000B4650000}"/>
    <cellStyle name="Separador de milhares 7 7 29 2" xfId="23388" xr:uid="{00000000-0005-0000-0000-0000B5650000}"/>
    <cellStyle name="Separador de milhares 7 7 29 2 2" xfId="32214" xr:uid="{9D86A09A-121F-4853-A8A1-11EF2BE6A00D}"/>
    <cellStyle name="Separador de milhares 7 7 29 3" xfId="32213" xr:uid="{7F084922-1248-4A48-8CC4-C0720BF1C4ED}"/>
    <cellStyle name="Separador de milhares 7 7 3" xfId="23389" xr:uid="{00000000-0005-0000-0000-0000B6650000}"/>
    <cellStyle name="Separador de milhares 7 7 3 2" xfId="23390" xr:uid="{00000000-0005-0000-0000-0000B7650000}"/>
    <cellStyle name="Separador de milhares 7 7 3 2 2" xfId="23391" xr:uid="{00000000-0005-0000-0000-0000B8650000}"/>
    <cellStyle name="Separador de milhares 7 7 3 2 2 2" xfId="32217" xr:uid="{0971E574-72B2-4C03-9A31-463D13441E9F}"/>
    <cellStyle name="Separador de milhares 7 7 3 2 3" xfId="32216" xr:uid="{2CD48614-58CD-4FFD-AD02-751ED08BEA31}"/>
    <cellStyle name="Separador de milhares 7 7 3 3" xfId="23392" xr:uid="{00000000-0005-0000-0000-0000B9650000}"/>
    <cellStyle name="Separador de milhares 7 7 3 3 2" xfId="23393" xr:uid="{00000000-0005-0000-0000-0000BA650000}"/>
    <cellStyle name="Separador de milhares 7 7 3 3 2 2" xfId="32219" xr:uid="{3865AC7C-AE89-4FC5-ABDD-1783A60F4E96}"/>
    <cellStyle name="Separador de milhares 7 7 3 3 3" xfId="32218" xr:uid="{876BEC98-DE0D-4324-89EF-60587A22FD7B}"/>
    <cellStyle name="Separador de milhares 7 7 3 4" xfId="23394" xr:uid="{00000000-0005-0000-0000-0000BB650000}"/>
    <cellStyle name="Separador de milhares 7 7 3 4 2" xfId="23395" xr:uid="{00000000-0005-0000-0000-0000BC650000}"/>
    <cellStyle name="Separador de milhares 7 7 3 4 2 2" xfId="32221" xr:uid="{11CC3A63-164B-4A98-8444-491DB963C2E2}"/>
    <cellStyle name="Separador de milhares 7 7 3 4 3" xfId="32220" xr:uid="{D6F1D29A-8341-48ED-A16B-44247338D3A4}"/>
    <cellStyle name="Separador de milhares 7 7 3 5" xfId="23396" xr:uid="{00000000-0005-0000-0000-0000BD650000}"/>
    <cellStyle name="Separador de milhares 7 7 3 5 2" xfId="23397" xr:uid="{00000000-0005-0000-0000-0000BE650000}"/>
    <cellStyle name="Separador de milhares 7 7 3 5 2 2" xfId="32223" xr:uid="{45232532-7325-456C-93D6-9C5FE7346BA6}"/>
    <cellStyle name="Separador de milhares 7 7 3 5 3" xfId="32222" xr:uid="{E162F0F3-CEA4-478E-AED6-923DDAF6CE01}"/>
    <cellStyle name="Separador de milhares 7 7 3 6" xfId="23398" xr:uid="{00000000-0005-0000-0000-0000BF650000}"/>
    <cellStyle name="Separador de milhares 7 7 3 6 2" xfId="32224" xr:uid="{BA5FC5ED-DF1D-4E86-9171-1502DD6988C8}"/>
    <cellStyle name="Separador de milhares 7 7 3 7" xfId="32215" xr:uid="{6C22F3B3-2167-4587-A30A-4B04885203D2}"/>
    <cellStyle name="Separador de milhares 7 7 30" xfId="23399" xr:uid="{00000000-0005-0000-0000-0000C0650000}"/>
    <cellStyle name="Separador de milhares 7 7 30 2" xfId="23400" xr:uid="{00000000-0005-0000-0000-0000C1650000}"/>
    <cellStyle name="Separador de milhares 7 7 30 2 2" xfId="32226" xr:uid="{917E515E-0494-43EB-A6D3-083222C7FE57}"/>
    <cellStyle name="Separador de milhares 7 7 30 3" xfId="32225" xr:uid="{F8446C8D-F3E3-4039-9B45-9ECE6702F04E}"/>
    <cellStyle name="Separador de milhares 7 7 31" xfId="23401" xr:uid="{00000000-0005-0000-0000-0000C2650000}"/>
    <cellStyle name="Separador de milhares 7 7 31 2" xfId="23402" xr:uid="{00000000-0005-0000-0000-0000C3650000}"/>
    <cellStyle name="Separador de milhares 7 7 31 2 2" xfId="32228" xr:uid="{DFF07A25-A8E5-4967-A48B-32878BD3BCA3}"/>
    <cellStyle name="Separador de milhares 7 7 31 3" xfId="32227" xr:uid="{44AAA1BF-5AD6-4A88-96D8-1AB4FE087CF9}"/>
    <cellStyle name="Separador de milhares 7 7 32" xfId="23403" xr:uid="{00000000-0005-0000-0000-0000C4650000}"/>
    <cellStyle name="Separador de milhares 7 7 32 2" xfId="23404" xr:uid="{00000000-0005-0000-0000-0000C5650000}"/>
    <cellStyle name="Separador de milhares 7 7 32 2 2" xfId="32230" xr:uid="{09FC953A-DB66-472B-8DBB-4CEA249624D8}"/>
    <cellStyle name="Separador de milhares 7 7 32 3" xfId="32229" xr:uid="{BC6A9328-000A-48F5-B2F6-107ACD43F24D}"/>
    <cellStyle name="Separador de milhares 7 7 33" xfId="23405" xr:uid="{00000000-0005-0000-0000-0000C6650000}"/>
    <cellStyle name="Separador de milhares 7 7 33 2" xfId="23406" xr:uid="{00000000-0005-0000-0000-0000C7650000}"/>
    <cellStyle name="Separador de milhares 7 7 33 2 2" xfId="32232" xr:uid="{76ECEB26-529E-46DB-BD5D-962F8A8CC305}"/>
    <cellStyle name="Separador de milhares 7 7 33 3" xfId="32231" xr:uid="{0E03CE7F-AAB8-4676-9194-44A738A773AF}"/>
    <cellStyle name="Separador de milhares 7 7 34" xfId="23407" xr:uid="{00000000-0005-0000-0000-0000C8650000}"/>
    <cellStyle name="Separador de milhares 7 7 34 2" xfId="23408" xr:uid="{00000000-0005-0000-0000-0000C9650000}"/>
    <cellStyle name="Separador de milhares 7 7 34 2 2" xfId="32234" xr:uid="{C66F5863-5DAA-4387-B34D-9929E18DC3EA}"/>
    <cellStyle name="Separador de milhares 7 7 34 3" xfId="32233" xr:uid="{D10D6534-E034-40ED-84D7-68D666761917}"/>
    <cellStyle name="Separador de milhares 7 7 35" xfId="23409" xr:uid="{00000000-0005-0000-0000-0000CA650000}"/>
    <cellStyle name="Separador de milhares 7 7 35 2" xfId="23410" xr:uid="{00000000-0005-0000-0000-0000CB650000}"/>
    <cellStyle name="Separador de milhares 7 7 35 2 2" xfId="32236" xr:uid="{9EAC15E1-F43C-41F1-82C9-8D80CF359666}"/>
    <cellStyle name="Separador de milhares 7 7 35 3" xfId="32235" xr:uid="{8352527A-C113-49AD-B9A6-53713D2B10E2}"/>
    <cellStyle name="Separador de milhares 7 7 36" xfId="23411" xr:uid="{00000000-0005-0000-0000-0000CC650000}"/>
    <cellStyle name="Separador de milhares 7 7 36 2" xfId="23412" xr:uid="{00000000-0005-0000-0000-0000CD650000}"/>
    <cellStyle name="Separador de milhares 7 7 36 2 2" xfId="32238" xr:uid="{1B6A0ED8-FD96-4BC2-99D1-511027FCDB21}"/>
    <cellStyle name="Separador de milhares 7 7 36 3" xfId="32237" xr:uid="{2219AC16-998F-4D98-93FD-5B7553068BC4}"/>
    <cellStyle name="Separador de milhares 7 7 37" xfId="23413" xr:uid="{00000000-0005-0000-0000-0000CE650000}"/>
    <cellStyle name="Separador de milhares 7 7 37 2" xfId="23414" xr:uid="{00000000-0005-0000-0000-0000CF650000}"/>
    <cellStyle name="Separador de milhares 7 7 37 2 2" xfId="32240" xr:uid="{7E82B1E7-389A-4288-8B58-9E82B1CF617A}"/>
    <cellStyle name="Separador de milhares 7 7 37 3" xfId="32239" xr:uid="{AADD27BE-F0A0-47BD-BA12-03036455B3C8}"/>
    <cellStyle name="Separador de milhares 7 7 38" xfId="23415" xr:uid="{00000000-0005-0000-0000-0000D0650000}"/>
    <cellStyle name="Separador de milhares 7 7 38 2" xfId="23416" xr:uid="{00000000-0005-0000-0000-0000D1650000}"/>
    <cellStyle name="Separador de milhares 7 7 38 2 2" xfId="32242" xr:uid="{4FD5342A-856A-4D38-B52F-4C2210AA1966}"/>
    <cellStyle name="Separador de milhares 7 7 38 3" xfId="32241" xr:uid="{A490174A-3DE7-4638-A131-456412271A09}"/>
    <cellStyle name="Separador de milhares 7 7 39" xfId="23417" xr:uid="{00000000-0005-0000-0000-0000D2650000}"/>
    <cellStyle name="Separador de milhares 7 7 39 2" xfId="23418" xr:uid="{00000000-0005-0000-0000-0000D3650000}"/>
    <cellStyle name="Separador de milhares 7 7 39 2 2" xfId="32244" xr:uid="{29D30131-99F5-486E-8558-F5A0A0600603}"/>
    <cellStyle name="Separador de milhares 7 7 39 3" xfId="32243" xr:uid="{DE1A65EA-53D6-42A5-9812-2B5F0B46049D}"/>
    <cellStyle name="Separador de milhares 7 7 4" xfId="23419" xr:uid="{00000000-0005-0000-0000-0000D4650000}"/>
    <cellStyle name="Separador de milhares 7 7 4 2" xfId="23420" xr:uid="{00000000-0005-0000-0000-0000D5650000}"/>
    <cellStyle name="Separador de milhares 7 7 4 2 2" xfId="23421" xr:uid="{00000000-0005-0000-0000-0000D6650000}"/>
    <cellStyle name="Separador de milhares 7 7 4 2 2 2" xfId="32247" xr:uid="{DE77E099-B6CA-43B0-B534-683EC8A7152C}"/>
    <cellStyle name="Separador de milhares 7 7 4 2 3" xfId="32246" xr:uid="{AEBFCBD7-F843-4C58-854F-77CF527ACEC7}"/>
    <cellStyle name="Separador de milhares 7 7 4 3" xfId="23422" xr:uid="{00000000-0005-0000-0000-0000D7650000}"/>
    <cellStyle name="Separador de milhares 7 7 4 3 2" xfId="23423" xr:uid="{00000000-0005-0000-0000-0000D8650000}"/>
    <cellStyle name="Separador de milhares 7 7 4 3 2 2" xfId="32249" xr:uid="{A7C65A6F-87A4-4DBE-A3AE-714A9432A195}"/>
    <cellStyle name="Separador de milhares 7 7 4 3 3" xfId="32248" xr:uid="{4D94170F-9826-42E1-9551-474BA223FE89}"/>
    <cellStyle name="Separador de milhares 7 7 4 4" xfId="23424" xr:uid="{00000000-0005-0000-0000-0000D9650000}"/>
    <cellStyle name="Separador de milhares 7 7 4 4 2" xfId="23425" xr:uid="{00000000-0005-0000-0000-0000DA650000}"/>
    <cellStyle name="Separador de milhares 7 7 4 4 2 2" xfId="32251" xr:uid="{80295BA9-B9A3-41A7-85A8-0DE8261C9B46}"/>
    <cellStyle name="Separador de milhares 7 7 4 4 3" xfId="32250" xr:uid="{BAC15747-B7A2-4B17-B7B6-B44A91A9C780}"/>
    <cellStyle name="Separador de milhares 7 7 4 5" xfId="23426" xr:uid="{00000000-0005-0000-0000-0000DB650000}"/>
    <cellStyle name="Separador de milhares 7 7 4 5 2" xfId="23427" xr:uid="{00000000-0005-0000-0000-0000DC650000}"/>
    <cellStyle name="Separador de milhares 7 7 4 5 2 2" xfId="32253" xr:uid="{2224E916-A589-4CA5-A94F-CBBA93EFABF4}"/>
    <cellStyle name="Separador de milhares 7 7 4 5 3" xfId="32252" xr:uid="{0AE9ACAC-CFDC-4575-8A89-CBDF5F7FE164}"/>
    <cellStyle name="Separador de milhares 7 7 4 6" xfId="23428" xr:uid="{00000000-0005-0000-0000-0000DD650000}"/>
    <cellStyle name="Separador de milhares 7 7 4 6 2" xfId="32254" xr:uid="{8461D371-6BBA-402F-B433-9DC686B05EB4}"/>
    <cellStyle name="Separador de milhares 7 7 4 7" xfId="32245" xr:uid="{F6DDFFCD-3371-4D90-8153-09D61C8A177E}"/>
    <cellStyle name="Separador de milhares 7 7 40" xfId="23429" xr:uid="{00000000-0005-0000-0000-0000DE650000}"/>
    <cellStyle name="Separador de milhares 7 7 40 2" xfId="23430" xr:uid="{00000000-0005-0000-0000-0000DF650000}"/>
    <cellStyle name="Separador de milhares 7 7 40 2 2" xfId="32256" xr:uid="{BB319024-CBF7-4D40-B0D3-79D027977268}"/>
    <cellStyle name="Separador de milhares 7 7 40 3" xfId="32255" xr:uid="{A4F0EEC3-EA9C-449C-B8DD-BD453B748CFA}"/>
    <cellStyle name="Separador de milhares 7 7 41" xfId="23431" xr:uid="{00000000-0005-0000-0000-0000E0650000}"/>
    <cellStyle name="Separador de milhares 7 7 41 2" xfId="23432" xr:uid="{00000000-0005-0000-0000-0000E1650000}"/>
    <cellStyle name="Separador de milhares 7 7 41 2 2" xfId="32258" xr:uid="{742B1423-2234-4A2F-B358-5CC615101599}"/>
    <cellStyle name="Separador de milhares 7 7 41 3" xfId="32257" xr:uid="{24396439-5A48-44EB-AF8F-34A1556E637A}"/>
    <cellStyle name="Separador de milhares 7 7 42" xfId="23433" xr:uid="{00000000-0005-0000-0000-0000E2650000}"/>
    <cellStyle name="Separador de milhares 7 7 42 2" xfId="23434" xr:uid="{00000000-0005-0000-0000-0000E3650000}"/>
    <cellStyle name="Separador de milhares 7 7 42 2 2" xfId="32260" xr:uid="{C519D9B3-9DFE-44CB-8E19-360003C96C9C}"/>
    <cellStyle name="Separador de milhares 7 7 42 3" xfId="32259" xr:uid="{D49E6655-C600-4070-961D-CAF7B98E835B}"/>
    <cellStyle name="Separador de milhares 7 7 43" xfId="23435" xr:uid="{00000000-0005-0000-0000-0000E4650000}"/>
    <cellStyle name="Separador de milhares 7 7 43 2" xfId="23436" xr:uid="{00000000-0005-0000-0000-0000E5650000}"/>
    <cellStyle name="Separador de milhares 7 7 43 2 2" xfId="32262" xr:uid="{DC1BFE2E-EAD7-42BB-B2FA-12FAA4BD7CFA}"/>
    <cellStyle name="Separador de milhares 7 7 43 3" xfId="32261" xr:uid="{0EC34CAB-2735-4782-9BC8-4A7F3BD3D304}"/>
    <cellStyle name="Separador de milhares 7 7 44" xfId="23437" xr:uid="{00000000-0005-0000-0000-0000E6650000}"/>
    <cellStyle name="Separador de milhares 7 7 44 2" xfId="23438" xr:uid="{00000000-0005-0000-0000-0000E7650000}"/>
    <cellStyle name="Separador de milhares 7 7 44 2 2" xfId="32264" xr:uid="{AF6C9BA6-EAED-4616-92AA-476BDAF680C6}"/>
    <cellStyle name="Separador de milhares 7 7 44 3" xfId="32263" xr:uid="{8889704F-33E7-4DB7-8004-719766FBA296}"/>
    <cellStyle name="Separador de milhares 7 7 45" xfId="23439" xr:uid="{00000000-0005-0000-0000-0000E8650000}"/>
    <cellStyle name="Separador de milhares 7 7 45 2" xfId="23440" xr:uid="{00000000-0005-0000-0000-0000E9650000}"/>
    <cellStyle name="Separador de milhares 7 7 45 2 2" xfId="32266" xr:uid="{CF057447-F7D8-4CCA-945A-4819EEC3D0D8}"/>
    <cellStyle name="Separador de milhares 7 7 45 3" xfId="32265" xr:uid="{1F7ECEBA-6BD0-4453-B33B-879AD1D9118C}"/>
    <cellStyle name="Separador de milhares 7 7 46" xfId="23441" xr:uid="{00000000-0005-0000-0000-0000EA650000}"/>
    <cellStyle name="Separador de milhares 7 7 46 2" xfId="32267" xr:uid="{3D583226-892E-45D4-9256-11714EACF113}"/>
    <cellStyle name="Separador de milhares 7 7 47" xfId="23338" xr:uid="{00000000-0005-0000-0000-0000EB650000}"/>
    <cellStyle name="Separador de milhares 7 7 48" xfId="28088" xr:uid="{E88582E6-5C2A-4938-838D-C727E8023E55}"/>
    <cellStyle name="Separador de milhares 7 7 5" xfId="23442" xr:uid="{00000000-0005-0000-0000-0000EC650000}"/>
    <cellStyle name="Separador de milhares 7 7 5 2" xfId="23443" xr:uid="{00000000-0005-0000-0000-0000ED650000}"/>
    <cellStyle name="Separador de milhares 7 7 5 2 2" xfId="32269" xr:uid="{CB0E52E1-3CC9-4743-BC1C-FA5E3DED2105}"/>
    <cellStyle name="Separador de milhares 7 7 5 3" xfId="32268" xr:uid="{2F27AF5E-9AA1-4D7B-9B69-834F1BCC92D6}"/>
    <cellStyle name="Separador de milhares 7 7 6" xfId="23444" xr:uid="{00000000-0005-0000-0000-0000EE650000}"/>
    <cellStyle name="Separador de milhares 7 7 6 2" xfId="23445" xr:uid="{00000000-0005-0000-0000-0000EF650000}"/>
    <cellStyle name="Separador de milhares 7 7 6 2 2" xfId="32271" xr:uid="{D755D563-D334-4606-AB3F-9FF7174C4E4E}"/>
    <cellStyle name="Separador de milhares 7 7 6 3" xfId="32270" xr:uid="{E93E112F-223E-4E5F-8227-5EB2AEFA0DD6}"/>
    <cellStyle name="Separador de milhares 7 7 7" xfId="23446" xr:uid="{00000000-0005-0000-0000-0000F0650000}"/>
    <cellStyle name="Separador de milhares 7 7 7 2" xfId="23447" xr:uid="{00000000-0005-0000-0000-0000F1650000}"/>
    <cellStyle name="Separador de milhares 7 7 7 2 2" xfId="32273" xr:uid="{B747FFCF-9CF1-4E13-81BD-CB9CEA8CEB1A}"/>
    <cellStyle name="Separador de milhares 7 7 7 3" xfId="32272" xr:uid="{726C4446-1604-414B-9661-75BAAD009BC4}"/>
    <cellStyle name="Separador de milhares 7 7 8" xfId="23448" xr:uid="{00000000-0005-0000-0000-0000F2650000}"/>
    <cellStyle name="Separador de milhares 7 7 8 2" xfId="23449" xr:uid="{00000000-0005-0000-0000-0000F3650000}"/>
    <cellStyle name="Separador de milhares 7 7 8 2 2" xfId="32275" xr:uid="{CEE92088-A9ED-4153-A110-ABD280148CAF}"/>
    <cellStyle name="Separador de milhares 7 7 8 3" xfId="32274" xr:uid="{35CA4E99-A275-4D5D-B313-49EBE6DC9CD5}"/>
    <cellStyle name="Separador de milhares 7 7 9" xfId="23450" xr:uid="{00000000-0005-0000-0000-0000F4650000}"/>
    <cellStyle name="Separador de milhares 7 7 9 2" xfId="23451" xr:uid="{00000000-0005-0000-0000-0000F5650000}"/>
    <cellStyle name="Separador de milhares 7 7 9 2 2" xfId="32277" xr:uid="{38977EFE-BCB4-44AE-A318-1732CB92AE6F}"/>
    <cellStyle name="Separador de milhares 7 7 9 3" xfId="32276" xr:uid="{01450EAA-25CD-4C24-AE1F-1A1D6540E06D}"/>
    <cellStyle name="Separador de milhares 7 8" xfId="857" xr:uid="{00000000-0005-0000-0000-0000F6650000}"/>
    <cellStyle name="Separador de milhares 7 8 10" xfId="23453" xr:uid="{00000000-0005-0000-0000-0000F7650000}"/>
    <cellStyle name="Separador de milhares 7 8 10 2" xfId="23454" xr:uid="{00000000-0005-0000-0000-0000F8650000}"/>
    <cellStyle name="Separador de milhares 7 8 10 2 2" xfId="32279" xr:uid="{18C1A3B7-A58B-4F13-A0E8-1973B6604EF1}"/>
    <cellStyle name="Separador de milhares 7 8 10 3" xfId="32278" xr:uid="{3A3C5CDD-02DD-486D-968B-D0C00C93F22A}"/>
    <cellStyle name="Separador de milhares 7 8 11" xfId="23455" xr:uid="{00000000-0005-0000-0000-0000F9650000}"/>
    <cellStyle name="Separador de milhares 7 8 11 2" xfId="23456" xr:uid="{00000000-0005-0000-0000-0000FA650000}"/>
    <cellStyle name="Separador de milhares 7 8 11 2 2" xfId="32281" xr:uid="{F80E6F33-3522-4B51-9CA2-C079981D9A51}"/>
    <cellStyle name="Separador de milhares 7 8 11 3" xfId="32280" xr:uid="{79E808EE-1D8F-411F-A32E-B6FEF7A39FCE}"/>
    <cellStyle name="Separador de milhares 7 8 12" xfId="23457" xr:uid="{00000000-0005-0000-0000-0000FB650000}"/>
    <cellStyle name="Separador de milhares 7 8 12 2" xfId="23458" xr:uid="{00000000-0005-0000-0000-0000FC650000}"/>
    <cellStyle name="Separador de milhares 7 8 12 2 2" xfId="32283" xr:uid="{BDE8E564-5A00-4B91-91FC-385209A66ADC}"/>
    <cellStyle name="Separador de milhares 7 8 12 3" xfId="32282" xr:uid="{9B5A72D2-A636-4C28-971C-134CC4A56DEC}"/>
    <cellStyle name="Separador de milhares 7 8 13" xfId="23459" xr:uid="{00000000-0005-0000-0000-0000FD650000}"/>
    <cellStyle name="Separador de milhares 7 8 13 2" xfId="23460" xr:uid="{00000000-0005-0000-0000-0000FE650000}"/>
    <cellStyle name="Separador de milhares 7 8 13 2 2" xfId="32285" xr:uid="{67FB2439-C04D-451C-9934-A597AAFED884}"/>
    <cellStyle name="Separador de milhares 7 8 13 3" xfId="32284" xr:uid="{86B85D62-A4F5-4802-B69F-61E40948BE08}"/>
    <cellStyle name="Separador de milhares 7 8 14" xfId="23461" xr:uid="{00000000-0005-0000-0000-0000FF650000}"/>
    <cellStyle name="Separador de milhares 7 8 14 2" xfId="23462" xr:uid="{00000000-0005-0000-0000-000000660000}"/>
    <cellStyle name="Separador de milhares 7 8 14 2 2" xfId="32287" xr:uid="{E2EDB02B-C33C-4C41-BD9B-6DB1607733AC}"/>
    <cellStyle name="Separador de milhares 7 8 14 3" xfId="32286" xr:uid="{1BD3BE85-9E25-4D81-904A-7033EE7F2D33}"/>
    <cellStyle name="Separador de milhares 7 8 15" xfId="23463" xr:uid="{00000000-0005-0000-0000-000001660000}"/>
    <cellStyle name="Separador de milhares 7 8 15 2" xfId="23464" xr:uid="{00000000-0005-0000-0000-000002660000}"/>
    <cellStyle name="Separador de milhares 7 8 15 2 2" xfId="32289" xr:uid="{715B8D59-B915-4DCD-B77B-378CC737E187}"/>
    <cellStyle name="Separador de milhares 7 8 15 3" xfId="32288" xr:uid="{5F3A3065-DFD0-407A-AE9E-18232A247495}"/>
    <cellStyle name="Separador de milhares 7 8 16" xfId="23465" xr:uid="{00000000-0005-0000-0000-000003660000}"/>
    <cellStyle name="Separador de milhares 7 8 16 2" xfId="23466" xr:uid="{00000000-0005-0000-0000-000004660000}"/>
    <cellStyle name="Separador de milhares 7 8 16 2 2" xfId="32291" xr:uid="{8E7C1F3F-C882-4839-B1A4-5B19AC00FE1E}"/>
    <cellStyle name="Separador de milhares 7 8 16 3" xfId="32290" xr:uid="{30070E59-C31E-4C90-AF9C-396E5543A2A6}"/>
    <cellStyle name="Separador de milhares 7 8 17" xfId="23467" xr:uid="{00000000-0005-0000-0000-000005660000}"/>
    <cellStyle name="Separador de milhares 7 8 17 2" xfId="23468" xr:uid="{00000000-0005-0000-0000-000006660000}"/>
    <cellStyle name="Separador de milhares 7 8 17 2 2" xfId="32293" xr:uid="{15910999-DD98-4646-B425-D091D14CD8CB}"/>
    <cellStyle name="Separador de milhares 7 8 17 3" xfId="32292" xr:uid="{4A67E525-9A2D-41B8-9052-B401B65A6747}"/>
    <cellStyle name="Separador de milhares 7 8 18" xfId="23469" xr:uid="{00000000-0005-0000-0000-000007660000}"/>
    <cellStyle name="Separador de milhares 7 8 18 2" xfId="23470" xr:uid="{00000000-0005-0000-0000-000008660000}"/>
    <cellStyle name="Separador de milhares 7 8 18 2 2" xfId="32295" xr:uid="{7B83BC83-2EE7-4EF1-803E-F711DE0AF1C2}"/>
    <cellStyle name="Separador de milhares 7 8 18 3" xfId="32294" xr:uid="{1857F8E7-A4DC-409D-AC4E-13FC831BE775}"/>
    <cellStyle name="Separador de milhares 7 8 19" xfId="23471" xr:uid="{00000000-0005-0000-0000-000009660000}"/>
    <cellStyle name="Separador de milhares 7 8 19 2" xfId="23472" xr:uid="{00000000-0005-0000-0000-00000A660000}"/>
    <cellStyle name="Separador de milhares 7 8 19 2 2" xfId="32297" xr:uid="{4F06E45A-D976-43FF-88A7-A91D05F3B5EA}"/>
    <cellStyle name="Separador de milhares 7 8 19 3" xfId="32296" xr:uid="{EE465A69-1281-473A-8651-F2CB00E4ED7C}"/>
    <cellStyle name="Separador de milhares 7 8 2" xfId="23473" xr:uid="{00000000-0005-0000-0000-00000B660000}"/>
    <cellStyle name="Separador de milhares 7 8 2 2" xfId="23474" xr:uid="{00000000-0005-0000-0000-00000C660000}"/>
    <cellStyle name="Separador de milhares 7 8 2 2 2" xfId="32299" xr:uid="{6C8DC08A-C411-4C5E-9607-4C22749C75C4}"/>
    <cellStyle name="Separador de milhares 7 8 2 3" xfId="32298" xr:uid="{6E062B85-8603-4A62-9443-0D4CBA27CEE9}"/>
    <cellStyle name="Separador de milhares 7 8 20" xfId="23475" xr:uid="{00000000-0005-0000-0000-00000D660000}"/>
    <cellStyle name="Separador de milhares 7 8 20 2" xfId="23476" xr:uid="{00000000-0005-0000-0000-00000E660000}"/>
    <cellStyle name="Separador de milhares 7 8 20 2 2" xfId="32301" xr:uid="{665D0394-A2A6-457A-8FFB-AC2A21BC6519}"/>
    <cellStyle name="Separador de milhares 7 8 20 3" xfId="32300" xr:uid="{E459523D-E35B-4353-BA5F-016F73A2E617}"/>
    <cellStyle name="Separador de milhares 7 8 21" xfId="23477" xr:uid="{00000000-0005-0000-0000-00000F660000}"/>
    <cellStyle name="Separador de milhares 7 8 21 2" xfId="23478" xr:uid="{00000000-0005-0000-0000-000010660000}"/>
    <cellStyle name="Separador de milhares 7 8 21 2 2" xfId="32303" xr:uid="{68B35A61-390A-46B0-839A-2CB5F739AAE1}"/>
    <cellStyle name="Separador de milhares 7 8 21 3" xfId="32302" xr:uid="{4EF79B99-1907-43C6-BEB0-3C4679F514EA}"/>
    <cellStyle name="Separador de milhares 7 8 22" xfId="23479" xr:uid="{00000000-0005-0000-0000-000011660000}"/>
    <cellStyle name="Separador de milhares 7 8 22 2" xfId="23480" xr:uid="{00000000-0005-0000-0000-000012660000}"/>
    <cellStyle name="Separador de milhares 7 8 22 2 2" xfId="32305" xr:uid="{C9C23743-C483-4372-8E36-FAAE0469FA7B}"/>
    <cellStyle name="Separador de milhares 7 8 22 3" xfId="32304" xr:uid="{33A97D24-B3DF-4E93-B9EB-4E8D81F077E7}"/>
    <cellStyle name="Separador de milhares 7 8 23" xfId="23481" xr:uid="{00000000-0005-0000-0000-000013660000}"/>
    <cellStyle name="Separador de milhares 7 8 23 2" xfId="23482" xr:uid="{00000000-0005-0000-0000-000014660000}"/>
    <cellStyle name="Separador de milhares 7 8 23 2 2" xfId="32307" xr:uid="{F7489A8B-067A-4228-A5F1-E3AC9598F859}"/>
    <cellStyle name="Separador de milhares 7 8 23 3" xfId="32306" xr:uid="{3E7EF659-E0D7-4499-A275-6D3312D1A694}"/>
    <cellStyle name="Separador de milhares 7 8 24" xfId="23483" xr:uid="{00000000-0005-0000-0000-000015660000}"/>
    <cellStyle name="Separador de milhares 7 8 24 2" xfId="23484" xr:uid="{00000000-0005-0000-0000-000016660000}"/>
    <cellStyle name="Separador de milhares 7 8 24 2 2" xfId="32309" xr:uid="{88F5162E-AA48-4014-8E51-D5F2E127F2DC}"/>
    <cellStyle name="Separador de milhares 7 8 24 3" xfId="32308" xr:uid="{3D9EFB06-FF87-4DF9-9C13-D1C1CD27FAEE}"/>
    <cellStyle name="Separador de milhares 7 8 25" xfId="23485" xr:uid="{00000000-0005-0000-0000-000017660000}"/>
    <cellStyle name="Separador de milhares 7 8 25 2" xfId="23486" xr:uid="{00000000-0005-0000-0000-000018660000}"/>
    <cellStyle name="Separador de milhares 7 8 25 2 2" xfId="32311" xr:uid="{F68E0968-73C1-4A36-8578-5DCD1CFE3D9F}"/>
    <cellStyle name="Separador de milhares 7 8 25 3" xfId="32310" xr:uid="{B2048BD8-BE9C-4872-A3AF-F0D8C07FA449}"/>
    <cellStyle name="Separador de milhares 7 8 26" xfId="23487" xr:uid="{00000000-0005-0000-0000-000019660000}"/>
    <cellStyle name="Separador de milhares 7 8 26 2" xfId="23488" xr:uid="{00000000-0005-0000-0000-00001A660000}"/>
    <cellStyle name="Separador de milhares 7 8 26 2 2" xfId="32313" xr:uid="{EF1F191C-5C70-47D2-8C07-938405B0D478}"/>
    <cellStyle name="Separador de milhares 7 8 26 3" xfId="32312" xr:uid="{5DB9446A-70DC-4DC2-B47E-C55FE8B4380C}"/>
    <cellStyle name="Separador de milhares 7 8 27" xfId="23489" xr:uid="{00000000-0005-0000-0000-00001B660000}"/>
    <cellStyle name="Separador de milhares 7 8 27 2" xfId="23490" xr:uid="{00000000-0005-0000-0000-00001C660000}"/>
    <cellStyle name="Separador de milhares 7 8 27 2 2" xfId="32315" xr:uid="{314635E9-8304-4D00-B03A-4BD66EF61332}"/>
    <cellStyle name="Separador de milhares 7 8 27 3" xfId="32314" xr:uid="{C70E0D41-8620-46BA-9046-150ABBC97212}"/>
    <cellStyle name="Separador de milhares 7 8 28" xfId="23491" xr:uid="{00000000-0005-0000-0000-00001D660000}"/>
    <cellStyle name="Separador de milhares 7 8 28 2" xfId="23492" xr:uid="{00000000-0005-0000-0000-00001E660000}"/>
    <cellStyle name="Separador de milhares 7 8 28 2 2" xfId="32317" xr:uid="{45BED52A-9E14-4AF8-BA7E-7BC06749FB02}"/>
    <cellStyle name="Separador de milhares 7 8 28 3" xfId="32316" xr:uid="{EEFB012A-9D61-4535-A4A3-DD561A6376CF}"/>
    <cellStyle name="Separador de milhares 7 8 29" xfId="23493" xr:uid="{00000000-0005-0000-0000-00001F660000}"/>
    <cellStyle name="Separador de milhares 7 8 29 2" xfId="23494" xr:uid="{00000000-0005-0000-0000-000020660000}"/>
    <cellStyle name="Separador de milhares 7 8 29 2 2" xfId="32319" xr:uid="{4591A744-4744-4A3F-B241-80E80448784A}"/>
    <cellStyle name="Separador de milhares 7 8 29 3" xfId="32318" xr:uid="{9B601C94-39AC-4573-8121-B07B3B096DB3}"/>
    <cellStyle name="Separador de milhares 7 8 3" xfId="23495" xr:uid="{00000000-0005-0000-0000-000021660000}"/>
    <cellStyle name="Separador de milhares 7 8 3 2" xfId="23496" xr:uid="{00000000-0005-0000-0000-000022660000}"/>
    <cellStyle name="Separador de milhares 7 8 3 2 2" xfId="32321" xr:uid="{1A60D9DF-EC7A-4F57-AE18-77622BA6DA86}"/>
    <cellStyle name="Separador de milhares 7 8 3 3" xfId="32320" xr:uid="{26686087-6567-4960-AE92-681A063ED8DF}"/>
    <cellStyle name="Separador de milhares 7 8 30" xfId="23497" xr:uid="{00000000-0005-0000-0000-000023660000}"/>
    <cellStyle name="Separador de milhares 7 8 30 2" xfId="23498" xr:uid="{00000000-0005-0000-0000-000024660000}"/>
    <cellStyle name="Separador de milhares 7 8 30 2 2" xfId="32323" xr:uid="{50B30018-A6FE-4C8A-90D9-C381269ABB14}"/>
    <cellStyle name="Separador de milhares 7 8 30 3" xfId="32322" xr:uid="{170FE4DB-D17D-409C-BDCC-8F0F7141092D}"/>
    <cellStyle name="Separador de milhares 7 8 31" xfId="23499" xr:uid="{00000000-0005-0000-0000-000025660000}"/>
    <cellStyle name="Separador de milhares 7 8 31 2" xfId="23500" xr:uid="{00000000-0005-0000-0000-000026660000}"/>
    <cellStyle name="Separador de milhares 7 8 31 2 2" xfId="32325" xr:uid="{7EAEA256-79A2-43E5-921A-AEEAB2F95D5F}"/>
    <cellStyle name="Separador de milhares 7 8 31 3" xfId="32324" xr:uid="{1040DFEA-9B09-4C46-BA38-B97AF8F82684}"/>
    <cellStyle name="Separador de milhares 7 8 32" xfId="23501" xr:uid="{00000000-0005-0000-0000-000027660000}"/>
    <cellStyle name="Separador de milhares 7 8 32 2" xfId="23502" xr:uid="{00000000-0005-0000-0000-000028660000}"/>
    <cellStyle name="Separador de milhares 7 8 32 2 2" xfId="32327" xr:uid="{DA788966-39FD-43A3-A27F-60B60BECAD0A}"/>
    <cellStyle name="Separador de milhares 7 8 32 3" xfId="32326" xr:uid="{E8A4FE58-4737-4B85-9C8A-939BEBFB027F}"/>
    <cellStyle name="Separador de milhares 7 8 33" xfId="23503" xr:uid="{00000000-0005-0000-0000-000029660000}"/>
    <cellStyle name="Separador de milhares 7 8 33 2" xfId="23504" xr:uid="{00000000-0005-0000-0000-00002A660000}"/>
    <cellStyle name="Separador de milhares 7 8 33 2 2" xfId="32329" xr:uid="{0B0741D9-C45E-4F6E-B337-822AC418FDD0}"/>
    <cellStyle name="Separador de milhares 7 8 33 3" xfId="32328" xr:uid="{D74A8A74-B9D2-4F3E-815C-D6FF112D605A}"/>
    <cellStyle name="Separador de milhares 7 8 34" xfId="23505" xr:uid="{00000000-0005-0000-0000-00002B660000}"/>
    <cellStyle name="Separador de milhares 7 8 34 2" xfId="23506" xr:uid="{00000000-0005-0000-0000-00002C660000}"/>
    <cellStyle name="Separador de milhares 7 8 34 2 2" xfId="32331" xr:uid="{01CDF4BB-D0AA-4961-81E9-B0E506F174A3}"/>
    <cellStyle name="Separador de milhares 7 8 34 3" xfId="32330" xr:uid="{B52F97E4-689E-45EC-8DA2-457148C5D6D4}"/>
    <cellStyle name="Separador de milhares 7 8 35" xfId="23507" xr:uid="{00000000-0005-0000-0000-00002D660000}"/>
    <cellStyle name="Separador de milhares 7 8 35 2" xfId="32332" xr:uid="{77D8FE8F-1E7D-4768-AD1E-92A4D5BF1700}"/>
    <cellStyle name="Separador de milhares 7 8 36" xfId="23452" xr:uid="{00000000-0005-0000-0000-00002E660000}"/>
    <cellStyle name="Separador de milhares 7 8 37" xfId="28089" xr:uid="{A2D88BDC-7F95-46E6-92D5-F174DDC1AD33}"/>
    <cellStyle name="Separador de milhares 7 8 4" xfId="23508" xr:uid="{00000000-0005-0000-0000-00002F660000}"/>
    <cellStyle name="Separador de milhares 7 8 4 2" xfId="23509" xr:uid="{00000000-0005-0000-0000-000030660000}"/>
    <cellStyle name="Separador de milhares 7 8 4 2 2" xfId="32334" xr:uid="{380A6E0D-80EF-488F-BED5-D063D9EE57A3}"/>
    <cellStyle name="Separador de milhares 7 8 4 3" xfId="32333" xr:uid="{4D36DF11-0E7D-4C9D-9971-2AA64419A98C}"/>
    <cellStyle name="Separador de milhares 7 8 5" xfId="23510" xr:uid="{00000000-0005-0000-0000-000031660000}"/>
    <cellStyle name="Separador de milhares 7 8 5 2" xfId="23511" xr:uid="{00000000-0005-0000-0000-000032660000}"/>
    <cellStyle name="Separador de milhares 7 8 5 2 2" xfId="32336" xr:uid="{7ADC8913-0B1A-432F-BA06-2F40B8AB9393}"/>
    <cellStyle name="Separador de milhares 7 8 5 3" xfId="32335" xr:uid="{9DCC278A-C082-449C-B435-588FD81A772C}"/>
    <cellStyle name="Separador de milhares 7 8 6" xfId="23512" xr:uid="{00000000-0005-0000-0000-000033660000}"/>
    <cellStyle name="Separador de milhares 7 8 6 2" xfId="23513" xr:uid="{00000000-0005-0000-0000-000034660000}"/>
    <cellStyle name="Separador de milhares 7 8 6 2 2" xfId="32338" xr:uid="{9929BA96-4C64-4A64-810E-F3CF14CE8E4F}"/>
    <cellStyle name="Separador de milhares 7 8 6 3" xfId="32337" xr:uid="{1FE727FE-AC78-42E3-A400-F267FF79670A}"/>
    <cellStyle name="Separador de milhares 7 8 7" xfId="23514" xr:uid="{00000000-0005-0000-0000-000035660000}"/>
    <cellStyle name="Separador de milhares 7 8 7 2" xfId="23515" xr:uid="{00000000-0005-0000-0000-000036660000}"/>
    <cellStyle name="Separador de milhares 7 8 7 2 2" xfId="32340" xr:uid="{716C5310-1A0B-42A8-90C8-FD592E270873}"/>
    <cellStyle name="Separador de milhares 7 8 7 3" xfId="32339" xr:uid="{8345AB22-C12D-4ACA-87FE-67F605F7AC03}"/>
    <cellStyle name="Separador de milhares 7 8 8" xfId="23516" xr:uid="{00000000-0005-0000-0000-000037660000}"/>
    <cellStyle name="Separador de milhares 7 8 8 2" xfId="23517" xr:uid="{00000000-0005-0000-0000-000038660000}"/>
    <cellStyle name="Separador de milhares 7 8 8 2 2" xfId="32342" xr:uid="{46C7B42E-7775-4CEA-BC73-0C14F6918CCD}"/>
    <cellStyle name="Separador de milhares 7 8 8 3" xfId="32341" xr:uid="{CCCDF35B-0DC7-4F66-A7E1-F0D169DDC1C0}"/>
    <cellStyle name="Separador de milhares 7 8 9" xfId="23518" xr:uid="{00000000-0005-0000-0000-000039660000}"/>
    <cellStyle name="Separador de milhares 7 8 9 2" xfId="23519" xr:uid="{00000000-0005-0000-0000-00003A660000}"/>
    <cellStyle name="Separador de milhares 7 8 9 2 2" xfId="32344" xr:uid="{AA222AAC-D8EC-4910-BFAF-4ACA342FB1AD}"/>
    <cellStyle name="Separador de milhares 7 8 9 3" xfId="32343" xr:uid="{2D32228C-4BC7-4ECF-BB22-B87BE545546A}"/>
    <cellStyle name="Separador de milhares 7 9" xfId="23520" xr:uid="{00000000-0005-0000-0000-00003B660000}"/>
    <cellStyle name="Separador de milhares 7 9 2" xfId="23521" xr:uid="{00000000-0005-0000-0000-00003C660000}"/>
    <cellStyle name="Separador de milhares 7 9 2 2" xfId="23522" xr:uid="{00000000-0005-0000-0000-00003D660000}"/>
    <cellStyle name="Separador de milhares 7 9 2 2 2" xfId="32345" xr:uid="{23F6179D-6212-4852-B4BF-6B3EEDD28C4D}"/>
    <cellStyle name="Separador de milhares 7 9 3" xfId="23523" xr:uid="{00000000-0005-0000-0000-00003E660000}"/>
    <cellStyle name="Separador de milhares 7 9 3 2" xfId="23524" xr:uid="{00000000-0005-0000-0000-00003F660000}"/>
    <cellStyle name="Separador de milhares 7 9 3 2 2" xfId="32346" xr:uid="{BB6A6A75-4E3A-4AE8-8BEF-03D506EF43A7}"/>
    <cellStyle name="Separador de milhares 7 9 4" xfId="23525" xr:uid="{00000000-0005-0000-0000-000040660000}"/>
    <cellStyle name="Separador de milhares 7 9 4 2" xfId="23526" xr:uid="{00000000-0005-0000-0000-000041660000}"/>
    <cellStyle name="Separador de milhares 7 9 4 2 2" xfId="32347" xr:uid="{3273B8CD-F46E-414C-819E-FE317069B06A}"/>
    <cellStyle name="Separador de milhares 7 9 5" xfId="23527" xr:uid="{00000000-0005-0000-0000-000042660000}"/>
    <cellStyle name="Separador de milhares 7 9 5 2" xfId="23528" xr:uid="{00000000-0005-0000-0000-000043660000}"/>
    <cellStyle name="Separador de milhares 7 9 5 2 2" xfId="32349" xr:uid="{D58A2DEA-D859-4EFD-82C5-738FA468E5E2}"/>
    <cellStyle name="Separador de milhares 7 9 5 3" xfId="32348" xr:uid="{7EBFCA80-72DC-4991-9A17-4E7763F91DEE}"/>
    <cellStyle name="Separador de milhares 7 9 6" xfId="23529" xr:uid="{00000000-0005-0000-0000-000044660000}"/>
    <cellStyle name="Separador de milhares 7 9 6 2" xfId="32350" xr:uid="{D69E51CE-96BD-48D2-A814-01117297DD2A}"/>
    <cellStyle name="Separador de milhares 70" xfId="23530" xr:uid="{00000000-0005-0000-0000-000045660000}"/>
    <cellStyle name="Separador de milhares 70 2" xfId="32351" xr:uid="{984BCE28-7693-49A4-B563-0F8D1BB81B4D}"/>
    <cellStyle name="Separador de milhares 71" xfId="23531" xr:uid="{00000000-0005-0000-0000-000046660000}"/>
    <cellStyle name="Separador de milhares 71 2" xfId="32352" xr:uid="{57366CC4-2E70-432C-A47B-271F2FA5196F}"/>
    <cellStyle name="Separador de milhares 8" xfId="858" xr:uid="{00000000-0005-0000-0000-000047660000}"/>
    <cellStyle name="Separador de milhares 8 10" xfId="23532" xr:uid="{00000000-0005-0000-0000-000048660000}"/>
    <cellStyle name="Separador de milhares 8 10 10" xfId="23533" xr:uid="{00000000-0005-0000-0000-000049660000}"/>
    <cellStyle name="Separador de milhares 8 10 11" xfId="23534" xr:uid="{00000000-0005-0000-0000-00004A660000}"/>
    <cellStyle name="Separador de milhares 8 10 12" xfId="23535" xr:uid="{00000000-0005-0000-0000-00004B660000}"/>
    <cellStyle name="Separador de milhares 8 10 13" xfId="23536" xr:uid="{00000000-0005-0000-0000-00004C660000}"/>
    <cellStyle name="Separador de milhares 8 10 14" xfId="23537" xr:uid="{00000000-0005-0000-0000-00004D660000}"/>
    <cellStyle name="Separador de milhares 8 10 15" xfId="23538" xr:uid="{00000000-0005-0000-0000-00004E660000}"/>
    <cellStyle name="Separador de milhares 8 10 16" xfId="23539" xr:uid="{00000000-0005-0000-0000-00004F660000}"/>
    <cellStyle name="Separador de milhares 8 10 17" xfId="23540" xr:uid="{00000000-0005-0000-0000-000050660000}"/>
    <cellStyle name="Separador de milhares 8 10 18" xfId="23541" xr:uid="{00000000-0005-0000-0000-000051660000}"/>
    <cellStyle name="Separador de milhares 8 10 19" xfId="23542" xr:uid="{00000000-0005-0000-0000-000052660000}"/>
    <cellStyle name="Separador de milhares 8 10 2" xfId="23543" xr:uid="{00000000-0005-0000-0000-000053660000}"/>
    <cellStyle name="Separador de milhares 8 10 2 10" xfId="23544" xr:uid="{00000000-0005-0000-0000-000054660000}"/>
    <cellStyle name="Separador de milhares 8 10 2 10 2" xfId="23545" xr:uid="{00000000-0005-0000-0000-000055660000}"/>
    <cellStyle name="Separador de milhares 8 10 2 10 3" xfId="23546" xr:uid="{00000000-0005-0000-0000-000056660000}"/>
    <cellStyle name="Separador de milhares 8 10 2 10 4" xfId="23547" xr:uid="{00000000-0005-0000-0000-000057660000}"/>
    <cellStyle name="Separador de milhares 8 10 2 11" xfId="23548" xr:uid="{00000000-0005-0000-0000-000058660000}"/>
    <cellStyle name="Separador de milhares 8 10 2 11 2" xfId="23549" xr:uid="{00000000-0005-0000-0000-000059660000}"/>
    <cellStyle name="Separador de milhares 8 10 2 11 3" xfId="23550" xr:uid="{00000000-0005-0000-0000-00005A660000}"/>
    <cellStyle name="Separador de milhares 8 10 2 11 4" xfId="23551" xr:uid="{00000000-0005-0000-0000-00005B660000}"/>
    <cellStyle name="Separador de milhares 8 10 2 12" xfId="23552" xr:uid="{00000000-0005-0000-0000-00005C660000}"/>
    <cellStyle name="Separador de milhares 8 10 2 12 2" xfId="23553" xr:uid="{00000000-0005-0000-0000-00005D660000}"/>
    <cellStyle name="Separador de milhares 8 10 2 12 3" xfId="23554" xr:uid="{00000000-0005-0000-0000-00005E660000}"/>
    <cellStyle name="Separador de milhares 8 10 2 12 4" xfId="23555" xr:uid="{00000000-0005-0000-0000-00005F660000}"/>
    <cellStyle name="Separador de milhares 8 10 2 13" xfId="23556" xr:uid="{00000000-0005-0000-0000-000060660000}"/>
    <cellStyle name="Separador de milhares 8 10 2 13 2" xfId="23557" xr:uid="{00000000-0005-0000-0000-000061660000}"/>
    <cellStyle name="Separador de milhares 8 10 2 13 3" xfId="23558" xr:uid="{00000000-0005-0000-0000-000062660000}"/>
    <cellStyle name="Separador de milhares 8 10 2 13 4" xfId="23559" xr:uid="{00000000-0005-0000-0000-000063660000}"/>
    <cellStyle name="Separador de milhares 8 10 2 14" xfId="23560" xr:uid="{00000000-0005-0000-0000-000064660000}"/>
    <cellStyle name="Separador de milhares 8 10 2 14 2" xfId="23561" xr:uid="{00000000-0005-0000-0000-000065660000}"/>
    <cellStyle name="Separador de milhares 8 10 2 14 3" xfId="23562" xr:uid="{00000000-0005-0000-0000-000066660000}"/>
    <cellStyle name="Separador de milhares 8 10 2 14 4" xfId="23563" xr:uid="{00000000-0005-0000-0000-000067660000}"/>
    <cellStyle name="Separador de milhares 8 10 2 15" xfId="23564" xr:uid="{00000000-0005-0000-0000-000068660000}"/>
    <cellStyle name="Separador de milhares 8 10 2 15 2" xfId="23565" xr:uid="{00000000-0005-0000-0000-000069660000}"/>
    <cellStyle name="Separador de milhares 8 10 2 15 3" xfId="23566" xr:uid="{00000000-0005-0000-0000-00006A660000}"/>
    <cellStyle name="Separador de milhares 8 10 2 15 4" xfId="23567" xr:uid="{00000000-0005-0000-0000-00006B660000}"/>
    <cellStyle name="Separador de milhares 8 10 2 16" xfId="23568" xr:uid="{00000000-0005-0000-0000-00006C660000}"/>
    <cellStyle name="Separador de milhares 8 10 2 17" xfId="23569" xr:uid="{00000000-0005-0000-0000-00006D660000}"/>
    <cellStyle name="Separador de milhares 8 10 2 18" xfId="23570" xr:uid="{00000000-0005-0000-0000-00006E660000}"/>
    <cellStyle name="Separador de milhares 8 10 2 19" xfId="23571" xr:uid="{00000000-0005-0000-0000-00006F660000}"/>
    <cellStyle name="Separador de milhares 8 10 2 2" xfId="23572" xr:uid="{00000000-0005-0000-0000-000070660000}"/>
    <cellStyle name="Separador de milhares 8 10 2 2 2" xfId="23573" xr:uid="{00000000-0005-0000-0000-000071660000}"/>
    <cellStyle name="Separador de milhares 8 10 2 2 3" xfId="23574" xr:uid="{00000000-0005-0000-0000-000072660000}"/>
    <cellStyle name="Separador de milhares 8 10 2 2 4" xfId="23575" xr:uid="{00000000-0005-0000-0000-000073660000}"/>
    <cellStyle name="Separador de milhares 8 10 2 20" xfId="23576" xr:uid="{00000000-0005-0000-0000-000074660000}"/>
    <cellStyle name="Separador de milhares 8 10 2 21" xfId="23577" xr:uid="{00000000-0005-0000-0000-000075660000}"/>
    <cellStyle name="Separador de milhares 8 10 2 3" xfId="23578" xr:uid="{00000000-0005-0000-0000-000076660000}"/>
    <cellStyle name="Separador de milhares 8 10 2 3 2" xfId="23579" xr:uid="{00000000-0005-0000-0000-000077660000}"/>
    <cellStyle name="Separador de milhares 8 10 2 3 3" xfId="23580" xr:uid="{00000000-0005-0000-0000-000078660000}"/>
    <cellStyle name="Separador de milhares 8 10 2 3 4" xfId="23581" xr:uid="{00000000-0005-0000-0000-000079660000}"/>
    <cellStyle name="Separador de milhares 8 10 2 4" xfId="23582" xr:uid="{00000000-0005-0000-0000-00007A660000}"/>
    <cellStyle name="Separador de milhares 8 10 2 4 2" xfId="23583" xr:uid="{00000000-0005-0000-0000-00007B660000}"/>
    <cellStyle name="Separador de milhares 8 10 2 4 3" xfId="23584" xr:uid="{00000000-0005-0000-0000-00007C660000}"/>
    <cellStyle name="Separador de milhares 8 10 2 4 4" xfId="23585" xr:uid="{00000000-0005-0000-0000-00007D660000}"/>
    <cellStyle name="Separador de milhares 8 10 2 5" xfId="23586" xr:uid="{00000000-0005-0000-0000-00007E660000}"/>
    <cellStyle name="Separador de milhares 8 10 2 5 2" xfId="23587" xr:uid="{00000000-0005-0000-0000-00007F660000}"/>
    <cellStyle name="Separador de milhares 8 10 2 5 3" xfId="23588" xr:uid="{00000000-0005-0000-0000-000080660000}"/>
    <cellStyle name="Separador de milhares 8 10 2 5 4" xfId="23589" xr:uid="{00000000-0005-0000-0000-000081660000}"/>
    <cellStyle name="Separador de milhares 8 10 2 6" xfId="23590" xr:uid="{00000000-0005-0000-0000-000082660000}"/>
    <cellStyle name="Separador de milhares 8 10 2 6 2" xfId="23591" xr:uid="{00000000-0005-0000-0000-000083660000}"/>
    <cellStyle name="Separador de milhares 8 10 2 6 3" xfId="23592" xr:uid="{00000000-0005-0000-0000-000084660000}"/>
    <cellStyle name="Separador de milhares 8 10 2 6 4" xfId="23593" xr:uid="{00000000-0005-0000-0000-000085660000}"/>
    <cellStyle name="Separador de milhares 8 10 2 7" xfId="23594" xr:uid="{00000000-0005-0000-0000-000086660000}"/>
    <cellStyle name="Separador de milhares 8 10 2 7 2" xfId="23595" xr:uid="{00000000-0005-0000-0000-000087660000}"/>
    <cellStyle name="Separador de milhares 8 10 2 7 3" xfId="23596" xr:uid="{00000000-0005-0000-0000-000088660000}"/>
    <cellStyle name="Separador de milhares 8 10 2 7 4" xfId="23597" xr:uid="{00000000-0005-0000-0000-000089660000}"/>
    <cellStyle name="Separador de milhares 8 10 2 8" xfId="23598" xr:uid="{00000000-0005-0000-0000-00008A660000}"/>
    <cellStyle name="Separador de milhares 8 10 2 8 2" xfId="23599" xr:uid="{00000000-0005-0000-0000-00008B660000}"/>
    <cellStyle name="Separador de milhares 8 10 2 8 3" xfId="23600" xr:uid="{00000000-0005-0000-0000-00008C660000}"/>
    <cellStyle name="Separador de milhares 8 10 2 8 4" xfId="23601" xr:uid="{00000000-0005-0000-0000-00008D660000}"/>
    <cellStyle name="Separador de milhares 8 10 2 9" xfId="23602" xr:uid="{00000000-0005-0000-0000-00008E660000}"/>
    <cellStyle name="Separador de milhares 8 10 2 9 2" xfId="23603" xr:uid="{00000000-0005-0000-0000-00008F660000}"/>
    <cellStyle name="Separador de milhares 8 10 2 9 3" xfId="23604" xr:uid="{00000000-0005-0000-0000-000090660000}"/>
    <cellStyle name="Separador de milhares 8 10 2 9 4" xfId="23605" xr:uid="{00000000-0005-0000-0000-000091660000}"/>
    <cellStyle name="Separador de milhares 8 10 20" xfId="23606" xr:uid="{00000000-0005-0000-0000-000092660000}"/>
    <cellStyle name="Separador de milhares 8 10 21" xfId="23607" xr:uid="{00000000-0005-0000-0000-000093660000}"/>
    <cellStyle name="Separador de milhares 8 10 22" xfId="23608" xr:uid="{00000000-0005-0000-0000-000094660000}"/>
    <cellStyle name="Separador de milhares 8 10 23" xfId="23609" xr:uid="{00000000-0005-0000-0000-000095660000}"/>
    <cellStyle name="Separador de milhares 8 10 24" xfId="23610" xr:uid="{00000000-0005-0000-0000-000096660000}"/>
    <cellStyle name="Separador de milhares 8 10 25" xfId="23611" xr:uid="{00000000-0005-0000-0000-000097660000}"/>
    <cellStyle name="Separador de milhares 8 10 26" xfId="23612" xr:uid="{00000000-0005-0000-0000-000098660000}"/>
    <cellStyle name="Separador de milhares 8 10 26 2" xfId="23613" xr:uid="{00000000-0005-0000-0000-000099660000}"/>
    <cellStyle name="Separador de milhares 8 10 26 3" xfId="23614" xr:uid="{00000000-0005-0000-0000-00009A660000}"/>
    <cellStyle name="Separador de milhares 8 10 26 4" xfId="23615" xr:uid="{00000000-0005-0000-0000-00009B660000}"/>
    <cellStyle name="Separador de milhares 8 10 27" xfId="23616" xr:uid="{00000000-0005-0000-0000-00009C660000}"/>
    <cellStyle name="Separador de milhares 8 10 28" xfId="23617" xr:uid="{00000000-0005-0000-0000-00009D660000}"/>
    <cellStyle name="Separador de milhares 8 10 29" xfId="23618" xr:uid="{00000000-0005-0000-0000-00009E660000}"/>
    <cellStyle name="Separador de milhares 8 10 3" xfId="23619" xr:uid="{00000000-0005-0000-0000-00009F660000}"/>
    <cellStyle name="Separador de milhares 8 10 3 2" xfId="23620" xr:uid="{00000000-0005-0000-0000-0000A0660000}"/>
    <cellStyle name="Separador de milhares 8 10 3 3" xfId="23621" xr:uid="{00000000-0005-0000-0000-0000A1660000}"/>
    <cellStyle name="Separador de milhares 8 10 3 4" xfId="23622" xr:uid="{00000000-0005-0000-0000-0000A2660000}"/>
    <cellStyle name="Separador de milhares 8 10 30" xfId="23623" xr:uid="{00000000-0005-0000-0000-0000A3660000}"/>
    <cellStyle name="Separador de milhares 8 10 31" xfId="23624" xr:uid="{00000000-0005-0000-0000-0000A4660000}"/>
    <cellStyle name="Separador de milhares 8 10 32" xfId="23625" xr:uid="{00000000-0005-0000-0000-0000A5660000}"/>
    <cellStyle name="Separador de milhares 8 10 33" xfId="23626" xr:uid="{00000000-0005-0000-0000-0000A6660000}"/>
    <cellStyle name="Separador de milhares 8 10 34" xfId="23627" xr:uid="{00000000-0005-0000-0000-0000A7660000}"/>
    <cellStyle name="Separador de milhares 8 10 35" xfId="23628" xr:uid="{00000000-0005-0000-0000-0000A8660000}"/>
    <cellStyle name="Separador de milhares 8 10 36" xfId="23629" xr:uid="{00000000-0005-0000-0000-0000A9660000}"/>
    <cellStyle name="Separador de milhares 8 10 4" xfId="23630" xr:uid="{00000000-0005-0000-0000-0000AA660000}"/>
    <cellStyle name="Separador de milhares 8 10 4 2" xfId="23631" xr:uid="{00000000-0005-0000-0000-0000AB660000}"/>
    <cellStyle name="Separador de milhares 8 10 4 3" xfId="23632" xr:uid="{00000000-0005-0000-0000-0000AC660000}"/>
    <cellStyle name="Separador de milhares 8 10 4 4" xfId="23633" xr:uid="{00000000-0005-0000-0000-0000AD660000}"/>
    <cellStyle name="Separador de milhares 8 10 5" xfId="23634" xr:uid="{00000000-0005-0000-0000-0000AE660000}"/>
    <cellStyle name="Separador de milhares 8 10 6" xfId="23635" xr:uid="{00000000-0005-0000-0000-0000AF660000}"/>
    <cellStyle name="Separador de milhares 8 10 7" xfId="23636" xr:uid="{00000000-0005-0000-0000-0000B0660000}"/>
    <cellStyle name="Separador de milhares 8 10 8" xfId="23637" xr:uid="{00000000-0005-0000-0000-0000B1660000}"/>
    <cellStyle name="Separador de milhares 8 10 9" xfId="23638" xr:uid="{00000000-0005-0000-0000-0000B2660000}"/>
    <cellStyle name="Separador de milhares 8 11" xfId="23639" xr:uid="{00000000-0005-0000-0000-0000B3660000}"/>
    <cellStyle name="Separador de milhares 8 12" xfId="23640" xr:uid="{00000000-0005-0000-0000-0000B4660000}"/>
    <cellStyle name="Separador de milhares 8 13" xfId="23641" xr:uid="{00000000-0005-0000-0000-0000B5660000}"/>
    <cellStyle name="Separador de milhares 8 14" xfId="23642" xr:uid="{00000000-0005-0000-0000-0000B6660000}"/>
    <cellStyle name="Separador de milhares 8 15" xfId="23643" xr:uid="{00000000-0005-0000-0000-0000B7660000}"/>
    <cellStyle name="Separador de milhares 8 16" xfId="23644" xr:uid="{00000000-0005-0000-0000-0000B8660000}"/>
    <cellStyle name="Separador de milhares 8 17" xfId="23645" xr:uid="{00000000-0005-0000-0000-0000B9660000}"/>
    <cellStyle name="Separador de milhares 8 18" xfId="23646" xr:uid="{00000000-0005-0000-0000-0000BA660000}"/>
    <cellStyle name="Separador de milhares 8 19" xfId="23647" xr:uid="{00000000-0005-0000-0000-0000BB660000}"/>
    <cellStyle name="Separador de milhares 8 2" xfId="859" xr:uid="{00000000-0005-0000-0000-0000BC660000}"/>
    <cellStyle name="Separador de milhares 8 2 10" xfId="23649" xr:uid="{00000000-0005-0000-0000-0000BD660000}"/>
    <cellStyle name="Separador de milhares 8 2 11" xfId="23650" xr:uid="{00000000-0005-0000-0000-0000BE660000}"/>
    <cellStyle name="Separador de milhares 8 2 12" xfId="23651" xr:uid="{00000000-0005-0000-0000-0000BF660000}"/>
    <cellStyle name="Separador de milhares 8 2 13" xfId="23652" xr:uid="{00000000-0005-0000-0000-0000C0660000}"/>
    <cellStyle name="Separador de milhares 8 2 14" xfId="23653" xr:uid="{00000000-0005-0000-0000-0000C1660000}"/>
    <cellStyle name="Separador de milhares 8 2 15" xfId="23648" xr:uid="{00000000-0005-0000-0000-0000C2660000}"/>
    <cellStyle name="Separador de milhares 8 2 15 2" xfId="32353" xr:uid="{E5A2C736-B47B-4FB8-ABA3-2C76497B774C}"/>
    <cellStyle name="Separador de milhares 8 2 16" xfId="27321" xr:uid="{00000000-0005-0000-0000-0000C3660000}"/>
    <cellStyle name="Separador de milhares 8 2 16 2" xfId="33158" xr:uid="{F02F8B29-F97B-443F-B57F-D7AA0AFC2AB8}"/>
    <cellStyle name="Separador de milhares 8 2 17" xfId="27492" xr:uid="{00000000-0005-0000-0000-0000C4660000}"/>
    <cellStyle name="Separador de milhares 8 2 17 2" xfId="33329" xr:uid="{51CBC889-B2F5-4938-9004-49630B6B1C43}"/>
    <cellStyle name="Separador de milhares 8 2 18" xfId="27661" xr:uid="{00000000-0005-0000-0000-0000C5660000}"/>
    <cellStyle name="Separador de milhares 8 2 18 2" xfId="33472" xr:uid="{F08832D3-DC01-4723-8CF6-E93D3A907E7B}"/>
    <cellStyle name="Separador de milhares 8 2 19" xfId="27818" xr:uid="{00000000-0005-0000-0000-0000C6660000}"/>
    <cellStyle name="Separador de milhares 8 2 19 2" xfId="33629" xr:uid="{2AFA21BE-1C6C-4D6A-B5C1-5F117DDEAE1F}"/>
    <cellStyle name="Separador de milhares 8 2 2" xfId="23654" xr:uid="{00000000-0005-0000-0000-0000C7660000}"/>
    <cellStyle name="Separador de milhares 8 2 2 10" xfId="23655" xr:uid="{00000000-0005-0000-0000-0000C8660000}"/>
    <cellStyle name="Separador de milhares 8 2 2 11" xfId="32354" xr:uid="{6B8855C7-113A-4DC2-952F-D5C9C79F80F7}"/>
    <cellStyle name="Separador de milhares 8 2 2 2" xfId="23656" xr:uid="{00000000-0005-0000-0000-0000C9660000}"/>
    <cellStyle name="Separador de milhares 8 2 2 2 2" xfId="32355" xr:uid="{32EDBE0C-D1C7-43C4-82E5-20FB6C25B28A}"/>
    <cellStyle name="Separador de milhares 8 2 2 3" xfId="23657" xr:uid="{00000000-0005-0000-0000-0000CA660000}"/>
    <cellStyle name="Separador de milhares 8 2 2 4" xfId="23658" xr:uid="{00000000-0005-0000-0000-0000CB660000}"/>
    <cellStyle name="Separador de milhares 8 2 2 5" xfId="23659" xr:uid="{00000000-0005-0000-0000-0000CC660000}"/>
    <cellStyle name="Separador de milhares 8 2 2 6" xfId="23660" xr:uid="{00000000-0005-0000-0000-0000CD660000}"/>
    <cellStyle name="Separador de milhares 8 2 2 7" xfId="23661" xr:uid="{00000000-0005-0000-0000-0000CE660000}"/>
    <cellStyle name="Separador de milhares 8 2 2 8" xfId="23662" xr:uid="{00000000-0005-0000-0000-0000CF660000}"/>
    <cellStyle name="Separador de milhares 8 2 2 9" xfId="23663" xr:uid="{00000000-0005-0000-0000-0000D0660000}"/>
    <cellStyle name="Separador de milhares 8 2 20" xfId="28091" xr:uid="{219BA85D-0113-4299-BD76-23A52D4B6F82}"/>
    <cellStyle name="Separador de milhares 8 2 3" xfId="23664" xr:uid="{00000000-0005-0000-0000-0000D1660000}"/>
    <cellStyle name="Separador de milhares 8 2 3 10" xfId="23665" xr:uid="{00000000-0005-0000-0000-0000D2660000}"/>
    <cellStyle name="Separador de milhares 8 2 3 2" xfId="23666" xr:uid="{00000000-0005-0000-0000-0000D3660000}"/>
    <cellStyle name="Separador de milhares 8 2 3 3" xfId="23667" xr:uid="{00000000-0005-0000-0000-0000D4660000}"/>
    <cellStyle name="Separador de milhares 8 2 3 4" xfId="23668" xr:uid="{00000000-0005-0000-0000-0000D5660000}"/>
    <cellStyle name="Separador de milhares 8 2 3 5" xfId="23669" xr:uid="{00000000-0005-0000-0000-0000D6660000}"/>
    <cellStyle name="Separador de milhares 8 2 3 6" xfId="23670" xr:uid="{00000000-0005-0000-0000-0000D7660000}"/>
    <cellStyle name="Separador de milhares 8 2 3 7" xfId="23671" xr:uid="{00000000-0005-0000-0000-0000D8660000}"/>
    <cellStyle name="Separador de milhares 8 2 3 8" xfId="23672" xr:uid="{00000000-0005-0000-0000-0000D9660000}"/>
    <cellStyle name="Separador de milhares 8 2 3 9" xfId="23673" xr:uid="{00000000-0005-0000-0000-0000DA660000}"/>
    <cellStyle name="Separador de milhares 8 2 4" xfId="23674" xr:uid="{00000000-0005-0000-0000-0000DB660000}"/>
    <cellStyle name="Separador de milhares 8 2 5" xfId="23675" xr:uid="{00000000-0005-0000-0000-0000DC660000}"/>
    <cellStyle name="Separador de milhares 8 2 6" xfId="23676" xr:uid="{00000000-0005-0000-0000-0000DD660000}"/>
    <cellStyle name="Separador de milhares 8 2 7" xfId="23677" xr:uid="{00000000-0005-0000-0000-0000DE660000}"/>
    <cellStyle name="Separador de milhares 8 2 8" xfId="23678" xr:uid="{00000000-0005-0000-0000-0000DF660000}"/>
    <cellStyle name="Separador de milhares 8 2 9" xfId="23679" xr:uid="{00000000-0005-0000-0000-0000E0660000}"/>
    <cellStyle name="Separador de milhares 8 20" xfId="23680" xr:uid="{00000000-0005-0000-0000-0000E1660000}"/>
    <cellStyle name="Separador de milhares 8 21" xfId="23681" xr:uid="{00000000-0005-0000-0000-0000E2660000}"/>
    <cellStyle name="Separador de milhares 8 22" xfId="23682" xr:uid="{00000000-0005-0000-0000-0000E3660000}"/>
    <cellStyle name="Separador de milhares 8 23" xfId="23683" xr:uid="{00000000-0005-0000-0000-0000E4660000}"/>
    <cellStyle name="Separador de milhares 8 24" xfId="23684" xr:uid="{00000000-0005-0000-0000-0000E5660000}"/>
    <cellStyle name="Separador de milhares 8 25" xfId="23685" xr:uid="{00000000-0005-0000-0000-0000E6660000}"/>
    <cellStyle name="Separador de milhares 8 26" xfId="27216" xr:uid="{00000000-0005-0000-0000-0000E7660000}"/>
    <cellStyle name="Separador de milhares 8 26 2" xfId="33058" xr:uid="{A86122C0-9F1A-4768-9515-C8F98778229A}"/>
    <cellStyle name="Separador de milhares 8 27" xfId="27396" xr:uid="{00000000-0005-0000-0000-0000E8660000}"/>
    <cellStyle name="Separador de milhares 8 27 2" xfId="33233" xr:uid="{980473EE-B0F5-40C9-BD5E-505345E5A5A7}"/>
    <cellStyle name="Separador de milhares 8 28" xfId="27574" xr:uid="{00000000-0005-0000-0000-0000E9660000}"/>
    <cellStyle name="Separador de milhares 8 28 2" xfId="33386" xr:uid="{45C35F0D-ADD7-454B-BEBC-1BCE1F23E9FA}"/>
    <cellStyle name="Separador de milhares 8 29" xfId="27725" xr:uid="{00000000-0005-0000-0000-0000EA660000}"/>
    <cellStyle name="Separador de milhares 8 29 2" xfId="33536" xr:uid="{D1C026B2-4AC6-4CD4-9A4B-F3B34B226744}"/>
    <cellStyle name="Separador de milhares 8 3" xfId="860" xr:uid="{00000000-0005-0000-0000-0000EB660000}"/>
    <cellStyle name="Separador de milhares 8 3 10" xfId="23686" xr:uid="{00000000-0005-0000-0000-0000EC660000}"/>
    <cellStyle name="Separador de milhares 8 3 11" xfId="28092" xr:uid="{20D31800-1983-48CE-9A39-CE7E82416D35}"/>
    <cellStyle name="Separador de milhares 8 3 2" xfId="23687" xr:uid="{00000000-0005-0000-0000-0000ED660000}"/>
    <cellStyle name="Separador de milhares 8 3 2 2" xfId="32356" xr:uid="{75D8ADBA-0516-42BF-B102-D56FC5682D63}"/>
    <cellStyle name="Separador de milhares 8 3 3" xfId="23688" xr:uid="{00000000-0005-0000-0000-0000EE660000}"/>
    <cellStyle name="Separador de milhares 8 3 4" xfId="23689" xr:uid="{00000000-0005-0000-0000-0000EF660000}"/>
    <cellStyle name="Separador de milhares 8 3 5" xfId="23690" xr:uid="{00000000-0005-0000-0000-0000F0660000}"/>
    <cellStyle name="Separador de milhares 8 3 6" xfId="23691" xr:uid="{00000000-0005-0000-0000-0000F1660000}"/>
    <cellStyle name="Separador de milhares 8 3 7" xfId="23692" xr:uid="{00000000-0005-0000-0000-0000F2660000}"/>
    <cellStyle name="Separador de milhares 8 3 8" xfId="23693" xr:uid="{00000000-0005-0000-0000-0000F3660000}"/>
    <cellStyle name="Separador de milhares 8 3 9" xfId="23694" xr:uid="{00000000-0005-0000-0000-0000F4660000}"/>
    <cellStyle name="Separador de milhares 8 30" xfId="28090" xr:uid="{2140F389-7A23-4FE8-A2ED-0B344FAABF64}"/>
    <cellStyle name="Separador de milhares 8 4" xfId="23695" xr:uid="{00000000-0005-0000-0000-0000F5660000}"/>
    <cellStyle name="Separador de milhares 8 4 10" xfId="23696" xr:uid="{00000000-0005-0000-0000-0000F6660000}"/>
    <cellStyle name="Separador de milhares 8 4 11" xfId="32357" xr:uid="{5C938F3C-A46F-43B1-A6D8-054B23B73642}"/>
    <cellStyle name="Separador de milhares 8 4 2" xfId="23697" xr:uid="{00000000-0005-0000-0000-0000F7660000}"/>
    <cellStyle name="Separador de milhares 8 4 2 2" xfId="32358" xr:uid="{CB0D9407-6D2F-4433-A87B-AA5FBF3C75E0}"/>
    <cellStyle name="Separador de milhares 8 4 3" xfId="23698" xr:uid="{00000000-0005-0000-0000-0000F8660000}"/>
    <cellStyle name="Separador de milhares 8 4 4" xfId="23699" xr:uid="{00000000-0005-0000-0000-0000F9660000}"/>
    <cellStyle name="Separador de milhares 8 4 5" xfId="23700" xr:uid="{00000000-0005-0000-0000-0000FA660000}"/>
    <cellStyle name="Separador de milhares 8 4 6" xfId="23701" xr:uid="{00000000-0005-0000-0000-0000FB660000}"/>
    <cellStyle name="Separador de milhares 8 4 7" xfId="23702" xr:uid="{00000000-0005-0000-0000-0000FC660000}"/>
    <cellStyle name="Separador de milhares 8 4 8" xfId="23703" xr:uid="{00000000-0005-0000-0000-0000FD660000}"/>
    <cellStyle name="Separador de milhares 8 4 9" xfId="23704" xr:uid="{00000000-0005-0000-0000-0000FE660000}"/>
    <cellStyle name="Separador de milhares 8 5" xfId="23705" xr:uid="{00000000-0005-0000-0000-0000FF660000}"/>
    <cellStyle name="Separador de milhares 8 5 2" xfId="23706" xr:uid="{00000000-0005-0000-0000-000000670000}"/>
    <cellStyle name="Separador de milhares 8 5 3" xfId="23707" xr:uid="{00000000-0005-0000-0000-000001670000}"/>
    <cellStyle name="Separador de milhares 8 5 4" xfId="23708" xr:uid="{00000000-0005-0000-0000-000002670000}"/>
    <cellStyle name="Separador de milhares 8 6" xfId="23709" xr:uid="{00000000-0005-0000-0000-000003670000}"/>
    <cellStyle name="Separador de milhares 8 6 2" xfId="23710" xr:uid="{00000000-0005-0000-0000-000004670000}"/>
    <cellStyle name="Separador de milhares 8 6 3" xfId="23711" xr:uid="{00000000-0005-0000-0000-000005670000}"/>
    <cellStyle name="Separador de milhares 8 6 4" xfId="23712" xr:uid="{00000000-0005-0000-0000-000006670000}"/>
    <cellStyle name="Separador de milhares 8 7" xfId="23713" xr:uid="{00000000-0005-0000-0000-000007670000}"/>
    <cellStyle name="Separador de milhares 8 7 2" xfId="23714" xr:uid="{00000000-0005-0000-0000-000008670000}"/>
    <cellStyle name="Separador de milhares 8 7 3" xfId="23715" xr:uid="{00000000-0005-0000-0000-000009670000}"/>
    <cellStyle name="Separador de milhares 8 7 4" xfId="23716" xr:uid="{00000000-0005-0000-0000-00000A670000}"/>
    <cellStyle name="Separador de milhares 8 8" xfId="23717" xr:uid="{00000000-0005-0000-0000-00000B670000}"/>
    <cellStyle name="Separador de milhares 8 8 2" xfId="23718" xr:uid="{00000000-0005-0000-0000-00000C670000}"/>
    <cellStyle name="Separador de milhares 8 8 3" xfId="23719" xr:uid="{00000000-0005-0000-0000-00000D670000}"/>
    <cellStyle name="Separador de milhares 8 8 4" xfId="23720" xr:uid="{00000000-0005-0000-0000-00000E670000}"/>
    <cellStyle name="Separador de milhares 8 9" xfId="23721" xr:uid="{00000000-0005-0000-0000-00000F670000}"/>
    <cellStyle name="Separador de milhares 8 9 2" xfId="23722" xr:uid="{00000000-0005-0000-0000-000010670000}"/>
    <cellStyle name="Separador de milhares 8 9 2 2" xfId="23723" xr:uid="{00000000-0005-0000-0000-000011670000}"/>
    <cellStyle name="Separador de milhares 8 9 2 3" xfId="23724" xr:uid="{00000000-0005-0000-0000-000012670000}"/>
    <cellStyle name="Separador de milhares 8 9 2 4" xfId="23725" xr:uid="{00000000-0005-0000-0000-000013670000}"/>
    <cellStyle name="Separador de milhares 8 9 3" xfId="23726" xr:uid="{00000000-0005-0000-0000-000014670000}"/>
    <cellStyle name="Separador de milhares 8 9 3 2" xfId="23727" xr:uid="{00000000-0005-0000-0000-000015670000}"/>
    <cellStyle name="Separador de milhares 8 9 3 3" xfId="23728" xr:uid="{00000000-0005-0000-0000-000016670000}"/>
    <cellStyle name="Separador de milhares 8 9 3 4" xfId="23729" xr:uid="{00000000-0005-0000-0000-000017670000}"/>
    <cellStyle name="Separador de milhares 8 9 4" xfId="23730" xr:uid="{00000000-0005-0000-0000-000018670000}"/>
    <cellStyle name="Separador de milhares 9" xfId="861" xr:uid="{00000000-0005-0000-0000-000019670000}"/>
    <cellStyle name="Separador de milhares 9 10" xfId="23732" xr:uid="{00000000-0005-0000-0000-00001A670000}"/>
    <cellStyle name="Separador de milhares 9 10 10" xfId="23733" xr:uid="{00000000-0005-0000-0000-00001B670000}"/>
    <cellStyle name="Separador de milhares 9 10 11" xfId="23734" xr:uid="{00000000-0005-0000-0000-00001C670000}"/>
    <cellStyle name="Separador de milhares 9 10 12" xfId="23735" xr:uid="{00000000-0005-0000-0000-00001D670000}"/>
    <cellStyle name="Separador de milhares 9 10 13" xfId="23736" xr:uid="{00000000-0005-0000-0000-00001E670000}"/>
    <cellStyle name="Separador de milhares 9 10 14" xfId="23737" xr:uid="{00000000-0005-0000-0000-00001F670000}"/>
    <cellStyle name="Separador de milhares 9 10 15" xfId="23738" xr:uid="{00000000-0005-0000-0000-000020670000}"/>
    <cellStyle name="Separador de milhares 9 10 16" xfId="23739" xr:uid="{00000000-0005-0000-0000-000021670000}"/>
    <cellStyle name="Separador de milhares 9 10 17" xfId="23740" xr:uid="{00000000-0005-0000-0000-000022670000}"/>
    <cellStyle name="Separador de milhares 9 10 18" xfId="23741" xr:uid="{00000000-0005-0000-0000-000023670000}"/>
    <cellStyle name="Separador de milhares 9 10 19" xfId="23742" xr:uid="{00000000-0005-0000-0000-000024670000}"/>
    <cellStyle name="Separador de milhares 9 10 2" xfId="23743" xr:uid="{00000000-0005-0000-0000-000025670000}"/>
    <cellStyle name="Separador de milhares 9 10 2 10" xfId="23744" xr:uid="{00000000-0005-0000-0000-000026670000}"/>
    <cellStyle name="Separador de milhares 9 10 2 10 2" xfId="23745" xr:uid="{00000000-0005-0000-0000-000027670000}"/>
    <cellStyle name="Separador de milhares 9 10 2 10 3" xfId="23746" xr:uid="{00000000-0005-0000-0000-000028670000}"/>
    <cellStyle name="Separador de milhares 9 10 2 10 4" xfId="23747" xr:uid="{00000000-0005-0000-0000-000029670000}"/>
    <cellStyle name="Separador de milhares 9 10 2 11" xfId="23748" xr:uid="{00000000-0005-0000-0000-00002A670000}"/>
    <cellStyle name="Separador de milhares 9 10 2 11 2" xfId="23749" xr:uid="{00000000-0005-0000-0000-00002B670000}"/>
    <cellStyle name="Separador de milhares 9 10 2 11 3" xfId="23750" xr:uid="{00000000-0005-0000-0000-00002C670000}"/>
    <cellStyle name="Separador de milhares 9 10 2 11 4" xfId="23751" xr:uid="{00000000-0005-0000-0000-00002D670000}"/>
    <cellStyle name="Separador de milhares 9 10 2 12" xfId="23752" xr:uid="{00000000-0005-0000-0000-00002E670000}"/>
    <cellStyle name="Separador de milhares 9 10 2 12 2" xfId="23753" xr:uid="{00000000-0005-0000-0000-00002F670000}"/>
    <cellStyle name="Separador de milhares 9 10 2 12 3" xfId="23754" xr:uid="{00000000-0005-0000-0000-000030670000}"/>
    <cellStyle name="Separador de milhares 9 10 2 12 4" xfId="23755" xr:uid="{00000000-0005-0000-0000-000031670000}"/>
    <cellStyle name="Separador de milhares 9 10 2 13" xfId="23756" xr:uid="{00000000-0005-0000-0000-000032670000}"/>
    <cellStyle name="Separador de milhares 9 10 2 13 2" xfId="23757" xr:uid="{00000000-0005-0000-0000-000033670000}"/>
    <cellStyle name="Separador de milhares 9 10 2 13 3" xfId="23758" xr:uid="{00000000-0005-0000-0000-000034670000}"/>
    <cellStyle name="Separador de milhares 9 10 2 13 4" xfId="23759" xr:uid="{00000000-0005-0000-0000-000035670000}"/>
    <cellStyle name="Separador de milhares 9 10 2 14" xfId="23760" xr:uid="{00000000-0005-0000-0000-000036670000}"/>
    <cellStyle name="Separador de milhares 9 10 2 14 2" xfId="23761" xr:uid="{00000000-0005-0000-0000-000037670000}"/>
    <cellStyle name="Separador de milhares 9 10 2 14 3" xfId="23762" xr:uid="{00000000-0005-0000-0000-000038670000}"/>
    <cellStyle name="Separador de milhares 9 10 2 14 4" xfId="23763" xr:uid="{00000000-0005-0000-0000-000039670000}"/>
    <cellStyle name="Separador de milhares 9 10 2 15" xfId="23764" xr:uid="{00000000-0005-0000-0000-00003A670000}"/>
    <cellStyle name="Separador de milhares 9 10 2 15 2" xfId="23765" xr:uid="{00000000-0005-0000-0000-00003B670000}"/>
    <cellStyle name="Separador de milhares 9 10 2 15 3" xfId="23766" xr:uid="{00000000-0005-0000-0000-00003C670000}"/>
    <cellStyle name="Separador de milhares 9 10 2 15 4" xfId="23767" xr:uid="{00000000-0005-0000-0000-00003D670000}"/>
    <cellStyle name="Separador de milhares 9 10 2 16" xfId="23768" xr:uid="{00000000-0005-0000-0000-00003E670000}"/>
    <cellStyle name="Separador de milhares 9 10 2 17" xfId="23769" xr:uid="{00000000-0005-0000-0000-00003F670000}"/>
    <cellStyle name="Separador de milhares 9 10 2 18" xfId="23770" xr:uid="{00000000-0005-0000-0000-000040670000}"/>
    <cellStyle name="Separador de milhares 9 10 2 19" xfId="23771" xr:uid="{00000000-0005-0000-0000-000041670000}"/>
    <cellStyle name="Separador de milhares 9 10 2 2" xfId="23772" xr:uid="{00000000-0005-0000-0000-000042670000}"/>
    <cellStyle name="Separador de milhares 9 10 2 2 2" xfId="23773" xr:uid="{00000000-0005-0000-0000-000043670000}"/>
    <cellStyle name="Separador de milhares 9 10 2 2 3" xfId="23774" xr:uid="{00000000-0005-0000-0000-000044670000}"/>
    <cellStyle name="Separador de milhares 9 10 2 2 4" xfId="23775" xr:uid="{00000000-0005-0000-0000-000045670000}"/>
    <cellStyle name="Separador de milhares 9 10 2 20" xfId="23776" xr:uid="{00000000-0005-0000-0000-000046670000}"/>
    <cellStyle name="Separador de milhares 9 10 2 21" xfId="23777" xr:uid="{00000000-0005-0000-0000-000047670000}"/>
    <cellStyle name="Separador de milhares 9 10 2 3" xfId="23778" xr:uid="{00000000-0005-0000-0000-000048670000}"/>
    <cellStyle name="Separador de milhares 9 10 2 3 2" xfId="23779" xr:uid="{00000000-0005-0000-0000-000049670000}"/>
    <cellStyle name="Separador de milhares 9 10 2 3 3" xfId="23780" xr:uid="{00000000-0005-0000-0000-00004A670000}"/>
    <cellStyle name="Separador de milhares 9 10 2 3 4" xfId="23781" xr:uid="{00000000-0005-0000-0000-00004B670000}"/>
    <cellStyle name="Separador de milhares 9 10 2 4" xfId="23782" xr:uid="{00000000-0005-0000-0000-00004C670000}"/>
    <cellStyle name="Separador de milhares 9 10 2 4 2" xfId="23783" xr:uid="{00000000-0005-0000-0000-00004D670000}"/>
    <cellStyle name="Separador de milhares 9 10 2 4 3" xfId="23784" xr:uid="{00000000-0005-0000-0000-00004E670000}"/>
    <cellStyle name="Separador de milhares 9 10 2 4 4" xfId="23785" xr:uid="{00000000-0005-0000-0000-00004F670000}"/>
    <cellStyle name="Separador de milhares 9 10 2 5" xfId="23786" xr:uid="{00000000-0005-0000-0000-000050670000}"/>
    <cellStyle name="Separador de milhares 9 10 2 5 2" xfId="23787" xr:uid="{00000000-0005-0000-0000-000051670000}"/>
    <cellStyle name="Separador de milhares 9 10 2 5 3" xfId="23788" xr:uid="{00000000-0005-0000-0000-000052670000}"/>
    <cellStyle name="Separador de milhares 9 10 2 5 4" xfId="23789" xr:uid="{00000000-0005-0000-0000-000053670000}"/>
    <cellStyle name="Separador de milhares 9 10 2 6" xfId="23790" xr:uid="{00000000-0005-0000-0000-000054670000}"/>
    <cellStyle name="Separador de milhares 9 10 2 6 2" xfId="23791" xr:uid="{00000000-0005-0000-0000-000055670000}"/>
    <cellStyle name="Separador de milhares 9 10 2 6 3" xfId="23792" xr:uid="{00000000-0005-0000-0000-000056670000}"/>
    <cellStyle name="Separador de milhares 9 10 2 6 4" xfId="23793" xr:uid="{00000000-0005-0000-0000-000057670000}"/>
    <cellStyle name="Separador de milhares 9 10 2 7" xfId="23794" xr:uid="{00000000-0005-0000-0000-000058670000}"/>
    <cellStyle name="Separador de milhares 9 10 2 7 2" xfId="23795" xr:uid="{00000000-0005-0000-0000-000059670000}"/>
    <cellStyle name="Separador de milhares 9 10 2 7 3" xfId="23796" xr:uid="{00000000-0005-0000-0000-00005A670000}"/>
    <cellStyle name="Separador de milhares 9 10 2 7 4" xfId="23797" xr:uid="{00000000-0005-0000-0000-00005B670000}"/>
    <cellStyle name="Separador de milhares 9 10 2 8" xfId="23798" xr:uid="{00000000-0005-0000-0000-00005C670000}"/>
    <cellStyle name="Separador de milhares 9 10 2 8 2" xfId="23799" xr:uid="{00000000-0005-0000-0000-00005D670000}"/>
    <cellStyle name="Separador de milhares 9 10 2 8 3" xfId="23800" xr:uid="{00000000-0005-0000-0000-00005E670000}"/>
    <cellStyle name="Separador de milhares 9 10 2 8 4" xfId="23801" xr:uid="{00000000-0005-0000-0000-00005F670000}"/>
    <cellStyle name="Separador de milhares 9 10 2 9" xfId="23802" xr:uid="{00000000-0005-0000-0000-000060670000}"/>
    <cellStyle name="Separador de milhares 9 10 2 9 2" xfId="23803" xr:uid="{00000000-0005-0000-0000-000061670000}"/>
    <cellStyle name="Separador de milhares 9 10 2 9 3" xfId="23804" xr:uid="{00000000-0005-0000-0000-000062670000}"/>
    <cellStyle name="Separador de milhares 9 10 2 9 4" xfId="23805" xr:uid="{00000000-0005-0000-0000-000063670000}"/>
    <cellStyle name="Separador de milhares 9 10 20" xfId="23806" xr:uid="{00000000-0005-0000-0000-000064670000}"/>
    <cellStyle name="Separador de milhares 9 10 21" xfId="23807" xr:uid="{00000000-0005-0000-0000-000065670000}"/>
    <cellStyle name="Separador de milhares 9 10 22" xfId="23808" xr:uid="{00000000-0005-0000-0000-000066670000}"/>
    <cellStyle name="Separador de milhares 9 10 23" xfId="23809" xr:uid="{00000000-0005-0000-0000-000067670000}"/>
    <cellStyle name="Separador de milhares 9 10 24" xfId="23810" xr:uid="{00000000-0005-0000-0000-000068670000}"/>
    <cellStyle name="Separador de milhares 9 10 25" xfId="23811" xr:uid="{00000000-0005-0000-0000-000069670000}"/>
    <cellStyle name="Separador de milhares 9 10 26" xfId="23812" xr:uid="{00000000-0005-0000-0000-00006A670000}"/>
    <cellStyle name="Separador de milhares 9 10 26 2" xfId="23813" xr:uid="{00000000-0005-0000-0000-00006B670000}"/>
    <cellStyle name="Separador de milhares 9 10 26 3" xfId="23814" xr:uid="{00000000-0005-0000-0000-00006C670000}"/>
    <cellStyle name="Separador de milhares 9 10 26 4" xfId="23815" xr:uid="{00000000-0005-0000-0000-00006D670000}"/>
    <cellStyle name="Separador de milhares 9 10 27" xfId="23816" xr:uid="{00000000-0005-0000-0000-00006E670000}"/>
    <cellStyle name="Separador de milhares 9 10 28" xfId="23817" xr:uid="{00000000-0005-0000-0000-00006F670000}"/>
    <cellStyle name="Separador de milhares 9 10 29" xfId="23818" xr:uid="{00000000-0005-0000-0000-000070670000}"/>
    <cellStyle name="Separador de milhares 9 10 3" xfId="23819" xr:uid="{00000000-0005-0000-0000-000071670000}"/>
    <cellStyle name="Separador de milhares 9 10 3 2" xfId="23820" xr:uid="{00000000-0005-0000-0000-000072670000}"/>
    <cellStyle name="Separador de milhares 9 10 3 3" xfId="23821" xr:uid="{00000000-0005-0000-0000-000073670000}"/>
    <cellStyle name="Separador de milhares 9 10 3 4" xfId="23822" xr:uid="{00000000-0005-0000-0000-000074670000}"/>
    <cellStyle name="Separador de milhares 9 10 30" xfId="23823" xr:uid="{00000000-0005-0000-0000-000075670000}"/>
    <cellStyle name="Separador de milhares 9 10 31" xfId="23824" xr:uid="{00000000-0005-0000-0000-000076670000}"/>
    <cellStyle name="Separador de milhares 9 10 32" xfId="23825" xr:uid="{00000000-0005-0000-0000-000077670000}"/>
    <cellStyle name="Separador de milhares 9 10 33" xfId="23826" xr:uid="{00000000-0005-0000-0000-000078670000}"/>
    <cellStyle name="Separador de milhares 9 10 34" xfId="23827" xr:uid="{00000000-0005-0000-0000-000079670000}"/>
    <cellStyle name="Separador de milhares 9 10 35" xfId="23828" xr:uid="{00000000-0005-0000-0000-00007A670000}"/>
    <cellStyle name="Separador de milhares 9 10 36" xfId="23829" xr:uid="{00000000-0005-0000-0000-00007B670000}"/>
    <cellStyle name="Separador de milhares 9 10 4" xfId="23830" xr:uid="{00000000-0005-0000-0000-00007C670000}"/>
    <cellStyle name="Separador de milhares 9 10 4 2" xfId="23831" xr:uid="{00000000-0005-0000-0000-00007D670000}"/>
    <cellStyle name="Separador de milhares 9 10 4 3" xfId="23832" xr:uid="{00000000-0005-0000-0000-00007E670000}"/>
    <cellStyle name="Separador de milhares 9 10 4 4" xfId="23833" xr:uid="{00000000-0005-0000-0000-00007F670000}"/>
    <cellStyle name="Separador de milhares 9 10 5" xfId="23834" xr:uid="{00000000-0005-0000-0000-000080670000}"/>
    <cellStyle name="Separador de milhares 9 10 6" xfId="23835" xr:uid="{00000000-0005-0000-0000-000081670000}"/>
    <cellStyle name="Separador de milhares 9 10 7" xfId="23836" xr:uid="{00000000-0005-0000-0000-000082670000}"/>
    <cellStyle name="Separador de milhares 9 10 8" xfId="23837" xr:uid="{00000000-0005-0000-0000-000083670000}"/>
    <cellStyle name="Separador de milhares 9 10 9" xfId="23838" xr:uid="{00000000-0005-0000-0000-000084670000}"/>
    <cellStyle name="Separador de milhares 9 100" xfId="27646" xr:uid="{00000000-0005-0000-0000-000085670000}"/>
    <cellStyle name="Separador de milhares 9 100 2" xfId="33457" xr:uid="{FF22856E-0C36-48A9-ADC0-5772866732E4}"/>
    <cellStyle name="Separador de milhares 9 101" xfId="27726" xr:uid="{00000000-0005-0000-0000-000086670000}"/>
    <cellStyle name="Separador de milhares 9 101 2" xfId="33537" xr:uid="{998EAEFC-01F6-4A40-8E7F-CDB1ADB84C62}"/>
    <cellStyle name="Separador de milhares 9 102" xfId="28093" xr:uid="{142541DF-B562-4241-9E24-AFD4392BD668}"/>
    <cellStyle name="Separador de milhares 9 11" xfId="23839" xr:uid="{00000000-0005-0000-0000-000087670000}"/>
    <cellStyle name="Separador de milhares 9 11 2" xfId="23840" xr:uid="{00000000-0005-0000-0000-000088670000}"/>
    <cellStyle name="Separador de milhares 9 11 2 2" xfId="32360" xr:uid="{D5007A27-476F-43B4-946D-18875F7D0D63}"/>
    <cellStyle name="Separador de milhares 9 12" xfId="23841" xr:uid="{00000000-0005-0000-0000-000089670000}"/>
    <cellStyle name="Separador de milhares 9 12 2" xfId="23842" xr:uid="{00000000-0005-0000-0000-00008A670000}"/>
    <cellStyle name="Separador de milhares 9 12 2 2" xfId="32361" xr:uid="{B566FEF9-4C6F-44AE-8F04-422154A7358B}"/>
    <cellStyle name="Separador de milhares 9 13" xfId="23843" xr:uid="{00000000-0005-0000-0000-00008B670000}"/>
    <cellStyle name="Separador de milhares 9 13 2" xfId="23844" xr:uid="{00000000-0005-0000-0000-00008C670000}"/>
    <cellStyle name="Separador de milhares 9 13 2 2" xfId="32362" xr:uid="{77DDEA16-96CD-4FCE-BB59-05878D750F3E}"/>
    <cellStyle name="Separador de milhares 9 14" xfId="23845" xr:uid="{00000000-0005-0000-0000-00008D670000}"/>
    <cellStyle name="Separador de milhares 9 14 2" xfId="23846" xr:uid="{00000000-0005-0000-0000-00008E670000}"/>
    <cellStyle name="Separador de milhares 9 14 2 2" xfId="32363" xr:uid="{02C21891-D6E5-4F2C-87A1-A37BF4185FDA}"/>
    <cellStyle name="Separador de milhares 9 15" xfId="23847" xr:uid="{00000000-0005-0000-0000-00008F670000}"/>
    <cellStyle name="Separador de milhares 9 15 2" xfId="23848" xr:uid="{00000000-0005-0000-0000-000090670000}"/>
    <cellStyle name="Separador de milhares 9 15 2 2" xfId="32364" xr:uid="{30F5FA8B-BF59-4F5A-B828-DBEA2373EF61}"/>
    <cellStyle name="Separador de milhares 9 16" xfId="23849" xr:uid="{00000000-0005-0000-0000-000091670000}"/>
    <cellStyle name="Separador de milhares 9 16 2" xfId="23850" xr:uid="{00000000-0005-0000-0000-000092670000}"/>
    <cellStyle name="Separador de milhares 9 16 2 2" xfId="32365" xr:uid="{5B02BA09-69BB-4C9A-AA2B-0D401A81A45F}"/>
    <cellStyle name="Separador de milhares 9 17" xfId="23851" xr:uid="{00000000-0005-0000-0000-000093670000}"/>
    <cellStyle name="Separador de milhares 9 17 2" xfId="23852" xr:uid="{00000000-0005-0000-0000-000094670000}"/>
    <cellStyle name="Separador de milhares 9 17 2 2" xfId="32366" xr:uid="{280A310B-C90F-451B-A4EE-BABCED3B41C4}"/>
    <cellStyle name="Separador de milhares 9 18" xfId="23853" xr:uid="{00000000-0005-0000-0000-000095670000}"/>
    <cellStyle name="Separador de milhares 9 18 2" xfId="23854" xr:uid="{00000000-0005-0000-0000-000096670000}"/>
    <cellStyle name="Separador de milhares 9 18 2 2" xfId="32367" xr:uid="{B8C800CF-CC4F-4A21-AF5F-34DEBA417B33}"/>
    <cellStyle name="Separador de milhares 9 19" xfId="23855" xr:uid="{00000000-0005-0000-0000-000097670000}"/>
    <cellStyle name="Separador de milhares 9 19 2" xfId="23856" xr:uid="{00000000-0005-0000-0000-000098670000}"/>
    <cellStyle name="Separador de milhares 9 19 2 2" xfId="32368" xr:uid="{34EA54C7-8DAC-40DE-A5F6-7853F1AFB0F0}"/>
    <cellStyle name="Separador de milhares 9 2" xfId="862" xr:uid="{00000000-0005-0000-0000-000099670000}"/>
    <cellStyle name="Separador de milhares 9 2 10" xfId="23858" xr:uid="{00000000-0005-0000-0000-00009A670000}"/>
    <cellStyle name="Separador de milhares 9 2 10 2" xfId="23859" xr:uid="{00000000-0005-0000-0000-00009B670000}"/>
    <cellStyle name="Separador de milhares 9 2 10 2 2" xfId="32370" xr:uid="{EFBA0CF2-6168-4E78-8735-B71053BFC89D}"/>
    <cellStyle name="Separador de milhares 9 2 11" xfId="23860" xr:uid="{00000000-0005-0000-0000-00009C670000}"/>
    <cellStyle name="Separador de milhares 9 2 11 2" xfId="23861" xr:uid="{00000000-0005-0000-0000-00009D670000}"/>
    <cellStyle name="Separador de milhares 9 2 11 2 2" xfId="32371" xr:uid="{97CAF4E9-6344-4C14-B7B6-9581D8A14608}"/>
    <cellStyle name="Separador de milhares 9 2 12" xfId="23862" xr:uid="{00000000-0005-0000-0000-00009E670000}"/>
    <cellStyle name="Separador de milhares 9 2 12 2" xfId="23863" xr:uid="{00000000-0005-0000-0000-00009F670000}"/>
    <cellStyle name="Separador de milhares 9 2 12 2 2" xfId="32372" xr:uid="{BFA6712F-5F49-4184-BB26-0FF1A5F667DB}"/>
    <cellStyle name="Separador de milhares 9 2 13" xfId="23864" xr:uid="{00000000-0005-0000-0000-0000A0670000}"/>
    <cellStyle name="Separador de milhares 9 2 13 2" xfId="23865" xr:uid="{00000000-0005-0000-0000-0000A1670000}"/>
    <cellStyle name="Separador de milhares 9 2 13 2 2" xfId="32373" xr:uid="{42D7173F-CA3F-43EB-AF1D-CBEC27197BCB}"/>
    <cellStyle name="Separador de milhares 9 2 14" xfId="23866" xr:uid="{00000000-0005-0000-0000-0000A2670000}"/>
    <cellStyle name="Separador de milhares 9 2 14 2" xfId="23867" xr:uid="{00000000-0005-0000-0000-0000A3670000}"/>
    <cellStyle name="Separador de milhares 9 2 14 2 2" xfId="32374" xr:uid="{18130A46-BBE8-4D4A-9359-FC259E04FA91}"/>
    <cellStyle name="Separador de milhares 9 2 15" xfId="23868" xr:uid="{00000000-0005-0000-0000-0000A4670000}"/>
    <cellStyle name="Separador de milhares 9 2 15 2" xfId="23869" xr:uid="{00000000-0005-0000-0000-0000A5670000}"/>
    <cellStyle name="Separador de milhares 9 2 15 2 2" xfId="32375" xr:uid="{AB308928-796C-4BE8-A3D7-41334B5C0601}"/>
    <cellStyle name="Separador de milhares 9 2 16" xfId="23870" xr:uid="{00000000-0005-0000-0000-0000A6670000}"/>
    <cellStyle name="Separador de milhares 9 2 16 2" xfId="23871" xr:uid="{00000000-0005-0000-0000-0000A7670000}"/>
    <cellStyle name="Separador de milhares 9 2 16 2 2" xfId="32376" xr:uid="{874F43DA-8AB9-4F5E-B352-33E680247D78}"/>
    <cellStyle name="Separador de milhares 9 2 17" xfId="23872" xr:uid="{00000000-0005-0000-0000-0000A8670000}"/>
    <cellStyle name="Separador de milhares 9 2 17 2" xfId="23873" xr:uid="{00000000-0005-0000-0000-0000A9670000}"/>
    <cellStyle name="Separador de milhares 9 2 17 2 2" xfId="32378" xr:uid="{9376292B-0F55-4C81-8B18-E7FF74BD9505}"/>
    <cellStyle name="Separador de milhares 9 2 17 3" xfId="32377" xr:uid="{66F1C96E-3AAF-41AB-9263-86E15B828EE8}"/>
    <cellStyle name="Separador de milhares 9 2 18" xfId="23874" xr:uid="{00000000-0005-0000-0000-0000AA670000}"/>
    <cellStyle name="Separador de milhares 9 2 18 2" xfId="23875" xr:uid="{00000000-0005-0000-0000-0000AB670000}"/>
    <cellStyle name="Separador de milhares 9 2 18 2 2" xfId="32380" xr:uid="{B965C214-1513-4DE5-9620-0A252F8E8807}"/>
    <cellStyle name="Separador de milhares 9 2 18 3" xfId="32379" xr:uid="{F50C9057-166E-4BDC-A3B4-6876E6ECDAD3}"/>
    <cellStyle name="Separador de milhares 9 2 19" xfId="23876" xr:uid="{00000000-0005-0000-0000-0000AC670000}"/>
    <cellStyle name="Separador de milhares 9 2 19 2" xfId="23877" xr:uid="{00000000-0005-0000-0000-0000AD670000}"/>
    <cellStyle name="Separador de milhares 9 2 19 2 2" xfId="32382" xr:uid="{CFE41D16-0C87-4970-ADE7-1BB409E68532}"/>
    <cellStyle name="Separador de milhares 9 2 19 3" xfId="32381" xr:uid="{736745A4-417C-4C14-838F-E699CAC50960}"/>
    <cellStyle name="Separador de milhares 9 2 2" xfId="863" xr:uid="{00000000-0005-0000-0000-0000AE670000}"/>
    <cellStyle name="Separador de milhares 9 2 2 10" xfId="23879" xr:uid="{00000000-0005-0000-0000-0000AF670000}"/>
    <cellStyle name="Separador de milhares 9 2 2 11" xfId="23880" xr:uid="{00000000-0005-0000-0000-0000B0670000}"/>
    <cellStyle name="Separador de milhares 9 2 2 12" xfId="23881" xr:uid="{00000000-0005-0000-0000-0000B1670000}"/>
    <cellStyle name="Separador de milhares 9 2 2 13" xfId="23882" xr:uid="{00000000-0005-0000-0000-0000B2670000}"/>
    <cellStyle name="Separador de milhares 9 2 2 14" xfId="23883" xr:uid="{00000000-0005-0000-0000-0000B3670000}"/>
    <cellStyle name="Separador de milhares 9 2 2 15" xfId="23884" xr:uid="{00000000-0005-0000-0000-0000B4670000}"/>
    <cellStyle name="Separador de milhares 9 2 2 16" xfId="23885" xr:uid="{00000000-0005-0000-0000-0000B5670000}"/>
    <cellStyle name="Separador de milhares 9 2 2 17" xfId="23886" xr:uid="{00000000-0005-0000-0000-0000B6670000}"/>
    <cellStyle name="Separador de milhares 9 2 2 18" xfId="23878" xr:uid="{00000000-0005-0000-0000-0000B7670000}"/>
    <cellStyle name="Separador de milhares 9 2 2 18 2" xfId="32383" xr:uid="{B302E4D8-7CCB-4D8A-99BA-41D3F5071133}"/>
    <cellStyle name="Separador de milhares 9 2 2 19" xfId="28095" xr:uid="{0FFA5B54-A705-4797-8594-EF4CA896B3E6}"/>
    <cellStyle name="Separador de milhares 9 2 2 2" xfId="864" xr:uid="{00000000-0005-0000-0000-0000B8670000}"/>
    <cellStyle name="Separador de milhares 9 2 2 2 2" xfId="865" xr:uid="{00000000-0005-0000-0000-0000B9670000}"/>
    <cellStyle name="Separador de milhares 9 2 2 2 2 10" xfId="23889" xr:uid="{00000000-0005-0000-0000-0000BA670000}"/>
    <cellStyle name="Separador de milhares 9 2 2 2 2 11" xfId="23890" xr:uid="{00000000-0005-0000-0000-0000BB670000}"/>
    <cellStyle name="Separador de milhares 9 2 2 2 2 12" xfId="23891" xr:uid="{00000000-0005-0000-0000-0000BC670000}"/>
    <cellStyle name="Separador de milhares 9 2 2 2 2 13" xfId="23892" xr:uid="{00000000-0005-0000-0000-0000BD670000}"/>
    <cellStyle name="Separador de milhares 9 2 2 2 2 14" xfId="23893" xr:uid="{00000000-0005-0000-0000-0000BE670000}"/>
    <cellStyle name="Separador de milhares 9 2 2 2 2 15" xfId="23888" xr:uid="{00000000-0005-0000-0000-0000BF670000}"/>
    <cellStyle name="Separador de milhares 9 2 2 2 2 16" xfId="28097" xr:uid="{0F3C86F0-D42C-47F3-98B9-D16570F8EEAF}"/>
    <cellStyle name="Separador de milhares 9 2 2 2 2 2" xfId="23894" xr:uid="{00000000-0005-0000-0000-0000C0670000}"/>
    <cellStyle name="Separador de milhares 9 2 2 2 2 2 10" xfId="23895" xr:uid="{00000000-0005-0000-0000-0000C1670000}"/>
    <cellStyle name="Separador de milhares 9 2 2 2 2 2 2" xfId="23896" xr:uid="{00000000-0005-0000-0000-0000C2670000}"/>
    <cellStyle name="Separador de milhares 9 2 2 2 2 2 3" xfId="23897" xr:uid="{00000000-0005-0000-0000-0000C3670000}"/>
    <cellStyle name="Separador de milhares 9 2 2 2 2 2 4" xfId="23898" xr:uid="{00000000-0005-0000-0000-0000C4670000}"/>
    <cellStyle name="Separador de milhares 9 2 2 2 2 2 5" xfId="23899" xr:uid="{00000000-0005-0000-0000-0000C5670000}"/>
    <cellStyle name="Separador de milhares 9 2 2 2 2 2 6" xfId="23900" xr:uid="{00000000-0005-0000-0000-0000C6670000}"/>
    <cellStyle name="Separador de milhares 9 2 2 2 2 2 7" xfId="23901" xr:uid="{00000000-0005-0000-0000-0000C7670000}"/>
    <cellStyle name="Separador de milhares 9 2 2 2 2 2 8" xfId="23902" xr:uid="{00000000-0005-0000-0000-0000C8670000}"/>
    <cellStyle name="Separador de milhares 9 2 2 2 2 2 9" xfId="23903" xr:uid="{00000000-0005-0000-0000-0000C9670000}"/>
    <cellStyle name="Separador de milhares 9 2 2 2 2 3" xfId="23904" xr:uid="{00000000-0005-0000-0000-0000CA670000}"/>
    <cellStyle name="Separador de milhares 9 2 2 2 2 3 10" xfId="23905" xr:uid="{00000000-0005-0000-0000-0000CB670000}"/>
    <cellStyle name="Separador de milhares 9 2 2 2 2 3 2" xfId="23906" xr:uid="{00000000-0005-0000-0000-0000CC670000}"/>
    <cellStyle name="Separador de milhares 9 2 2 2 2 3 3" xfId="23907" xr:uid="{00000000-0005-0000-0000-0000CD670000}"/>
    <cellStyle name="Separador de milhares 9 2 2 2 2 3 4" xfId="23908" xr:uid="{00000000-0005-0000-0000-0000CE670000}"/>
    <cellStyle name="Separador de milhares 9 2 2 2 2 3 5" xfId="23909" xr:uid="{00000000-0005-0000-0000-0000CF670000}"/>
    <cellStyle name="Separador de milhares 9 2 2 2 2 3 6" xfId="23910" xr:uid="{00000000-0005-0000-0000-0000D0670000}"/>
    <cellStyle name="Separador de milhares 9 2 2 2 2 3 7" xfId="23911" xr:uid="{00000000-0005-0000-0000-0000D1670000}"/>
    <cellStyle name="Separador de milhares 9 2 2 2 2 3 8" xfId="23912" xr:uid="{00000000-0005-0000-0000-0000D2670000}"/>
    <cellStyle name="Separador de milhares 9 2 2 2 2 3 9" xfId="23913" xr:uid="{00000000-0005-0000-0000-0000D3670000}"/>
    <cellStyle name="Separador de milhares 9 2 2 2 2 4" xfId="23914" xr:uid="{00000000-0005-0000-0000-0000D4670000}"/>
    <cellStyle name="Separador de milhares 9 2 2 2 2 5" xfId="23915" xr:uid="{00000000-0005-0000-0000-0000D5670000}"/>
    <cellStyle name="Separador de milhares 9 2 2 2 2 6" xfId="23916" xr:uid="{00000000-0005-0000-0000-0000D6670000}"/>
    <cellStyle name="Separador de milhares 9 2 2 2 2 7" xfId="23917" xr:uid="{00000000-0005-0000-0000-0000D7670000}"/>
    <cellStyle name="Separador de milhares 9 2 2 2 2 8" xfId="23918" xr:uid="{00000000-0005-0000-0000-0000D8670000}"/>
    <cellStyle name="Separador de milhares 9 2 2 2 2 9" xfId="23919" xr:uid="{00000000-0005-0000-0000-0000D9670000}"/>
    <cellStyle name="Separador de milhares 9 2 2 2 3" xfId="23920" xr:uid="{00000000-0005-0000-0000-0000DA670000}"/>
    <cellStyle name="Separador de milhares 9 2 2 2 4" xfId="23921" xr:uid="{00000000-0005-0000-0000-0000DB670000}"/>
    <cellStyle name="Separador de milhares 9 2 2 2 5" xfId="23887" xr:uid="{00000000-0005-0000-0000-0000DC670000}"/>
    <cellStyle name="Separador de milhares 9 2 2 2 6" xfId="28096" xr:uid="{BB2BC981-4DA0-4092-A50C-499EA942D936}"/>
    <cellStyle name="Separador de milhares 9 2 2 3" xfId="866" xr:uid="{00000000-0005-0000-0000-0000DD670000}"/>
    <cellStyle name="Separador de milhares 9 2 2 3 2" xfId="23923" xr:uid="{00000000-0005-0000-0000-0000DE670000}"/>
    <cellStyle name="Separador de milhares 9 2 2 3 3" xfId="23924" xr:uid="{00000000-0005-0000-0000-0000DF670000}"/>
    <cellStyle name="Separador de milhares 9 2 2 3 4" xfId="23922" xr:uid="{00000000-0005-0000-0000-0000E0670000}"/>
    <cellStyle name="Separador de milhares 9 2 2 3 5" xfId="28098" xr:uid="{93BE7618-4377-4D37-8056-7808200049A5}"/>
    <cellStyle name="Separador de milhares 9 2 2 4" xfId="23925" xr:uid="{00000000-0005-0000-0000-0000E1670000}"/>
    <cellStyle name="Separador de milhares 9 2 2 4 10" xfId="23926" xr:uid="{00000000-0005-0000-0000-0000E2670000}"/>
    <cellStyle name="Separador de milhares 9 2 2 4 11" xfId="23927" xr:uid="{00000000-0005-0000-0000-0000E3670000}"/>
    <cellStyle name="Separador de milhares 9 2 2 4 12" xfId="23928" xr:uid="{00000000-0005-0000-0000-0000E4670000}"/>
    <cellStyle name="Separador de milhares 9 2 2 4 13" xfId="23929" xr:uid="{00000000-0005-0000-0000-0000E5670000}"/>
    <cellStyle name="Separador de milhares 9 2 2 4 14" xfId="23930" xr:uid="{00000000-0005-0000-0000-0000E6670000}"/>
    <cellStyle name="Separador de milhares 9 2 2 4 2" xfId="23931" xr:uid="{00000000-0005-0000-0000-0000E7670000}"/>
    <cellStyle name="Separador de milhares 9 2 2 4 2 10" xfId="23932" xr:uid="{00000000-0005-0000-0000-0000E8670000}"/>
    <cellStyle name="Separador de milhares 9 2 2 4 2 2" xfId="23933" xr:uid="{00000000-0005-0000-0000-0000E9670000}"/>
    <cellStyle name="Separador de milhares 9 2 2 4 2 3" xfId="23934" xr:uid="{00000000-0005-0000-0000-0000EA670000}"/>
    <cellStyle name="Separador de milhares 9 2 2 4 2 4" xfId="23935" xr:uid="{00000000-0005-0000-0000-0000EB670000}"/>
    <cellStyle name="Separador de milhares 9 2 2 4 2 5" xfId="23936" xr:uid="{00000000-0005-0000-0000-0000EC670000}"/>
    <cellStyle name="Separador de milhares 9 2 2 4 2 6" xfId="23937" xr:uid="{00000000-0005-0000-0000-0000ED670000}"/>
    <cellStyle name="Separador de milhares 9 2 2 4 2 7" xfId="23938" xr:uid="{00000000-0005-0000-0000-0000EE670000}"/>
    <cellStyle name="Separador de milhares 9 2 2 4 2 8" xfId="23939" xr:uid="{00000000-0005-0000-0000-0000EF670000}"/>
    <cellStyle name="Separador de milhares 9 2 2 4 2 9" xfId="23940" xr:uid="{00000000-0005-0000-0000-0000F0670000}"/>
    <cellStyle name="Separador de milhares 9 2 2 4 3" xfId="23941" xr:uid="{00000000-0005-0000-0000-0000F1670000}"/>
    <cellStyle name="Separador de milhares 9 2 2 4 3 10" xfId="23942" xr:uid="{00000000-0005-0000-0000-0000F2670000}"/>
    <cellStyle name="Separador de milhares 9 2 2 4 3 2" xfId="23943" xr:uid="{00000000-0005-0000-0000-0000F3670000}"/>
    <cellStyle name="Separador de milhares 9 2 2 4 3 3" xfId="23944" xr:uid="{00000000-0005-0000-0000-0000F4670000}"/>
    <cellStyle name="Separador de milhares 9 2 2 4 3 4" xfId="23945" xr:uid="{00000000-0005-0000-0000-0000F5670000}"/>
    <cellStyle name="Separador de milhares 9 2 2 4 3 5" xfId="23946" xr:uid="{00000000-0005-0000-0000-0000F6670000}"/>
    <cellStyle name="Separador de milhares 9 2 2 4 3 6" xfId="23947" xr:uid="{00000000-0005-0000-0000-0000F7670000}"/>
    <cellStyle name="Separador de milhares 9 2 2 4 3 7" xfId="23948" xr:uid="{00000000-0005-0000-0000-0000F8670000}"/>
    <cellStyle name="Separador de milhares 9 2 2 4 3 8" xfId="23949" xr:uid="{00000000-0005-0000-0000-0000F9670000}"/>
    <cellStyle name="Separador de milhares 9 2 2 4 3 9" xfId="23950" xr:uid="{00000000-0005-0000-0000-0000FA670000}"/>
    <cellStyle name="Separador de milhares 9 2 2 4 4" xfId="23951" xr:uid="{00000000-0005-0000-0000-0000FB670000}"/>
    <cellStyle name="Separador de milhares 9 2 2 4 5" xfId="23952" xr:uid="{00000000-0005-0000-0000-0000FC670000}"/>
    <cellStyle name="Separador de milhares 9 2 2 4 6" xfId="23953" xr:uid="{00000000-0005-0000-0000-0000FD670000}"/>
    <cellStyle name="Separador de milhares 9 2 2 4 7" xfId="23954" xr:uid="{00000000-0005-0000-0000-0000FE670000}"/>
    <cellStyle name="Separador de milhares 9 2 2 4 8" xfId="23955" xr:uid="{00000000-0005-0000-0000-0000FF670000}"/>
    <cellStyle name="Separador de milhares 9 2 2 4 9" xfId="23956" xr:uid="{00000000-0005-0000-0000-000000680000}"/>
    <cellStyle name="Separador de milhares 9 2 2 5" xfId="23957" xr:uid="{00000000-0005-0000-0000-000001680000}"/>
    <cellStyle name="Separador de milhares 9 2 2 5 10" xfId="23958" xr:uid="{00000000-0005-0000-0000-000002680000}"/>
    <cellStyle name="Separador de milhares 9 2 2 5 2" xfId="23959" xr:uid="{00000000-0005-0000-0000-000003680000}"/>
    <cellStyle name="Separador de milhares 9 2 2 5 3" xfId="23960" xr:uid="{00000000-0005-0000-0000-000004680000}"/>
    <cellStyle name="Separador de milhares 9 2 2 5 4" xfId="23961" xr:uid="{00000000-0005-0000-0000-000005680000}"/>
    <cellStyle name="Separador de milhares 9 2 2 5 5" xfId="23962" xr:uid="{00000000-0005-0000-0000-000006680000}"/>
    <cellStyle name="Separador de milhares 9 2 2 5 6" xfId="23963" xr:uid="{00000000-0005-0000-0000-000007680000}"/>
    <cellStyle name="Separador de milhares 9 2 2 5 7" xfId="23964" xr:uid="{00000000-0005-0000-0000-000008680000}"/>
    <cellStyle name="Separador de milhares 9 2 2 5 8" xfId="23965" xr:uid="{00000000-0005-0000-0000-000009680000}"/>
    <cellStyle name="Separador de milhares 9 2 2 5 9" xfId="23966" xr:uid="{00000000-0005-0000-0000-00000A680000}"/>
    <cellStyle name="Separador de milhares 9 2 2 6" xfId="23967" xr:uid="{00000000-0005-0000-0000-00000B680000}"/>
    <cellStyle name="Separador de milhares 9 2 2 6 10" xfId="23968" xr:uid="{00000000-0005-0000-0000-00000C680000}"/>
    <cellStyle name="Separador de milhares 9 2 2 6 2" xfId="23969" xr:uid="{00000000-0005-0000-0000-00000D680000}"/>
    <cellStyle name="Separador de milhares 9 2 2 6 3" xfId="23970" xr:uid="{00000000-0005-0000-0000-00000E680000}"/>
    <cellStyle name="Separador de milhares 9 2 2 6 4" xfId="23971" xr:uid="{00000000-0005-0000-0000-00000F680000}"/>
    <cellStyle name="Separador de milhares 9 2 2 6 5" xfId="23972" xr:uid="{00000000-0005-0000-0000-000010680000}"/>
    <cellStyle name="Separador de milhares 9 2 2 6 6" xfId="23973" xr:uid="{00000000-0005-0000-0000-000011680000}"/>
    <cellStyle name="Separador de milhares 9 2 2 6 7" xfId="23974" xr:uid="{00000000-0005-0000-0000-000012680000}"/>
    <cellStyle name="Separador de milhares 9 2 2 6 8" xfId="23975" xr:uid="{00000000-0005-0000-0000-000013680000}"/>
    <cellStyle name="Separador de milhares 9 2 2 6 9" xfId="23976" xr:uid="{00000000-0005-0000-0000-000014680000}"/>
    <cellStyle name="Separador de milhares 9 2 2 7" xfId="23977" xr:uid="{00000000-0005-0000-0000-000015680000}"/>
    <cellStyle name="Separador de milhares 9 2 2 8" xfId="23978" xr:uid="{00000000-0005-0000-0000-000016680000}"/>
    <cellStyle name="Separador de milhares 9 2 2 9" xfId="23979" xr:uid="{00000000-0005-0000-0000-000017680000}"/>
    <cellStyle name="Separador de milhares 9 2 2_Recurso Jan a Mar 09 DEF" xfId="23980" xr:uid="{00000000-0005-0000-0000-000018680000}"/>
    <cellStyle name="Separador de milhares 9 2 20" xfId="23981" xr:uid="{00000000-0005-0000-0000-000019680000}"/>
    <cellStyle name="Separador de milhares 9 2 20 2" xfId="23982" xr:uid="{00000000-0005-0000-0000-00001A680000}"/>
    <cellStyle name="Separador de milhares 9 2 20 2 2" xfId="32385" xr:uid="{E3A57293-F961-44C7-A17E-3E7F62FFF16A}"/>
    <cellStyle name="Separador de milhares 9 2 20 3" xfId="32384" xr:uid="{2F5D06E7-AC17-421E-A8A4-050CB2AEBA9F}"/>
    <cellStyle name="Separador de milhares 9 2 21" xfId="23983" xr:uid="{00000000-0005-0000-0000-00001B680000}"/>
    <cellStyle name="Separador de milhares 9 2 21 2" xfId="23984" xr:uid="{00000000-0005-0000-0000-00001C680000}"/>
    <cellStyle name="Separador de milhares 9 2 21 2 2" xfId="32387" xr:uid="{7F53ABE9-F77B-41D8-BBC2-62DEAA649666}"/>
    <cellStyle name="Separador de milhares 9 2 21 3" xfId="32386" xr:uid="{092485A7-3D2D-4121-B8F2-3C9048D5AFA9}"/>
    <cellStyle name="Separador de milhares 9 2 22" xfId="23985" xr:uid="{00000000-0005-0000-0000-00001D680000}"/>
    <cellStyle name="Separador de milhares 9 2 22 2" xfId="23986" xr:uid="{00000000-0005-0000-0000-00001E680000}"/>
    <cellStyle name="Separador de milhares 9 2 22 2 2" xfId="32389" xr:uid="{BAFE83E3-F7BF-4B4A-B7F6-1EA6C5DC523E}"/>
    <cellStyle name="Separador de milhares 9 2 22 3" xfId="32388" xr:uid="{4B99714C-48B9-4BE9-9361-0250781D65A1}"/>
    <cellStyle name="Separador de milhares 9 2 23" xfId="23987" xr:uid="{00000000-0005-0000-0000-00001F680000}"/>
    <cellStyle name="Separador de milhares 9 2 23 2" xfId="23988" xr:uid="{00000000-0005-0000-0000-000020680000}"/>
    <cellStyle name="Separador de milhares 9 2 23 2 2" xfId="32391" xr:uid="{D79FEC04-4309-4443-A73E-63F9100CD124}"/>
    <cellStyle name="Separador de milhares 9 2 23 3" xfId="32390" xr:uid="{1D91EB5D-562E-4944-9267-9FD707DFC91C}"/>
    <cellStyle name="Separador de milhares 9 2 24" xfId="23989" xr:uid="{00000000-0005-0000-0000-000021680000}"/>
    <cellStyle name="Separador de milhares 9 2 24 2" xfId="23990" xr:uid="{00000000-0005-0000-0000-000022680000}"/>
    <cellStyle name="Separador de milhares 9 2 24 2 2" xfId="32393" xr:uid="{D2C9ECBE-E5B5-41F6-AB3D-D54BC66FBAFB}"/>
    <cellStyle name="Separador de milhares 9 2 24 3" xfId="32392" xr:uid="{9FBC7757-9D6A-4F91-B7BD-B41D3F59819B}"/>
    <cellStyle name="Separador de milhares 9 2 25" xfId="23991" xr:uid="{00000000-0005-0000-0000-000023680000}"/>
    <cellStyle name="Separador de milhares 9 2 25 2" xfId="23992" xr:uid="{00000000-0005-0000-0000-000024680000}"/>
    <cellStyle name="Separador de milhares 9 2 25 2 2" xfId="32395" xr:uid="{42FEAA80-0FF2-4D22-A472-9B45665D8EF7}"/>
    <cellStyle name="Separador de milhares 9 2 25 3" xfId="32394" xr:uid="{25D8FEA2-0C21-4A3D-B1C2-8B5BCE62E12C}"/>
    <cellStyle name="Separador de milhares 9 2 26" xfId="23993" xr:uid="{00000000-0005-0000-0000-000025680000}"/>
    <cellStyle name="Separador de milhares 9 2 26 2" xfId="23994" xr:uid="{00000000-0005-0000-0000-000026680000}"/>
    <cellStyle name="Separador de milhares 9 2 26 2 2" xfId="32397" xr:uid="{9A0889EF-29AB-4649-8FC4-F9F4D0F40EA9}"/>
    <cellStyle name="Separador de milhares 9 2 26 3" xfId="32396" xr:uid="{648D85DB-EC09-4C48-AE2C-3C38CA96299E}"/>
    <cellStyle name="Separador de milhares 9 2 27" xfId="23995" xr:uid="{00000000-0005-0000-0000-000027680000}"/>
    <cellStyle name="Separador de milhares 9 2 27 2" xfId="23996" xr:uid="{00000000-0005-0000-0000-000028680000}"/>
    <cellStyle name="Separador de milhares 9 2 27 2 2" xfId="32399" xr:uid="{78A19138-7F86-48EF-A7B4-E7E88F25CEE4}"/>
    <cellStyle name="Separador de milhares 9 2 27 3" xfId="32398" xr:uid="{3569DC31-F706-4AFF-B5AF-5DD9840994EF}"/>
    <cellStyle name="Separador de milhares 9 2 28" xfId="23997" xr:uid="{00000000-0005-0000-0000-000029680000}"/>
    <cellStyle name="Separador de milhares 9 2 28 2" xfId="23998" xr:uid="{00000000-0005-0000-0000-00002A680000}"/>
    <cellStyle name="Separador de milhares 9 2 28 2 2" xfId="32401" xr:uid="{20478BF5-5CD8-4F7F-B0B2-A99198B06550}"/>
    <cellStyle name="Separador de milhares 9 2 28 3" xfId="32400" xr:uid="{F270B73F-5EB0-4A79-83B2-B4F7F9DBDF46}"/>
    <cellStyle name="Separador de milhares 9 2 29" xfId="23999" xr:uid="{00000000-0005-0000-0000-00002B680000}"/>
    <cellStyle name="Separador de milhares 9 2 29 2" xfId="24000" xr:uid="{00000000-0005-0000-0000-00002C680000}"/>
    <cellStyle name="Separador de milhares 9 2 29 2 2" xfId="32403" xr:uid="{C2C0F850-A791-4715-A7C6-3792B8667494}"/>
    <cellStyle name="Separador de milhares 9 2 29 3" xfId="32402" xr:uid="{74D1EB15-90BA-4898-A79F-B99C3503B4EB}"/>
    <cellStyle name="Separador de milhares 9 2 3" xfId="867" xr:uid="{00000000-0005-0000-0000-00002D680000}"/>
    <cellStyle name="Separador de milhares 9 2 3 10" xfId="24002" xr:uid="{00000000-0005-0000-0000-00002E680000}"/>
    <cellStyle name="Separador de milhares 9 2 3 11" xfId="24003" xr:uid="{00000000-0005-0000-0000-00002F680000}"/>
    <cellStyle name="Separador de milhares 9 2 3 12" xfId="24004" xr:uid="{00000000-0005-0000-0000-000030680000}"/>
    <cellStyle name="Separador de milhares 9 2 3 13" xfId="24005" xr:uid="{00000000-0005-0000-0000-000031680000}"/>
    <cellStyle name="Separador de milhares 9 2 3 14" xfId="24006" xr:uid="{00000000-0005-0000-0000-000032680000}"/>
    <cellStyle name="Separador de milhares 9 2 3 15" xfId="24001" xr:uid="{00000000-0005-0000-0000-000033680000}"/>
    <cellStyle name="Separador de milhares 9 2 3 16" xfId="28099" xr:uid="{3EF08365-2865-4075-B215-4E8DEDF69D93}"/>
    <cellStyle name="Separador de milhares 9 2 3 2" xfId="868" xr:uid="{00000000-0005-0000-0000-000034680000}"/>
    <cellStyle name="Separador de milhares 9 2 3 2 10" xfId="24008" xr:uid="{00000000-0005-0000-0000-000035680000}"/>
    <cellStyle name="Separador de milhares 9 2 3 2 11" xfId="24007" xr:uid="{00000000-0005-0000-0000-000036680000}"/>
    <cellStyle name="Separador de milhares 9 2 3 2 12" xfId="28100" xr:uid="{4F36FDD3-1F46-4012-B3F7-9C3D825950ED}"/>
    <cellStyle name="Separador de milhares 9 2 3 2 2" xfId="24009" xr:uid="{00000000-0005-0000-0000-000037680000}"/>
    <cellStyle name="Separador de milhares 9 2 3 2 3" xfId="24010" xr:uid="{00000000-0005-0000-0000-000038680000}"/>
    <cellStyle name="Separador de milhares 9 2 3 2 4" xfId="24011" xr:uid="{00000000-0005-0000-0000-000039680000}"/>
    <cellStyle name="Separador de milhares 9 2 3 2 5" xfId="24012" xr:uid="{00000000-0005-0000-0000-00003A680000}"/>
    <cellStyle name="Separador de milhares 9 2 3 2 6" xfId="24013" xr:uid="{00000000-0005-0000-0000-00003B680000}"/>
    <cellStyle name="Separador de milhares 9 2 3 2 7" xfId="24014" xr:uid="{00000000-0005-0000-0000-00003C680000}"/>
    <cellStyle name="Separador de milhares 9 2 3 2 8" xfId="24015" xr:uid="{00000000-0005-0000-0000-00003D680000}"/>
    <cellStyle name="Separador de milhares 9 2 3 2 9" xfId="24016" xr:uid="{00000000-0005-0000-0000-00003E680000}"/>
    <cellStyle name="Separador de milhares 9 2 3 3" xfId="24017" xr:uid="{00000000-0005-0000-0000-00003F680000}"/>
    <cellStyle name="Separador de milhares 9 2 3 3 10" xfId="24018" xr:uid="{00000000-0005-0000-0000-000040680000}"/>
    <cellStyle name="Separador de milhares 9 2 3 3 2" xfId="24019" xr:uid="{00000000-0005-0000-0000-000041680000}"/>
    <cellStyle name="Separador de milhares 9 2 3 3 3" xfId="24020" xr:uid="{00000000-0005-0000-0000-000042680000}"/>
    <cellStyle name="Separador de milhares 9 2 3 3 4" xfId="24021" xr:uid="{00000000-0005-0000-0000-000043680000}"/>
    <cellStyle name="Separador de milhares 9 2 3 3 5" xfId="24022" xr:uid="{00000000-0005-0000-0000-000044680000}"/>
    <cellStyle name="Separador de milhares 9 2 3 3 6" xfId="24023" xr:uid="{00000000-0005-0000-0000-000045680000}"/>
    <cellStyle name="Separador de milhares 9 2 3 3 7" xfId="24024" xr:uid="{00000000-0005-0000-0000-000046680000}"/>
    <cellStyle name="Separador de milhares 9 2 3 3 8" xfId="24025" xr:uid="{00000000-0005-0000-0000-000047680000}"/>
    <cellStyle name="Separador de milhares 9 2 3 3 9" xfId="24026" xr:uid="{00000000-0005-0000-0000-000048680000}"/>
    <cellStyle name="Separador de milhares 9 2 3 4" xfId="24027" xr:uid="{00000000-0005-0000-0000-000049680000}"/>
    <cellStyle name="Separador de milhares 9 2 3 5" xfId="24028" xr:uid="{00000000-0005-0000-0000-00004A680000}"/>
    <cellStyle name="Separador de milhares 9 2 3 6" xfId="24029" xr:uid="{00000000-0005-0000-0000-00004B680000}"/>
    <cellStyle name="Separador de milhares 9 2 3 7" xfId="24030" xr:uid="{00000000-0005-0000-0000-00004C680000}"/>
    <cellStyle name="Separador de milhares 9 2 3 8" xfId="24031" xr:uid="{00000000-0005-0000-0000-00004D680000}"/>
    <cellStyle name="Separador de milhares 9 2 3 9" xfId="24032" xr:uid="{00000000-0005-0000-0000-00004E680000}"/>
    <cellStyle name="Separador de milhares 9 2 30" xfId="24033" xr:uid="{00000000-0005-0000-0000-00004F680000}"/>
    <cellStyle name="Separador de milhares 9 2 30 2" xfId="24034" xr:uid="{00000000-0005-0000-0000-000050680000}"/>
    <cellStyle name="Separador de milhares 9 2 30 2 2" xfId="32405" xr:uid="{2A32A11C-07B6-42B8-877C-54C8670A00FC}"/>
    <cellStyle name="Separador de milhares 9 2 30 3" xfId="32404" xr:uid="{736778C7-8BFC-4EC3-9802-CAF26310E90F}"/>
    <cellStyle name="Separador de milhares 9 2 31" xfId="24035" xr:uid="{00000000-0005-0000-0000-000051680000}"/>
    <cellStyle name="Separador de milhares 9 2 31 2" xfId="24036" xr:uid="{00000000-0005-0000-0000-000052680000}"/>
    <cellStyle name="Separador de milhares 9 2 31 2 2" xfId="32407" xr:uid="{27C24EB8-515E-42B5-A596-9897FF2CAB8C}"/>
    <cellStyle name="Separador de milhares 9 2 31 3" xfId="32406" xr:uid="{47062E91-959E-4510-83F2-06248A9A398E}"/>
    <cellStyle name="Separador de milhares 9 2 32" xfId="24037" xr:uid="{00000000-0005-0000-0000-000053680000}"/>
    <cellStyle name="Separador de milhares 9 2 32 2" xfId="24038" xr:uid="{00000000-0005-0000-0000-000054680000}"/>
    <cellStyle name="Separador de milhares 9 2 32 2 2" xfId="32409" xr:uid="{A6CC27C2-3B72-4083-BEFF-27728D611815}"/>
    <cellStyle name="Separador de milhares 9 2 32 3" xfId="32408" xr:uid="{E97056CB-4723-4D99-A565-C3C1ECBA2067}"/>
    <cellStyle name="Separador de milhares 9 2 33" xfId="24039" xr:uid="{00000000-0005-0000-0000-000055680000}"/>
    <cellStyle name="Separador de milhares 9 2 33 2" xfId="24040" xr:uid="{00000000-0005-0000-0000-000056680000}"/>
    <cellStyle name="Separador de milhares 9 2 33 2 2" xfId="32411" xr:uid="{D8941D3E-4175-401D-AB43-D8DEC842616F}"/>
    <cellStyle name="Separador de milhares 9 2 33 3" xfId="32410" xr:uid="{683317A2-F446-4410-A52C-1D2A9EF87F92}"/>
    <cellStyle name="Separador de milhares 9 2 34" xfId="24041" xr:uid="{00000000-0005-0000-0000-000057680000}"/>
    <cellStyle name="Separador de milhares 9 2 34 2" xfId="24042" xr:uid="{00000000-0005-0000-0000-000058680000}"/>
    <cellStyle name="Separador de milhares 9 2 34 2 2" xfId="32413" xr:uid="{650C039B-09B5-4BDB-8FF1-9B6FC15A9494}"/>
    <cellStyle name="Separador de milhares 9 2 34 3" xfId="32412" xr:uid="{74B86AC3-5470-43AC-8B20-52ECABC381A6}"/>
    <cellStyle name="Separador de milhares 9 2 35" xfId="24043" xr:uid="{00000000-0005-0000-0000-000059680000}"/>
    <cellStyle name="Separador de milhares 9 2 35 2" xfId="32414" xr:uid="{28674E10-21DB-427B-880F-C2EE2827FED4}"/>
    <cellStyle name="Separador de milhares 9 2 36" xfId="23857" xr:uid="{00000000-0005-0000-0000-00005A680000}"/>
    <cellStyle name="Separador de milhares 9 2 36 2" xfId="32369" xr:uid="{96C8E69D-FE5D-43B9-B7FD-05D1BFEE3722}"/>
    <cellStyle name="Separador de milhares 9 2 37" xfId="27133" xr:uid="{00000000-0005-0000-0000-00005B680000}"/>
    <cellStyle name="Separador de milhares 9 2 37 2" xfId="32992" xr:uid="{D7B72519-E7F3-469D-A3F5-2A347DA99808}"/>
    <cellStyle name="Separador de milhares 9 2 38" xfId="27322" xr:uid="{00000000-0005-0000-0000-00005C680000}"/>
    <cellStyle name="Separador de milhares 9 2 38 2" xfId="33159" xr:uid="{F2EB3F3A-4DEE-4DE3-9566-746C08FE64B8}"/>
    <cellStyle name="Separador de milhares 9 2 39" xfId="27338" xr:uid="{00000000-0005-0000-0000-00005D680000}"/>
    <cellStyle name="Separador de milhares 9 2 39 2" xfId="33175" xr:uid="{90D48A57-8D8B-432F-A534-8BC97365BD2A}"/>
    <cellStyle name="Separador de milhares 9 2 4" xfId="869" xr:uid="{00000000-0005-0000-0000-00005E680000}"/>
    <cellStyle name="Separador de milhares 9 2 4 10" xfId="24045" xr:uid="{00000000-0005-0000-0000-00005F680000}"/>
    <cellStyle name="Separador de milhares 9 2 4 11" xfId="24044" xr:uid="{00000000-0005-0000-0000-000060680000}"/>
    <cellStyle name="Separador de milhares 9 2 4 12" xfId="28101" xr:uid="{BB71DB70-E94A-4716-8861-A35E5A5C564C}"/>
    <cellStyle name="Separador de milhares 9 2 4 2" xfId="24046" xr:uid="{00000000-0005-0000-0000-000061680000}"/>
    <cellStyle name="Separador de milhares 9 2 4 3" xfId="24047" xr:uid="{00000000-0005-0000-0000-000062680000}"/>
    <cellStyle name="Separador de milhares 9 2 4 4" xfId="24048" xr:uid="{00000000-0005-0000-0000-000063680000}"/>
    <cellStyle name="Separador de milhares 9 2 4 5" xfId="24049" xr:uid="{00000000-0005-0000-0000-000064680000}"/>
    <cellStyle name="Separador de milhares 9 2 4 6" xfId="24050" xr:uid="{00000000-0005-0000-0000-000065680000}"/>
    <cellStyle name="Separador de milhares 9 2 4 7" xfId="24051" xr:uid="{00000000-0005-0000-0000-000066680000}"/>
    <cellStyle name="Separador de milhares 9 2 4 8" xfId="24052" xr:uid="{00000000-0005-0000-0000-000067680000}"/>
    <cellStyle name="Separador de milhares 9 2 4 9" xfId="24053" xr:uid="{00000000-0005-0000-0000-000068680000}"/>
    <cellStyle name="Separador de milhares 9 2 40" xfId="27339" xr:uid="{00000000-0005-0000-0000-000069680000}"/>
    <cellStyle name="Separador de milhares 9 2 40 2" xfId="33176" xr:uid="{EAE627B8-FFFF-4EDB-87C7-3B9DE457E7E7}"/>
    <cellStyle name="Separador de milhares 9 2 41" xfId="27153" xr:uid="{00000000-0005-0000-0000-00006A680000}"/>
    <cellStyle name="Separador de milhares 9 2 41 2" xfId="33003" xr:uid="{EB91373F-2B3F-469F-921B-09B96FF32BDE}"/>
    <cellStyle name="Separador de milhares 9 2 42" xfId="27493" xr:uid="{00000000-0005-0000-0000-00006B680000}"/>
    <cellStyle name="Separador de milhares 9 2 42 2" xfId="33330" xr:uid="{C03BF8C6-B4ED-4A6C-85DB-E4A443A0303F}"/>
    <cellStyle name="Separador de milhares 9 2 43" xfId="27528" xr:uid="{00000000-0005-0000-0000-00006C680000}"/>
    <cellStyle name="Separador de milhares 9 2 43 2" xfId="33343" xr:uid="{1E8A52D2-323D-4386-83BC-1E53BF79AEB7}"/>
    <cellStyle name="Separador de milhares 9 2 44" xfId="27348" xr:uid="{00000000-0005-0000-0000-00006D680000}"/>
    <cellStyle name="Separador de milhares 9 2 44 2" xfId="33185" xr:uid="{B3FCA61D-46F2-4A6A-938C-49F5D3263FB8}"/>
    <cellStyle name="Separador de milhares 9 2 45" xfId="27344" xr:uid="{00000000-0005-0000-0000-00006E680000}"/>
    <cellStyle name="Separador de milhares 9 2 45 2" xfId="33181" xr:uid="{87039D3E-E284-4750-AE0A-298FE5227ACA}"/>
    <cellStyle name="Separador de milhares 9 2 46" xfId="27478" xr:uid="{00000000-0005-0000-0000-00006F680000}"/>
    <cellStyle name="Separador de milhares 9 2 46 2" xfId="33315" xr:uid="{A6D1DD94-FBE4-4EA8-A9C5-4CCF1106DEEE}"/>
    <cellStyle name="Separador de milhares 9 2 47" xfId="27474" xr:uid="{00000000-0005-0000-0000-000070680000}"/>
    <cellStyle name="Separador de milhares 9 2 47 2" xfId="33311" xr:uid="{56AEB599-980B-4D50-9F5F-A18D1F2DEAD0}"/>
    <cellStyle name="Separador de milhares 9 2 48" xfId="27476" xr:uid="{00000000-0005-0000-0000-000071680000}"/>
    <cellStyle name="Separador de milhares 9 2 48 2" xfId="33313" xr:uid="{202CC850-AE99-42DA-B904-9FB4595345FE}"/>
    <cellStyle name="Separador de milhares 9 2 49" xfId="27475" xr:uid="{00000000-0005-0000-0000-000072680000}"/>
    <cellStyle name="Separador de milhares 9 2 49 2" xfId="33312" xr:uid="{2DFBF311-A691-474E-8DFB-1F1EC25D3991}"/>
    <cellStyle name="Separador de milhares 9 2 5" xfId="24054" xr:uid="{00000000-0005-0000-0000-000073680000}"/>
    <cellStyle name="Separador de milhares 9 2 5 10" xfId="24055" xr:uid="{00000000-0005-0000-0000-000074680000}"/>
    <cellStyle name="Separador de milhares 9 2 5 2" xfId="24056" xr:uid="{00000000-0005-0000-0000-000075680000}"/>
    <cellStyle name="Separador de milhares 9 2 5 3" xfId="24057" xr:uid="{00000000-0005-0000-0000-000076680000}"/>
    <cellStyle name="Separador de milhares 9 2 5 4" xfId="24058" xr:uid="{00000000-0005-0000-0000-000077680000}"/>
    <cellStyle name="Separador de milhares 9 2 5 5" xfId="24059" xr:uid="{00000000-0005-0000-0000-000078680000}"/>
    <cellStyle name="Separador de milhares 9 2 5 6" xfId="24060" xr:uid="{00000000-0005-0000-0000-000079680000}"/>
    <cellStyle name="Separador de milhares 9 2 5 7" xfId="24061" xr:uid="{00000000-0005-0000-0000-00007A680000}"/>
    <cellStyle name="Separador de milhares 9 2 5 8" xfId="24062" xr:uid="{00000000-0005-0000-0000-00007B680000}"/>
    <cellStyle name="Separador de milhares 9 2 5 9" xfId="24063" xr:uid="{00000000-0005-0000-0000-00007C680000}"/>
    <cellStyle name="Separador de milhares 9 2 50" xfId="27341" xr:uid="{00000000-0005-0000-0000-00007D680000}"/>
    <cellStyle name="Separador de milhares 9 2 50 2" xfId="33178" xr:uid="{7FCF1FFD-281F-49B8-8B35-CFF0921AE54B}"/>
    <cellStyle name="Separador de milhares 9 2 51" xfId="27347" xr:uid="{00000000-0005-0000-0000-00007E680000}"/>
    <cellStyle name="Separador de milhares 9 2 51 2" xfId="33184" xr:uid="{3BE9D608-85E3-4AFF-9C71-24B16BD3F51A}"/>
    <cellStyle name="Separador de milhares 9 2 52" xfId="27662" xr:uid="{00000000-0005-0000-0000-00007F680000}"/>
    <cellStyle name="Separador de milhares 9 2 52 2" xfId="33473" xr:uid="{FCBB268A-3551-4E00-BBE1-207F8D17200D}"/>
    <cellStyle name="Separador de milhares 9 2 53" xfId="27672" xr:uid="{00000000-0005-0000-0000-000080680000}"/>
    <cellStyle name="Separador de milhares 9 2 53 2" xfId="33483" xr:uid="{51442537-71C5-4AC6-9E9E-180D4062C396}"/>
    <cellStyle name="Separador de milhares 9 2 54" xfId="27576" xr:uid="{00000000-0005-0000-0000-000081680000}"/>
    <cellStyle name="Separador de milhares 9 2 54 2" xfId="33388" xr:uid="{AB12C566-025D-4720-A8DA-E1B1FD04BD94}"/>
    <cellStyle name="Separador de milhares 9 2 55" xfId="27531" xr:uid="{00000000-0005-0000-0000-000082680000}"/>
    <cellStyle name="Separador de milhares 9 2 55 2" xfId="33344" xr:uid="{5515FEEF-28C8-4F21-85F8-555B626240BE}"/>
    <cellStyle name="Separador de milhares 9 2 56" xfId="27819" xr:uid="{00000000-0005-0000-0000-000083680000}"/>
    <cellStyle name="Separador de milhares 9 2 56 2" xfId="33630" xr:uid="{142C78A6-E070-4311-83DE-A97FE024CF8C}"/>
    <cellStyle name="Separador de milhares 9 2 57" xfId="27832" xr:uid="{00000000-0005-0000-0000-000084680000}"/>
    <cellStyle name="Separador de milhares 9 2 57 2" xfId="33643" xr:uid="{50A97180-C9A5-4E25-87EC-6F7B9BCBD49F}"/>
    <cellStyle name="Separador de milhares 9 2 58" xfId="27727" xr:uid="{00000000-0005-0000-0000-000085680000}"/>
    <cellStyle name="Separador de milhares 9 2 58 2" xfId="33538" xr:uid="{0CEC842B-E468-4BEC-BE56-656C64619EBA}"/>
    <cellStyle name="Separador de milhares 9 2 59" xfId="27677" xr:uid="{00000000-0005-0000-0000-000086680000}"/>
    <cellStyle name="Separador de milhares 9 2 59 2" xfId="33488" xr:uid="{9D877882-6A0C-4A5A-881D-0217040A6F5E}"/>
    <cellStyle name="Separador de milhares 9 2 6" xfId="24064" xr:uid="{00000000-0005-0000-0000-000087680000}"/>
    <cellStyle name="Separador de milhares 9 2 6 2" xfId="24065" xr:uid="{00000000-0005-0000-0000-000088680000}"/>
    <cellStyle name="Separador de milhares 9 2 6 2 2" xfId="32415" xr:uid="{E4DC37EC-21FB-44D7-8718-779EB754B057}"/>
    <cellStyle name="Separador de milhares 9 2 60" xfId="27681" xr:uid="{00000000-0005-0000-0000-000089680000}"/>
    <cellStyle name="Separador de milhares 9 2 60 2" xfId="33492" xr:uid="{CB4F2683-B1A0-47AC-B678-1E270FF06201}"/>
    <cellStyle name="Separador de milhares 9 2 61" xfId="27678" xr:uid="{00000000-0005-0000-0000-00008A680000}"/>
    <cellStyle name="Separador de milhares 9 2 61 2" xfId="33489" xr:uid="{F7F0AAA4-3FD7-48E4-88B7-7BD11B62717B}"/>
    <cellStyle name="Separador de milhares 9 2 62" xfId="27674" xr:uid="{00000000-0005-0000-0000-00008B680000}"/>
    <cellStyle name="Separador de milhares 9 2 62 2" xfId="33485" xr:uid="{40C98523-E709-47A9-8DCD-385B4A92FE8D}"/>
    <cellStyle name="Separador de milhares 9 2 63" xfId="27684" xr:uid="{00000000-0005-0000-0000-00008C680000}"/>
    <cellStyle name="Separador de milhares 9 2 63 2" xfId="33495" xr:uid="{50C3C367-B2BF-4502-AB58-85040C13EF5E}"/>
    <cellStyle name="Separador de milhares 9 2 64" xfId="27800" xr:uid="{00000000-0005-0000-0000-00008D680000}"/>
    <cellStyle name="Separador de milhares 9 2 64 2" xfId="33611" xr:uid="{736E28A1-09D6-408A-8787-BC29420C141E}"/>
    <cellStyle name="Separador de milhares 9 2 65" xfId="27803" xr:uid="{00000000-0005-0000-0000-00008E680000}"/>
    <cellStyle name="Separador de milhares 9 2 65 2" xfId="33614" xr:uid="{BCC9EA6F-D8B6-4AD1-A66D-62D9992A10B6}"/>
    <cellStyle name="Separador de milhares 9 2 66" xfId="27802" xr:uid="{00000000-0005-0000-0000-00008F680000}"/>
    <cellStyle name="Separador de milhares 9 2 66 2" xfId="33613" xr:uid="{615E3276-4FE2-4C02-B878-93E90957B01F}"/>
    <cellStyle name="Separador de milhares 9 2 67" xfId="28094" xr:uid="{ADCF5A1D-6D5C-412A-9E0F-3EF55616C668}"/>
    <cellStyle name="Separador de milhares 9 2 7" xfId="24066" xr:uid="{00000000-0005-0000-0000-000090680000}"/>
    <cellStyle name="Separador de milhares 9 2 7 2" xfId="24067" xr:uid="{00000000-0005-0000-0000-000091680000}"/>
    <cellStyle name="Separador de milhares 9 2 7 2 2" xfId="32416" xr:uid="{9FB741E6-9B08-4575-9F5F-E23945563195}"/>
    <cellStyle name="Separador de milhares 9 2 8" xfId="24068" xr:uid="{00000000-0005-0000-0000-000092680000}"/>
    <cellStyle name="Separador de milhares 9 2 8 2" xfId="24069" xr:uid="{00000000-0005-0000-0000-000093680000}"/>
    <cellStyle name="Separador de milhares 9 2 8 2 2" xfId="32417" xr:uid="{1700A714-A757-428E-AE23-15B6B3A21067}"/>
    <cellStyle name="Separador de milhares 9 2 9" xfId="24070" xr:uid="{00000000-0005-0000-0000-000094680000}"/>
    <cellStyle name="Separador de milhares 9 2 9 2" xfId="24071" xr:uid="{00000000-0005-0000-0000-000095680000}"/>
    <cellStyle name="Separador de milhares 9 2 9 2 2" xfId="32418" xr:uid="{88BB615D-1066-4493-9A34-D84CBDB0DC6F}"/>
    <cellStyle name="Separador de milhares 9 20" xfId="24072" xr:uid="{00000000-0005-0000-0000-000096680000}"/>
    <cellStyle name="Separador de milhares 9 20 2" xfId="24073" xr:uid="{00000000-0005-0000-0000-000097680000}"/>
    <cellStyle name="Separador de milhares 9 20 2 2" xfId="32419" xr:uid="{032C6B73-8B7B-470D-951C-56455D1497BD}"/>
    <cellStyle name="Separador de milhares 9 21" xfId="24074" xr:uid="{00000000-0005-0000-0000-000098680000}"/>
    <cellStyle name="Separador de milhares 9 21 2" xfId="24075" xr:uid="{00000000-0005-0000-0000-000099680000}"/>
    <cellStyle name="Separador de milhares 9 21 2 2" xfId="32420" xr:uid="{DE1175A4-AD0C-4B1D-A5B4-E6CBED423376}"/>
    <cellStyle name="Separador de milhares 9 22" xfId="24076" xr:uid="{00000000-0005-0000-0000-00009A680000}"/>
    <cellStyle name="Separador de milhares 9 22 2" xfId="24077" xr:uid="{00000000-0005-0000-0000-00009B680000}"/>
    <cellStyle name="Separador de milhares 9 22 2 2" xfId="32421" xr:uid="{F87D9358-B9A4-4271-AEB4-92491ABF9AC3}"/>
    <cellStyle name="Separador de milhares 9 23" xfId="24078" xr:uid="{00000000-0005-0000-0000-00009C680000}"/>
    <cellStyle name="Separador de milhares 9 23 2" xfId="24079" xr:uid="{00000000-0005-0000-0000-00009D680000}"/>
    <cellStyle name="Separador de milhares 9 23 2 2" xfId="32422" xr:uid="{EEC8C1E6-434D-4F30-BFC3-745AD5F9DDD3}"/>
    <cellStyle name="Separador de milhares 9 24" xfId="24080" xr:uid="{00000000-0005-0000-0000-00009E680000}"/>
    <cellStyle name="Separador de milhares 9 24 2" xfId="24081" xr:uid="{00000000-0005-0000-0000-00009F680000}"/>
    <cellStyle name="Separador de milhares 9 24 2 2" xfId="32423" xr:uid="{8AD83C02-ADB0-4606-A5F5-4258085E55C9}"/>
    <cellStyle name="Separador de milhares 9 25" xfId="24082" xr:uid="{00000000-0005-0000-0000-0000A0680000}"/>
    <cellStyle name="Separador de milhares 9 25 2" xfId="24083" xr:uid="{00000000-0005-0000-0000-0000A1680000}"/>
    <cellStyle name="Separador de milhares 9 25 2 2" xfId="32424" xr:uid="{A396F276-C069-4EC0-8C61-9622526E6050}"/>
    <cellStyle name="Separador de milhares 9 26" xfId="24084" xr:uid="{00000000-0005-0000-0000-0000A2680000}"/>
    <cellStyle name="Separador de milhares 9 26 2" xfId="24085" xr:uid="{00000000-0005-0000-0000-0000A3680000}"/>
    <cellStyle name="Separador de milhares 9 26 2 2" xfId="32426" xr:uid="{2D995B26-C50D-4EA6-884F-B6758E94DAEB}"/>
    <cellStyle name="Separador de milhares 9 26 3" xfId="32425" xr:uid="{E629D8B1-8DB9-4EA6-B571-6F41BD57BBC1}"/>
    <cellStyle name="Separador de milhares 9 27" xfId="24086" xr:uid="{00000000-0005-0000-0000-0000A4680000}"/>
    <cellStyle name="Separador de milhares 9 27 2" xfId="24087" xr:uid="{00000000-0005-0000-0000-0000A5680000}"/>
    <cellStyle name="Separador de milhares 9 27 2 2" xfId="32428" xr:uid="{4A02E1FF-E2E4-4761-A5DA-F4E82F536763}"/>
    <cellStyle name="Separador de milhares 9 27 3" xfId="32427" xr:uid="{1C6BF477-F4DC-4511-9E96-E4E71C0109CF}"/>
    <cellStyle name="Separador de milhares 9 28" xfId="24088" xr:uid="{00000000-0005-0000-0000-0000A6680000}"/>
    <cellStyle name="Separador de milhares 9 28 2" xfId="24089" xr:uid="{00000000-0005-0000-0000-0000A7680000}"/>
    <cellStyle name="Separador de milhares 9 28 2 2" xfId="32430" xr:uid="{46219224-12B2-49C3-8E6D-CABE4BC5BA4F}"/>
    <cellStyle name="Separador de milhares 9 28 3" xfId="32429" xr:uid="{8F95045B-1715-4028-B605-E6B4F915BEBE}"/>
    <cellStyle name="Separador de milhares 9 29" xfId="24090" xr:uid="{00000000-0005-0000-0000-0000A8680000}"/>
    <cellStyle name="Separador de milhares 9 29 2" xfId="24091" xr:uid="{00000000-0005-0000-0000-0000A9680000}"/>
    <cellStyle name="Separador de milhares 9 29 2 2" xfId="32432" xr:uid="{A64863A9-7D34-4C55-91BB-AFFDF784F962}"/>
    <cellStyle name="Separador de milhares 9 29 3" xfId="32431" xr:uid="{C08C01CB-A73E-4C85-9041-75FEBFC73EA8}"/>
    <cellStyle name="Separador de milhares 9 3" xfId="870" xr:uid="{00000000-0005-0000-0000-0000AA680000}"/>
    <cellStyle name="Separador de milhares 9 3 10" xfId="24093" xr:uid="{00000000-0005-0000-0000-0000AB680000}"/>
    <cellStyle name="Separador de milhares 9 3 10 2" xfId="24094" xr:uid="{00000000-0005-0000-0000-0000AC680000}"/>
    <cellStyle name="Separador de milhares 9 3 10 2 2" xfId="32433" xr:uid="{23AAC43D-8A96-4A3C-8E96-495CC9616922}"/>
    <cellStyle name="Separador de milhares 9 3 11" xfId="24095" xr:uid="{00000000-0005-0000-0000-0000AD680000}"/>
    <cellStyle name="Separador de milhares 9 3 11 2" xfId="24096" xr:uid="{00000000-0005-0000-0000-0000AE680000}"/>
    <cellStyle name="Separador de milhares 9 3 11 2 2" xfId="32435" xr:uid="{6607CAC0-A7E2-40C8-8D88-8CD89046D17A}"/>
    <cellStyle name="Separador de milhares 9 3 11 3" xfId="32434" xr:uid="{F70D3041-4E75-4284-B317-22D1DFBABA2A}"/>
    <cellStyle name="Separador de milhares 9 3 12" xfId="24097" xr:uid="{00000000-0005-0000-0000-0000AF680000}"/>
    <cellStyle name="Separador de milhares 9 3 12 2" xfId="24098" xr:uid="{00000000-0005-0000-0000-0000B0680000}"/>
    <cellStyle name="Separador de milhares 9 3 12 2 2" xfId="32437" xr:uid="{E30F2F2B-30E1-425B-8646-646C7347C4CF}"/>
    <cellStyle name="Separador de milhares 9 3 12 3" xfId="32436" xr:uid="{481EA373-F10C-4CA3-844C-418947A0C566}"/>
    <cellStyle name="Separador de milhares 9 3 13" xfId="24099" xr:uid="{00000000-0005-0000-0000-0000B1680000}"/>
    <cellStyle name="Separador de milhares 9 3 13 2" xfId="24100" xr:uid="{00000000-0005-0000-0000-0000B2680000}"/>
    <cellStyle name="Separador de milhares 9 3 13 2 2" xfId="32439" xr:uid="{E1886C7C-3910-4869-B0E7-246CDDFB10CA}"/>
    <cellStyle name="Separador de milhares 9 3 13 3" xfId="32438" xr:uid="{DD18CAC9-C988-4529-89F1-F229465A4379}"/>
    <cellStyle name="Separador de milhares 9 3 14" xfId="24101" xr:uid="{00000000-0005-0000-0000-0000B3680000}"/>
    <cellStyle name="Separador de milhares 9 3 14 2" xfId="24102" xr:uid="{00000000-0005-0000-0000-0000B4680000}"/>
    <cellStyle name="Separador de milhares 9 3 14 2 2" xfId="32441" xr:uid="{D03916ED-036E-46AA-9E1F-E419A6957C6A}"/>
    <cellStyle name="Separador de milhares 9 3 14 3" xfId="32440" xr:uid="{689B68BD-1A09-46DB-B231-1D979B7BD1B1}"/>
    <cellStyle name="Separador de milhares 9 3 15" xfId="24103" xr:uid="{00000000-0005-0000-0000-0000B5680000}"/>
    <cellStyle name="Separador de milhares 9 3 15 2" xfId="24104" xr:uid="{00000000-0005-0000-0000-0000B6680000}"/>
    <cellStyle name="Separador de milhares 9 3 15 2 2" xfId="32443" xr:uid="{5DCA201E-74DD-427A-8E76-6E8E22214A97}"/>
    <cellStyle name="Separador de milhares 9 3 15 3" xfId="32442" xr:uid="{C660134D-0129-4849-9BF2-40860E7E0F75}"/>
    <cellStyle name="Separador de milhares 9 3 16" xfId="24105" xr:uid="{00000000-0005-0000-0000-0000B7680000}"/>
    <cellStyle name="Separador de milhares 9 3 16 2" xfId="24106" xr:uid="{00000000-0005-0000-0000-0000B8680000}"/>
    <cellStyle name="Separador de milhares 9 3 16 2 2" xfId="32445" xr:uid="{7F066B08-639E-4A32-BCA5-389EDD3E9640}"/>
    <cellStyle name="Separador de milhares 9 3 16 3" xfId="32444" xr:uid="{4060FE0A-7D77-4FAD-9797-553CAB757FF2}"/>
    <cellStyle name="Separador de milhares 9 3 17" xfId="24107" xr:uid="{00000000-0005-0000-0000-0000B9680000}"/>
    <cellStyle name="Separador de milhares 9 3 17 2" xfId="24108" xr:uid="{00000000-0005-0000-0000-0000BA680000}"/>
    <cellStyle name="Separador de milhares 9 3 17 2 2" xfId="32447" xr:uid="{9704C8A0-FA1F-49B4-A010-4705FA6E2118}"/>
    <cellStyle name="Separador de milhares 9 3 17 3" xfId="32446" xr:uid="{23F970A2-AB6B-4D47-877E-BB90F2CB3CFA}"/>
    <cellStyle name="Separador de milhares 9 3 18" xfId="24109" xr:uid="{00000000-0005-0000-0000-0000BB680000}"/>
    <cellStyle name="Separador de milhares 9 3 18 2" xfId="24110" xr:uid="{00000000-0005-0000-0000-0000BC680000}"/>
    <cellStyle name="Separador de milhares 9 3 18 2 2" xfId="32449" xr:uid="{9FBB2B0C-10E3-45F7-83E9-FF415CAD42C2}"/>
    <cellStyle name="Separador de milhares 9 3 18 3" xfId="32448" xr:uid="{0D1666CC-6066-4060-B829-3EAA3B4F25F3}"/>
    <cellStyle name="Separador de milhares 9 3 19" xfId="24111" xr:uid="{00000000-0005-0000-0000-0000BD680000}"/>
    <cellStyle name="Separador de milhares 9 3 19 2" xfId="24112" xr:uid="{00000000-0005-0000-0000-0000BE680000}"/>
    <cellStyle name="Separador de milhares 9 3 19 2 2" xfId="32451" xr:uid="{826BF16B-D833-4748-815A-2A6CFBF93B5D}"/>
    <cellStyle name="Separador de milhares 9 3 19 3" xfId="32450" xr:uid="{F7D83F5B-43B8-4720-8C29-FBECFDF2DB88}"/>
    <cellStyle name="Separador de milhares 9 3 2" xfId="871" xr:uid="{00000000-0005-0000-0000-0000BF680000}"/>
    <cellStyle name="Separador de milhares 9 3 2 2" xfId="872" xr:uid="{00000000-0005-0000-0000-0000C0680000}"/>
    <cellStyle name="Separador de milhares 9 3 2 2 2" xfId="873" xr:uid="{00000000-0005-0000-0000-0000C1680000}"/>
    <cellStyle name="Separador de milhares 9 3 2 2 2 2" xfId="28105" xr:uid="{8FF5F0B9-834A-4871-AB3F-1E86F4C9C9D7}"/>
    <cellStyle name="Separador de milhares 9 3 2 2 3" xfId="24114" xr:uid="{00000000-0005-0000-0000-0000C2680000}"/>
    <cellStyle name="Separador de milhares 9 3 2 2 3 2" xfId="32452" xr:uid="{A43A238E-AAA4-4AD8-BE8C-864FD81365FC}"/>
    <cellStyle name="Separador de milhares 9 3 2 2 4" xfId="28104" xr:uid="{97B0285D-1E3F-4681-972E-698E76734A65}"/>
    <cellStyle name="Separador de milhares 9 3 2 3" xfId="874" xr:uid="{00000000-0005-0000-0000-0000C3680000}"/>
    <cellStyle name="Separador de milhares 9 3 2 3 2" xfId="28106" xr:uid="{3F8863D6-F1AC-416F-8435-56C0C1023C48}"/>
    <cellStyle name="Separador de milhares 9 3 2 4" xfId="24113" xr:uid="{00000000-0005-0000-0000-0000C4680000}"/>
    <cellStyle name="Separador de milhares 9 3 2 5" xfId="28103" xr:uid="{83C0BBCD-7974-4FA3-95FE-F350848C6987}"/>
    <cellStyle name="Separador de milhares 9 3 20" xfId="24115" xr:uid="{00000000-0005-0000-0000-0000C5680000}"/>
    <cellStyle name="Separador de milhares 9 3 20 2" xfId="24116" xr:uid="{00000000-0005-0000-0000-0000C6680000}"/>
    <cellStyle name="Separador de milhares 9 3 20 2 2" xfId="32454" xr:uid="{85611CC0-674B-40DF-B92A-C752008EEBF9}"/>
    <cellStyle name="Separador de milhares 9 3 20 3" xfId="32453" xr:uid="{5DE4B1FC-91BB-441B-A07C-946DE5103D45}"/>
    <cellStyle name="Separador de milhares 9 3 21" xfId="24117" xr:uid="{00000000-0005-0000-0000-0000C7680000}"/>
    <cellStyle name="Separador de milhares 9 3 21 2" xfId="24118" xr:uid="{00000000-0005-0000-0000-0000C8680000}"/>
    <cellStyle name="Separador de milhares 9 3 21 2 2" xfId="32456" xr:uid="{F299559C-C8AB-4675-99AF-3573D3EF3E5B}"/>
    <cellStyle name="Separador de milhares 9 3 21 3" xfId="32455" xr:uid="{1C34A9AD-A009-48E5-838A-A0BCAC6C1F8D}"/>
    <cellStyle name="Separador de milhares 9 3 22" xfId="24119" xr:uid="{00000000-0005-0000-0000-0000C9680000}"/>
    <cellStyle name="Separador de milhares 9 3 22 2" xfId="24120" xr:uid="{00000000-0005-0000-0000-0000CA680000}"/>
    <cellStyle name="Separador de milhares 9 3 22 2 2" xfId="32458" xr:uid="{F34BBCCF-20DE-492E-B275-119ABF270BED}"/>
    <cellStyle name="Separador de milhares 9 3 22 3" xfId="32457" xr:uid="{056E52C7-6A57-41ED-ACE7-506423C1B5DB}"/>
    <cellStyle name="Separador de milhares 9 3 23" xfId="24121" xr:uid="{00000000-0005-0000-0000-0000CB680000}"/>
    <cellStyle name="Separador de milhares 9 3 23 2" xfId="24122" xr:uid="{00000000-0005-0000-0000-0000CC680000}"/>
    <cellStyle name="Separador de milhares 9 3 23 2 2" xfId="32460" xr:uid="{3DE9171C-08D3-4D54-AD21-C5049F7B6D71}"/>
    <cellStyle name="Separador de milhares 9 3 23 3" xfId="32459" xr:uid="{190F9511-A430-4873-8187-39041405B4A4}"/>
    <cellStyle name="Separador de milhares 9 3 24" xfId="24123" xr:uid="{00000000-0005-0000-0000-0000CD680000}"/>
    <cellStyle name="Separador de milhares 9 3 24 2" xfId="24124" xr:uid="{00000000-0005-0000-0000-0000CE680000}"/>
    <cellStyle name="Separador de milhares 9 3 24 2 2" xfId="32462" xr:uid="{10022391-2482-4967-81FB-31A87122359B}"/>
    <cellStyle name="Separador de milhares 9 3 24 3" xfId="32461" xr:uid="{6C38B822-4B3A-418B-8689-6CCC5C5A0E77}"/>
    <cellStyle name="Separador de milhares 9 3 25" xfId="24125" xr:uid="{00000000-0005-0000-0000-0000CF680000}"/>
    <cellStyle name="Separador de milhares 9 3 25 2" xfId="24126" xr:uid="{00000000-0005-0000-0000-0000D0680000}"/>
    <cellStyle name="Separador de milhares 9 3 25 2 2" xfId="32464" xr:uid="{80FF5127-CF8A-4BA0-88FA-A1E96CDC3CEE}"/>
    <cellStyle name="Separador de milhares 9 3 25 3" xfId="32463" xr:uid="{3F9ADA3E-01B5-4FEB-A888-38A33A1133C9}"/>
    <cellStyle name="Separador de milhares 9 3 26" xfId="24127" xr:uid="{00000000-0005-0000-0000-0000D1680000}"/>
    <cellStyle name="Separador de milhares 9 3 26 2" xfId="24128" xr:uid="{00000000-0005-0000-0000-0000D2680000}"/>
    <cellStyle name="Separador de milhares 9 3 26 2 2" xfId="32466" xr:uid="{304A400D-503D-407E-BD6C-8A697CB9D358}"/>
    <cellStyle name="Separador de milhares 9 3 26 3" xfId="32465" xr:uid="{0AB34B77-1B28-45FB-AE52-8B5B9AFF6976}"/>
    <cellStyle name="Separador de milhares 9 3 27" xfId="24129" xr:uid="{00000000-0005-0000-0000-0000D3680000}"/>
    <cellStyle name="Separador de milhares 9 3 27 2" xfId="24130" xr:uid="{00000000-0005-0000-0000-0000D4680000}"/>
    <cellStyle name="Separador de milhares 9 3 27 2 2" xfId="32468" xr:uid="{74C3CEDD-9C2B-448F-8D2C-7BB9C14C9597}"/>
    <cellStyle name="Separador de milhares 9 3 27 3" xfId="32467" xr:uid="{DA5BFA5A-809C-4068-97CC-E88FB1A6F0F7}"/>
    <cellStyle name="Separador de milhares 9 3 28" xfId="24131" xr:uid="{00000000-0005-0000-0000-0000D5680000}"/>
    <cellStyle name="Separador de milhares 9 3 28 2" xfId="24132" xr:uid="{00000000-0005-0000-0000-0000D6680000}"/>
    <cellStyle name="Separador de milhares 9 3 28 2 2" xfId="32470" xr:uid="{D4C183EE-7ABB-40B3-9EB4-B36090B03B52}"/>
    <cellStyle name="Separador de milhares 9 3 28 3" xfId="32469" xr:uid="{5837E8B9-FCC8-4C42-A6F9-43F6B62C27EF}"/>
    <cellStyle name="Separador de milhares 9 3 29" xfId="24133" xr:uid="{00000000-0005-0000-0000-0000D7680000}"/>
    <cellStyle name="Separador de milhares 9 3 29 2" xfId="24134" xr:uid="{00000000-0005-0000-0000-0000D8680000}"/>
    <cellStyle name="Separador de milhares 9 3 29 2 2" xfId="32472" xr:uid="{F22AEFF0-AACE-4FA5-8E73-0326986DAA4C}"/>
    <cellStyle name="Separador de milhares 9 3 29 3" xfId="32471" xr:uid="{1C20C580-E1FA-412F-A18D-162C01A15203}"/>
    <cellStyle name="Separador de milhares 9 3 3" xfId="875" xr:uid="{00000000-0005-0000-0000-0000D9680000}"/>
    <cellStyle name="Separador de milhares 9 3 3 2" xfId="876" xr:uid="{00000000-0005-0000-0000-0000DA680000}"/>
    <cellStyle name="Separador de milhares 9 3 3 2 2" xfId="24136" xr:uid="{00000000-0005-0000-0000-0000DB680000}"/>
    <cellStyle name="Separador de milhares 9 3 3 2 2 2" xfId="32473" xr:uid="{4445D233-6BEA-44A8-895F-68C1C683DBF1}"/>
    <cellStyle name="Separador de milhares 9 3 3 2 3" xfId="28108" xr:uid="{63508D88-98DC-4363-B33F-CCC82E78A66A}"/>
    <cellStyle name="Separador de milhares 9 3 3 3" xfId="24135" xr:uid="{00000000-0005-0000-0000-0000DC680000}"/>
    <cellStyle name="Separador de milhares 9 3 3 4" xfId="28107" xr:uid="{0FC9DCBF-EF7C-440A-B63F-6C3A508CE8C4}"/>
    <cellStyle name="Separador de milhares 9 3 30" xfId="24137" xr:uid="{00000000-0005-0000-0000-0000DD680000}"/>
    <cellStyle name="Separador de milhares 9 3 30 2" xfId="24138" xr:uid="{00000000-0005-0000-0000-0000DE680000}"/>
    <cellStyle name="Separador de milhares 9 3 30 2 2" xfId="32475" xr:uid="{FF0EED1D-46C1-4983-B155-A94A44AA5A2B}"/>
    <cellStyle name="Separador de milhares 9 3 30 3" xfId="32474" xr:uid="{53AC08D6-D976-42C7-90D6-81FF5A21C930}"/>
    <cellStyle name="Separador de milhares 9 3 31" xfId="24139" xr:uid="{00000000-0005-0000-0000-0000DF680000}"/>
    <cellStyle name="Separador de milhares 9 3 31 2" xfId="24140" xr:uid="{00000000-0005-0000-0000-0000E0680000}"/>
    <cellStyle name="Separador de milhares 9 3 31 2 2" xfId="32477" xr:uid="{E861E95F-AA46-418E-8E11-CA58BE7AD792}"/>
    <cellStyle name="Separador de milhares 9 3 31 3" xfId="32476" xr:uid="{36AC491F-1C62-4CF2-97A0-867D03103E98}"/>
    <cellStyle name="Separador de milhares 9 3 32" xfId="24141" xr:uid="{00000000-0005-0000-0000-0000E1680000}"/>
    <cellStyle name="Separador de milhares 9 3 32 2" xfId="24142" xr:uid="{00000000-0005-0000-0000-0000E2680000}"/>
    <cellStyle name="Separador de milhares 9 3 32 2 2" xfId="32479" xr:uid="{729A7F9A-906B-4A4F-9E86-1DC72392093C}"/>
    <cellStyle name="Separador de milhares 9 3 32 3" xfId="32478" xr:uid="{B103FCC0-836A-43B1-9D7A-C92589006556}"/>
    <cellStyle name="Separador de milhares 9 3 33" xfId="24143" xr:uid="{00000000-0005-0000-0000-0000E3680000}"/>
    <cellStyle name="Separador de milhares 9 3 33 2" xfId="24144" xr:uid="{00000000-0005-0000-0000-0000E4680000}"/>
    <cellStyle name="Separador de milhares 9 3 33 2 2" xfId="32481" xr:uid="{E97A8CFE-4949-45FF-91B8-FE9BEAED4B32}"/>
    <cellStyle name="Separador de milhares 9 3 33 3" xfId="32480" xr:uid="{36FA1DFD-549D-4CD3-AAA9-561469F612DD}"/>
    <cellStyle name="Separador de milhares 9 3 34" xfId="24145" xr:uid="{00000000-0005-0000-0000-0000E5680000}"/>
    <cellStyle name="Separador de milhares 9 3 34 2" xfId="24146" xr:uid="{00000000-0005-0000-0000-0000E6680000}"/>
    <cellStyle name="Separador de milhares 9 3 34 2 2" xfId="32483" xr:uid="{35F43C26-6A48-42E3-9185-A6F3DE7B0A33}"/>
    <cellStyle name="Separador de milhares 9 3 34 3" xfId="32482" xr:uid="{D28CAF31-1FBB-4C7D-8328-F7D4B03A0A17}"/>
    <cellStyle name="Separador de milhares 9 3 35" xfId="24147" xr:uid="{00000000-0005-0000-0000-0000E7680000}"/>
    <cellStyle name="Separador de milhares 9 3 35 2" xfId="32484" xr:uid="{7CA76FC5-8611-4FC3-A659-501F17DC6FE3}"/>
    <cellStyle name="Separador de milhares 9 3 36" xfId="24092" xr:uid="{00000000-0005-0000-0000-0000E8680000}"/>
    <cellStyle name="Separador de milhares 9 3 37" xfId="28102" xr:uid="{6C26312B-C40F-48B6-82B6-B21014DF8A41}"/>
    <cellStyle name="Separador de milhares 9 3 4" xfId="877" xr:uid="{00000000-0005-0000-0000-0000E9680000}"/>
    <cellStyle name="Separador de milhares 9 3 4 2" xfId="24149" xr:uid="{00000000-0005-0000-0000-0000EA680000}"/>
    <cellStyle name="Separador de milhares 9 3 4 2 2" xfId="32485" xr:uid="{81D12816-D635-4873-B778-621125D63F22}"/>
    <cellStyle name="Separador de milhares 9 3 4 3" xfId="24148" xr:uid="{00000000-0005-0000-0000-0000EB680000}"/>
    <cellStyle name="Separador de milhares 9 3 4 4" xfId="28109" xr:uid="{09F323A6-E2E7-495D-A426-6A648AB5E99E}"/>
    <cellStyle name="Separador de milhares 9 3 5" xfId="24150" xr:uid="{00000000-0005-0000-0000-0000EC680000}"/>
    <cellStyle name="Separador de milhares 9 3 5 2" xfId="24151" xr:uid="{00000000-0005-0000-0000-0000ED680000}"/>
    <cellStyle name="Separador de milhares 9 3 5 2 2" xfId="32486" xr:uid="{29274BF8-87DE-4F61-AF1E-C6CA22DC192E}"/>
    <cellStyle name="Separador de milhares 9 3 6" xfId="24152" xr:uid="{00000000-0005-0000-0000-0000EE680000}"/>
    <cellStyle name="Separador de milhares 9 3 6 2" xfId="24153" xr:uid="{00000000-0005-0000-0000-0000EF680000}"/>
    <cellStyle name="Separador de milhares 9 3 6 2 2" xfId="32487" xr:uid="{93C37145-74C9-488F-9EFE-F77DB5A6B692}"/>
    <cellStyle name="Separador de milhares 9 3 7" xfId="24154" xr:uid="{00000000-0005-0000-0000-0000F0680000}"/>
    <cellStyle name="Separador de milhares 9 3 7 2" xfId="24155" xr:uid="{00000000-0005-0000-0000-0000F1680000}"/>
    <cellStyle name="Separador de milhares 9 3 7 2 2" xfId="32488" xr:uid="{E9897B20-00AD-4055-99F9-7A673A6C3F16}"/>
    <cellStyle name="Separador de milhares 9 3 8" xfId="24156" xr:uid="{00000000-0005-0000-0000-0000F2680000}"/>
    <cellStyle name="Separador de milhares 9 3 8 2" xfId="24157" xr:uid="{00000000-0005-0000-0000-0000F3680000}"/>
    <cellStyle name="Separador de milhares 9 3 8 2 2" xfId="32489" xr:uid="{99F26A16-DFB1-44BC-B157-BA0C3A7DEB2C}"/>
    <cellStyle name="Separador de milhares 9 3 9" xfId="24158" xr:uid="{00000000-0005-0000-0000-0000F4680000}"/>
    <cellStyle name="Separador de milhares 9 3 9 2" xfId="24159" xr:uid="{00000000-0005-0000-0000-0000F5680000}"/>
    <cellStyle name="Separador de milhares 9 3 9 2 2" xfId="32490" xr:uid="{9E8AD5F9-F540-489B-84F6-E3011A36C2DC}"/>
    <cellStyle name="Separador de milhares 9 30" xfId="24160" xr:uid="{00000000-0005-0000-0000-0000F6680000}"/>
    <cellStyle name="Separador de milhares 9 30 2" xfId="24161" xr:uid="{00000000-0005-0000-0000-0000F7680000}"/>
    <cellStyle name="Separador de milhares 9 30 2 2" xfId="32492" xr:uid="{19BAE54F-6CD8-474D-ACC9-75A0224F5CDB}"/>
    <cellStyle name="Separador de milhares 9 30 3" xfId="32491" xr:uid="{69D636A1-143C-43F1-9DE2-C21A73FB5D9B}"/>
    <cellStyle name="Separador de milhares 9 31" xfId="24162" xr:uid="{00000000-0005-0000-0000-0000F8680000}"/>
    <cellStyle name="Separador de milhares 9 31 2" xfId="24163" xr:uid="{00000000-0005-0000-0000-0000F9680000}"/>
    <cellStyle name="Separador de milhares 9 31 2 2" xfId="32494" xr:uid="{066FE2CE-B82D-4FD4-92DD-2C5E96C5ABFB}"/>
    <cellStyle name="Separador de milhares 9 31 3" xfId="32493" xr:uid="{590F3A86-5895-41F3-B11A-8EFB99BC1B95}"/>
    <cellStyle name="Separador de milhares 9 32" xfId="24164" xr:uid="{00000000-0005-0000-0000-0000FA680000}"/>
    <cellStyle name="Separador de milhares 9 32 2" xfId="24165" xr:uid="{00000000-0005-0000-0000-0000FB680000}"/>
    <cellStyle name="Separador de milhares 9 32 2 2" xfId="32496" xr:uid="{0D0CBE5B-B27F-4EE7-8937-1E042B266E05}"/>
    <cellStyle name="Separador de milhares 9 32 3" xfId="32495" xr:uid="{73C6627F-C841-45E4-8122-E8E637171821}"/>
    <cellStyle name="Separador de milhares 9 33" xfId="24166" xr:uid="{00000000-0005-0000-0000-0000FC680000}"/>
    <cellStyle name="Separador de milhares 9 33 2" xfId="24167" xr:uid="{00000000-0005-0000-0000-0000FD680000}"/>
    <cellStyle name="Separador de milhares 9 33 2 2" xfId="32498" xr:uid="{18D75BC6-30F5-4227-A881-52DFAC5B3768}"/>
    <cellStyle name="Separador de milhares 9 33 3" xfId="32497" xr:uid="{73F50B4B-2482-4B40-871E-0A9E0BCB039D}"/>
    <cellStyle name="Separador de milhares 9 34" xfId="24168" xr:uid="{00000000-0005-0000-0000-0000FE680000}"/>
    <cellStyle name="Separador de milhares 9 34 2" xfId="24169" xr:uid="{00000000-0005-0000-0000-0000FF680000}"/>
    <cellStyle name="Separador de milhares 9 34 2 2" xfId="32500" xr:uid="{680BC650-55D7-4CC4-8CAC-BF92BD80B2FA}"/>
    <cellStyle name="Separador de milhares 9 34 3" xfId="32499" xr:uid="{4429E75B-2B01-486B-B3BE-7A4452410ABC}"/>
    <cellStyle name="Separador de milhares 9 35" xfId="24170" xr:uid="{00000000-0005-0000-0000-000000690000}"/>
    <cellStyle name="Separador de milhares 9 35 2" xfId="24171" xr:uid="{00000000-0005-0000-0000-000001690000}"/>
    <cellStyle name="Separador de milhares 9 35 2 2" xfId="32502" xr:uid="{1A8B8EC8-B9E6-4958-905A-A19AC072A50B}"/>
    <cellStyle name="Separador de milhares 9 35 3" xfId="32501" xr:uid="{9F67B290-6AA3-4D32-8782-41D67C6B2CBC}"/>
    <cellStyle name="Separador de milhares 9 36" xfId="24172" xr:uid="{00000000-0005-0000-0000-000002690000}"/>
    <cellStyle name="Separador de milhares 9 36 2" xfId="24173" xr:uid="{00000000-0005-0000-0000-000003690000}"/>
    <cellStyle name="Separador de milhares 9 36 2 2" xfId="32504" xr:uid="{CA7443AC-AD6E-4AC7-8752-70AB1610014A}"/>
    <cellStyle name="Separador de milhares 9 36 3" xfId="32503" xr:uid="{B54B01AE-90BC-46EE-93E0-8711E672C1D6}"/>
    <cellStyle name="Separador de milhares 9 37" xfId="24174" xr:uid="{00000000-0005-0000-0000-000004690000}"/>
    <cellStyle name="Separador de milhares 9 37 2" xfId="24175" xr:uid="{00000000-0005-0000-0000-000005690000}"/>
    <cellStyle name="Separador de milhares 9 37 2 2" xfId="32506" xr:uid="{2CE92259-8E75-4243-A6D7-AEAC0D14DD9E}"/>
    <cellStyle name="Separador de milhares 9 37 3" xfId="32505" xr:uid="{29BEF014-D15A-4189-AA88-783850877051}"/>
    <cellStyle name="Separador de milhares 9 38" xfId="24176" xr:uid="{00000000-0005-0000-0000-000006690000}"/>
    <cellStyle name="Separador de milhares 9 38 2" xfId="24177" xr:uid="{00000000-0005-0000-0000-000007690000}"/>
    <cellStyle name="Separador de milhares 9 38 2 2" xfId="32508" xr:uid="{52427035-B58C-47CC-8931-0EF7923B5C13}"/>
    <cellStyle name="Separador de milhares 9 38 3" xfId="32507" xr:uid="{DB6121A2-59CC-4D26-98FB-563CECF6E689}"/>
    <cellStyle name="Separador de milhares 9 39" xfId="24178" xr:uid="{00000000-0005-0000-0000-000008690000}"/>
    <cellStyle name="Separador de milhares 9 39 2" xfId="24179" xr:uid="{00000000-0005-0000-0000-000009690000}"/>
    <cellStyle name="Separador de milhares 9 39 2 2" xfId="32510" xr:uid="{FCCD8B42-599F-4E07-8C02-C42CECFB3A82}"/>
    <cellStyle name="Separador de milhares 9 39 3" xfId="32509" xr:uid="{12AFC533-12BA-4515-95CF-86CEF7D22C45}"/>
    <cellStyle name="Separador de milhares 9 4" xfId="878" xr:uid="{00000000-0005-0000-0000-00000A690000}"/>
    <cellStyle name="Separador de milhares 9 4 10" xfId="24181" xr:uid="{00000000-0005-0000-0000-00000B690000}"/>
    <cellStyle name="Separador de milhares 9 4 11" xfId="24180" xr:uid="{00000000-0005-0000-0000-00000C690000}"/>
    <cellStyle name="Separador de milhares 9 4 12" xfId="28110" xr:uid="{BBB64B0C-BE39-4299-B13F-1DBF7955C212}"/>
    <cellStyle name="Separador de milhares 9 4 2" xfId="879" xr:uid="{00000000-0005-0000-0000-00000D690000}"/>
    <cellStyle name="Separador de milhares 9 4 2 2" xfId="880" xr:uid="{00000000-0005-0000-0000-00000E690000}"/>
    <cellStyle name="Separador de milhares 9 4 2 2 2" xfId="24183" xr:uid="{00000000-0005-0000-0000-00000F690000}"/>
    <cellStyle name="Separador de milhares 9 4 2 2 2 2" xfId="32511" xr:uid="{4890A145-5094-408A-BA78-FF9C451F2AFD}"/>
    <cellStyle name="Separador de milhares 9 4 2 2 3" xfId="28112" xr:uid="{B21E0B38-4D31-4CAC-A197-D95940EA999A}"/>
    <cellStyle name="Separador de milhares 9 4 2 3" xfId="24182" xr:uid="{00000000-0005-0000-0000-000010690000}"/>
    <cellStyle name="Separador de milhares 9 4 2 4" xfId="28111" xr:uid="{92B700CA-8C55-4FC0-B2E7-49273F76BC90}"/>
    <cellStyle name="Separador de milhares 9 4 3" xfId="881" xr:uid="{00000000-0005-0000-0000-000011690000}"/>
    <cellStyle name="Separador de milhares 9 4 3 2" xfId="24185" xr:uid="{00000000-0005-0000-0000-000012690000}"/>
    <cellStyle name="Separador de milhares 9 4 3 2 2" xfId="32512" xr:uid="{A374FA91-4926-4541-8D5E-C43255067756}"/>
    <cellStyle name="Separador de milhares 9 4 3 3" xfId="24184" xr:uid="{00000000-0005-0000-0000-000013690000}"/>
    <cellStyle name="Separador de milhares 9 4 3 4" xfId="28113" xr:uid="{7E903039-5E7E-4335-91CB-93E5BCF5DB1A}"/>
    <cellStyle name="Separador de milhares 9 4 4" xfId="24186" xr:uid="{00000000-0005-0000-0000-000014690000}"/>
    <cellStyle name="Separador de milhares 9 4 4 2" xfId="24187" xr:uid="{00000000-0005-0000-0000-000015690000}"/>
    <cellStyle name="Separador de milhares 9 4 4 2 2" xfId="32513" xr:uid="{EF61EAD3-CD73-4CFC-BC22-2F83725BC7D8}"/>
    <cellStyle name="Separador de milhares 9 4 5" xfId="24188" xr:uid="{00000000-0005-0000-0000-000016690000}"/>
    <cellStyle name="Separador de milhares 9 4 5 2" xfId="24189" xr:uid="{00000000-0005-0000-0000-000017690000}"/>
    <cellStyle name="Separador de milhares 9 4 5 2 2" xfId="32514" xr:uid="{2F7987E3-16DE-4AE9-B679-C4394D7D966A}"/>
    <cellStyle name="Separador de milhares 9 4 6" xfId="24190" xr:uid="{00000000-0005-0000-0000-000018690000}"/>
    <cellStyle name="Separador de milhares 9 4 7" xfId="24191" xr:uid="{00000000-0005-0000-0000-000019690000}"/>
    <cellStyle name="Separador de milhares 9 4 8" xfId="24192" xr:uid="{00000000-0005-0000-0000-00001A690000}"/>
    <cellStyle name="Separador de milhares 9 4 9" xfId="24193" xr:uid="{00000000-0005-0000-0000-00001B690000}"/>
    <cellStyle name="Separador de milhares 9 40" xfId="24194" xr:uid="{00000000-0005-0000-0000-00001C690000}"/>
    <cellStyle name="Separador de milhares 9 40 2" xfId="24195" xr:uid="{00000000-0005-0000-0000-00001D690000}"/>
    <cellStyle name="Separador de milhares 9 40 2 2" xfId="32516" xr:uid="{06A4AFFC-C24B-43E5-81A5-4FFCB7240C2A}"/>
    <cellStyle name="Separador de milhares 9 40 3" xfId="32515" xr:uid="{C4A41BF3-EAEC-48C4-A0BB-1BAA3D64C61D}"/>
    <cellStyle name="Separador de milhares 9 41" xfId="24196" xr:uid="{00000000-0005-0000-0000-00001E690000}"/>
    <cellStyle name="Separador de milhares 9 41 2" xfId="24197" xr:uid="{00000000-0005-0000-0000-00001F690000}"/>
    <cellStyle name="Separador de milhares 9 41 2 2" xfId="32518" xr:uid="{B6E5935C-1577-42C4-A891-D368EEE5AC1E}"/>
    <cellStyle name="Separador de milhares 9 41 3" xfId="32517" xr:uid="{B58DCC75-68FA-4582-AE08-C3FB855CCAB5}"/>
    <cellStyle name="Separador de milhares 9 42" xfId="24198" xr:uid="{00000000-0005-0000-0000-000020690000}"/>
    <cellStyle name="Separador de milhares 9 42 2" xfId="24199" xr:uid="{00000000-0005-0000-0000-000021690000}"/>
    <cellStyle name="Separador de milhares 9 42 2 2" xfId="32520" xr:uid="{DF811A8A-60DD-491E-A3E8-1C8C10C54DAB}"/>
    <cellStyle name="Separador de milhares 9 42 3" xfId="32519" xr:uid="{65B70954-DF04-431D-9A8E-B817C4F18190}"/>
    <cellStyle name="Separador de milhares 9 43" xfId="24200" xr:uid="{00000000-0005-0000-0000-000022690000}"/>
    <cellStyle name="Separador de milhares 9 43 2" xfId="24201" xr:uid="{00000000-0005-0000-0000-000023690000}"/>
    <cellStyle name="Separador de milhares 9 43 2 2" xfId="32522" xr:uid="{DD5ED128-667F-4D77-B878-97BE4F5816F6}"/>
    <cellStyle name="Separador de milhares 9 43 3" xfId="32521" xr:uid="{08AC5E7B-7273-4B2A-9268-46771E3EFCF7}"/>
    <cellStyle name="Separador de milhares 9 44" xfId="24202" xr:uid="{00000000-0005-0000-0000-000024690000}"/>
    <cellStyle name="Separador de milhares 9 44 2" xfId="24203" xr:uid="{00000000-0005-0000-0000-000025690000}"/>
    <cellStyle name="Separador de milhares 9 44 2 2" xfId="32524" xr:uid="{E77DD728-AB09-43B1-99DD-BE7BA41F6A17}"/>
    <cellStyle name="Separador de milhares 9 44 3" xfId="32523" xr:uid="{029CC317-2F62-4F92-88F8-2EC83BE0858E}"/>
    <cellStyle name="Separador de milhares 9 45" xfId="24204" xr:uid="{00000000-0005-0000-0000-000026690000}"/>
    <cellStyle name="Separador de milhares 9 45 2" xfId="24205" xr:uid="{00000000-0005-0000-0000-000027690000}"/>
    <cellStyle name="Separador de milhares 9 45 2 2" xfId="32526" xr:uid="{2FA5147D-6448-457D-AD3D-FE4D6F6C4F00}"/>
    <cellStyle name="Separador de milhares 9 45 3" xfId="32525" xr:uid="{9064C6FC-2826-4BF1-B82A-D8FE401B9A7C}"/>
    <cellStyle name="Separador de milhares 9 46" xfId="24206" xr:uid="{00000000-0005-0000-0000-000028690000}"/>
    <cellStyle name="Separador de milhares 9 46 2" xfId="24207" xr:uid="{00000000-0005-0000-0000-000029690000}"/>
    <cellStyle name="Separador de milhares 9 46 2 2" xfId="32528" xr:uid="{6BD9A614-BC03-4504-94DF-AB7D2254361D}"/>
    <cellStyle name="Separador de milhares 9 46 3" xfId="32527" xr:uid="{98DFAA26-1E0E-4C34-97A4-CB266F224DE4}"/>
    <cellStyle name="Separador de milhares 9 47" xfId="24208" xr:uid="{00000000-0005-0000-0000-00002A690000}"/>
    <cellStyle name="Separador de milhares 9 47 2" xfId="32529" xr:uid="{45CF7ED4-5FC2-4DB4-9BC4-66EB68F3BCEB}"/>
    <cellStyle name="Separador de milhares 9 48" xfId="23731" xr:uid="{00000000-0005-0000-0000-00002B690000}"/>
    <cellStyle name="Separador de milhares 9 48 2" xfId="32359" xr:uid="{C02994BF-349A-4B66-B908-37D1AA7490A7}"/>
    <cellStyle name="Separador de milhares 9 49" xfId="24955" xr:uid="{00000000-0005-0000-0000-00002C690000}"/>
    <cellStyle name="Separador de milhares 9 49 2" xfId="32897" xr:uid="{ED33A3A7-499D-44DB-98F1-CA0A4D141DBB}"/>
    <cellStyle name="Separador de milhares 9 5" xfId="882" xr:uid="{00000000-0005-0000-0000-00002D690000}"/>
    <cellStyle name="Separador de milhares 9 5 2" xfId="883" xr:uid="{00000000-0005-0000-0000-00002E690000}"/>
    <cellStyle name="Separador de milhares 9 5 2 2" xfId="24210" xr:uid="{00000000-0005-0000-0000-00002F690000}"/>
    <cellStyle name="Separador de milhares 9 5 2 3" xfId="28115" xr:uid="{10F48B35-D057-4FDE-9849-A1526A533214}"/>
    <cellStyle name="Separador de milhares 9 5 3" xfId="24211" xr:uid="{00000000-0005-0000-0000-000030690000}"/>
    <cellStyle name="Separador de milhares 9 5 4" xfId="24212" xr:uid="{00000000-0005-0000-0000-000031690000}"/>
    <cellStyle name="Separador de milhares 9 5 5" xfId="24209" xr:uid="{00000000-0005-0000-0000-000032690000}"/>
    <cellStyle name="Separador de milhares 9 5 6" xfId="28114" xr:uid="{33222CA6-AFE3-4B7A-9FAC-9E4B3466DBDB}"/>
    <cellStyle name="Separador de milhares 9 50" xfId="25025" xr:uid="{00000000-0005-0000-0000-000033690000}"/>
    <cellStyle name="Separador de milhares 9 50 2" xfId="32922" xr:uid="{19023FEE-2DB6-49F1-9C8D-859E99C7FF1B}"/>
    <cellStyle name="Separador de milhares 9 51" xfId="24975" xr:uid="{00000000-0005-0000-0000-000034690000}"/>
    <cellStyle name="Separador de milhares 9 51 2" xfId="32898" xr:uid="{B6698A0F-D0E2-43B4-A60C-CEC3EBC5BF4B}"/>
    <cellStyle name="Separador de milhares 9 52" xfId="25024" xr:uid="{00000000-0005-0000-0000-000035690000}"/>
    <cellStyle name="Separador de milhares 9 52 2" xfId="32921" xr:uid="{368D8DB5-8B72-4983-9CA1-2B32790B05AB}"/>
    <cellStyle name="Separador de milhares 9 53" xfId="24976" xr:uid="{00000000-0005-0000-0000-000036690000}"/>
    <cellStyle name="Separador de milhares 9 53 2" xfId="32899" xr:uid="{A13AECB9-D189-4C3E-89A5-ABF1222E5883}"/>
    <cellStyle name="Separador de milhares 9 54" xfId="25023" xr:uid="{00000000-0005-0000-0000-000037690000}"/>
    <cellStyle name="Separador de milhares 9 54 2" xfId="32920" xr:uid="{FDCA968E-43C9-41F0-B8F7-43AAF3895B27}"/>
    <cellStyle name="Separador de milhares 9 55" xfId="24977" xr:uid="{00000000-0005-0000-0000-000038690000}"/>
    <cellStyle name="Separador de milhares 9 55 2" xfId="32900" xr:uid="{7030E3F1-BB7F-4EBB-8DF8-4C42B028460D}"/>
    <cellStyle name="Separador de milhares 9 56" xfId="25022" xr:uid="{00000000-0005-0000-0000-000039690000}"/>
    <cellStyle name="Separador de milhares 9 56 2" xfId="32919" xr:uid="{C2454797-FEE6-4739-BB8A-A09F8EAFF477}"/>
    <cellStyle name="Separador de milhares 9 57" xfId="24978" xr:uid="{00000000-0005-0000-0000-00003A690000}"/>
    <cellStyle name="Separador de milhares 9 57 2" xfId="32901" xr:uid="{A6D6B194-1F25-49C1-BA0F-82DF6B8B4F2D}"/>
    <cellStyle name="Separador de milhares 9 58" xfId="25021" xr:uid="{00000000-0005-0000-0000-00003B690000}"/>
    <cellStyle name="Separador de milhares 9 58 2" xfId="32918" xr:uid="{858D7790-399A-407F-8FC2-E24AA195CDDD}"/>
    <cellStyle name="Separador de milhares 9 59" xfId="24979" xr:uid="{00000000-0005-0000-0000-00003C690000}"/>
    <cellStyle name="Separador de milhares 9 59 2" xfId="32902" xr:uid="{01DA15ED-2D78-4D63-8D5F-24A9C753D529}"/>
    <cellStyle name="Separador de milhares 9 6" xfId="884" xr:uid="{00000000-0005-0000-0000-00003D690000}"/>
    <cellStyle name="Separador de milhares 9 6 2" xfId="24214" xr:uid="{00000000-0005-0000-0000-00003E690000}"/>
    <cellStyle name="Separador de milhares 9 6 3" xfId="24215" xr:uid="{00000000-0005-0000-0000-00003F690000}"/>
    <cellStyle name="Separador de milhares 9 6 4" xfId="24216" xr:uid="{00000000-0005-0000-0000-000040690000}"/>
    <cellStyle name="Separador de milhares 9 6 5" xfId="24213" xr:uid="{00000000-0005-0000-0000-000041690000}"/>
    <cellStyle name="Separador de milhares 9 6 6" xfId="28116" xr:uid="{C78F7F20-A6C8-4A60-BC1E-D42CD09C69C8}"/>
    <cellStyle name="Separador de milhares 9 60" xfId="25020" xr:uid="{00000000-0005-0000-0000-000042690000}"/>
    <cellStyle name="Separador de milhares 9 60 2" xfId="32917" xr:uid="{80B71DA9-7246-4BEF-AAD6-06C8D361F4F7}"/>
    <cellStyle name="Separador de milhares 9 61" xfId="24980" xr:uid="{00000000-0005-0000-0000-000043690000}"/>
    <cellStyle name="Separador de milhares 9 61 2" xfId="32903" xr:uid="{09F6EEFD-5389-4193-B2D9-E6DCF9049554}"/>
    <cellStyle name="Separador de milhares 9 62" xfId="25019" xr:uid="{00000000-0005-0000-0000-000044690000}"/>
    <cellStyle name="Separador de milhares 9 62 2" xfId="32916" xr:uid="{0BB6B6C2-AA5D-45C2-AB47-2AB3ED9A4330}"/>
    <cellStyle name="Separador de milhares 9 63" xfId="24981" xr:uid="{00000000-0005-0000-0000-000045690000}"/>
    <cellStyle name="Separador de milhares 9 63 2" xfId="32904" xr:uid="{14298D28-3EEF-473A-B5C8-4C478044B6EA}"/>
    <cellStyle name="Separador de milhares 9 64" xfId="25018" xr:uid="{00000000-0005-0000-0000-000046690000}"/>
    <cellStyle name="Separador de milhares 9 64 2" xfId="32915" xr:uid="{2CA56104-235C-4F01-B512-1097BDC9E328}"/>
    <cellStyle name="Separador de milhares 9 65" xfId="24982" xr:uid="{00000000-0005-0000-0000-000047690000}"/>
    <cellStyle name="Separador de milhares 9 65 2" xfId="32905" xr:uid="{C2E22553-386F-4F4E-A106-8F47DB986C27}"/>
    <cellStyle name="Separador de milhares 9 66" xfId="25017" xr:uid="{00000000-0005-0000-0000-000048690000}"/>
    <cellStyle name="Separador de milhares 9 66 2" xfId="32914" xr:uid="{9B603EA9-7E13-4051-95B5-DC69085A251D}"/>
    <cellStyle name="Separador de milhares 9 67" xfId="24983" xr:uid="{00000000-0005-0000-0000-000049690000}"/>
    <cellStyle name="Separador de milhares 9 67 2" xfId="32906" xr:uid="{0CCCE7C4-6468-4008-92F5-10CF45F971F7}"/>
    <cellStyle name="Separador de milhares 9 68" xfId="25016" xr:uid="{00000000-0005-0000-0000-00004A690000}"/>
    <cellStyle name="Separador de milhares 9 68 2" xfId="32913" xr:uid="{D7E8E0B2-FD52-4613-9E09-14E226CE7675}"/>
    <cellStyle name="Separador de milhares 9 69" xfId="24984" xr:uid="{00000000-0005-0000-0000-00004B690000}"/>
    <cellStyle name="Separador de milhares 9 69 2" xfId="32907" xr:uid="{1CA3A99D-9BE1-40E5-AE14-4D689B436FBE}"/>
    <cellStyle name="Separador de milhares 9 7" xfId="885" xr:uid="{00000000-0005-0000-0000-00004C690000}"/>
    <cellStyle name="Separador de milhares 9 7 2" xfId="24218" xr:uid="{00000000-0005-0000-0000-00004D690000}"/>
    <cellStyle name="Separador de milhares 9 7 3" xfId="24219" xr:uid="{00000000-0005-0000-0000-00004E690000}"/>
    <cellStyle name="Separador de milhares 9 7 4" xfId="24220" xr:uid="{00000000-0005-0000-0000-00004F690000}"/>
    <cellStyle name="Separador de milhares 9 7 5" xfId="24217" xr:uid="{00000000-0005-0000-0000-000050690000}"/>
    <cellStyle name="Separador de milhares 9 7 6" xfId="28117" xr:uid="{E06FAB7E-7253-4411-9EB5-2D970F90102A}"/>
    <cellStyle name="Separador de milhares 9 70" xfId="25015" xr:uid="{00000000-0005-0000-0000-000051690000}"/>
    <cellStyle name="Separador de milhares 9 70 2" xfId="32912" xr:uid="{5D8DBE63-D651-4BC9-8544-C7D42F496896}"/>
    <cellStyle name="Separador de milhares 9 71" xfId="24985" xr:uid="{00000000-0005-0000-0000-000052690000}"/>
    <cellStyle name="Separador de milhares 9 71 2" xfId="32908" xr:uid="{02A347A3-2A0D-4709-AA64-8A62744A6FE1}"/>
    <cellStyle name="Separador de milhares 9 72" xfId="25014" xr:uid="{00000000-0005-0000-0000-000053690000}"/>
    <cellStyle name="Separador de milhares 9 72 2" xfId="32911" xr:uid="{F818A527-01AE-4A6F-B202-381AD3D46C8B}"/>
    <cellStyle name="Separador de milhares 9 73" xfId="24986" xr:uid="{00000000-0005-0000-0000-000054690000}"/>
    <cellStyle name="Separador de milhares 9 73 2" xfId="32909" xr:uid="{BD7C7954-E486-4D00-A6A8-0823D72B37D9}"/>
    <cellStyle name="Separador de milhares 9 74" xfId="25013" xr:uid="{00000000-0005-0000-0000-000055690000}"/>
    <cellStyle name="Separador de milhares 9 74 2" xfId="32910" xr:uid="{7929A6E6-DCDC-4318-90E7-507F73694F88}"/>
    <cellStyle name="Separador de milhares 9 75" xfId="26007" xr:uid="{00000000-0005-0000-0000-000056690000}"/>
    <cellStyle name="Separador de milhares 9 75 2" xfId="32932" xr:uid="{70A48F7C-2795-4E8B-8A27-EFA0D6723DF0}"/>
    <cellStyle name="Separador de milhares 9 76" xfId="27217" xr:uid="{00000000-0005-0000-0000-000057690000}"/>
    <cellStyle name="Separador de milhares 9 76 2" xfId="33059" xr:uid="{966CA670-9D97-43A9-8F21-8606E31AC806}"/>
    <cellStyle name="Separador de milhares 9 77" xfId="27290" xr:uid="{00000000-0005-0000-0000-000058690000}"/>
    <cellStyle name="Separador de milhares 9 77 2" xfId="33129" xr:uid="{929EA233-3377-4C8F-AB25-111B637BE168}"/>
    <cellStyle name="Separador de milhares 9 78" xfId="27167" xr:uid="{00000000-0005-0000-0000-000059690000}"/>
    <cellStyle name="Separador de milhares 9 78 2" xfId="33013" xr:uid="{34CB14D7-6F03-4887-8A9F-81F41921C34F}"/>
    <cellStyle name="Separador de milhares 9 79" xfId="27303" xr:uid="{00000000-0005-0000-0000-00005A690000}"/>
    <cellStyle name="Separador de milhares 9 79 2" xfId="33142" xr:uid="{9630C1EF-CE0D-4BC2-A70E-8531490D9B51}"/>
    <cellStyle name="Separador de milhares 9 8" xfId="886" xr:uid="{00000000-0005-0000-0000-00005B690000}"/>
    <cellStyle name="Separador de milhares 9 8 2" xfId="24222" xr:uid="{00000000-0005-0000-0000-00005C690000}"/>
    <cellStyle name="Separador de milhares 9 8 3" xfId="24223" xr:uid="{00000000-0005-0000-0000-00005D690000}"/>
    <cellStyle name="Separador de milhares 9 8 4" xfId="24224" xr:uid="{00000000-0005-0000-0000-00005E690000}"/>
    <cellStyle name="Separador de milhares 9 8 5" xfId="24221" xr:uid="{00000000-0005-0000-0000-00005F690000}"/>
    <cellStyle name="Separador de milhares 9 8 6" xfId="28118" xr:uid="{4633A3A5-F332-49BA-9B8A-62A181AAC96A}"/>
    <cellStyle name="Separador de milhares 9 80" xfId="27304" xr:uid="{00000000-0005-0000-0000-000060690000}"/>
    <cellStyle name="Separador de milhares 9 80 2" xfId="33143" xr:uid="{EE44C16E-27B8-40B1-B2E3-6B3D358D0D8F}"/>
    <cellStyle name="Separador de milhares 9 81" xfId="27288" xr:uid="{00000000-0005-0000-0000-000061690000}"/>
    <cellStyle name="Separador de milhares 9 81 2" xfId="33128" xr:uid="{5130827E-B8FE-43A9-9B97-0D82F26BE44A}"/>
    <cellStyle name="Separador de milhares 9 82" xfId="27169" xr:uid="{00000000-0005-0000-0000-000062690000}"/>
    <cellStyle name="Separador de milhares 9 82 2" xfId="33015" xr:uid="{67569496-9C54-4BA9-9871-4025DDD23C34}"/>
    <cellStyle name="Separador de milhares 9 83" xfId="27156" xr:uid="{00000000-0005-0000-0000-000063690000}"/>
    <cellStyle name="Separador de milhares 9 83 2" xfId="33004" xr:uid="{724365C1-90C8-4744-8D7C-CC5756F8DF88}"/>
    <cellStyle name="Separador de milhares 9 84" xfId="27299" xr:uid="{00000000-0005-0000-0000-000064690000}"/>
    <cellStyle name="Separador de milhares 9 84 2" xfId="33138" xr:uid="{D2B3AEE7-0445-4F37-92D2-ED9685008B70}"/>
    <cellStyle name="Separador de milhares 9 85" xfId="27175" xr:uid="{00000000-0005-0000-0000-000065690000}"/>
    <cellStyle name="Separador de milhares 9 85 2" xfId="33017" xr:uid="{60B59E4F-2CDB-4649-B176-CDD41F9D2D08}"/>
    <cellStyle name="Separador de milhares 9 86" xfId="27161" xr:uid="{00000000-0005-0000-0000-000066690000}"/>
    <cellStyle name="Separador de milhares 9 86 2" xfId="33009" xr:uid="{30E90A25-ED91-408B-8740-F89F5941BC70}"/>
    <cellStyle name="Separador de milhares 9 87" xfId="27331" xr:uid="{00000000-0005-0000-0000-000067690000}"/>
    <cellStyle name="Separador de milhares 9 87 2" xfId="33168" xr:uid="{BDAB05E5-A7CE-479B-B6CD-2780670C2065}"/>
    <cellStyle name="Separador de milhares 9 88" xfId="27168" xr:uid="{00000000-0005-0000-0000-000068690000}"/>
    <cellStyle name="Separador de milhares 9 88 2" xfId="33014" xr:uid="{86031961-63BF-4403-9ED6-4E25BF6F4DD1}"/>
    <cellStyle name="Separador de milhares 9 89" xfId="27397" xr:uid="{00000000-0005-0000-0000-000069690000}"/>
    <cellStyle name="Separador de milhares 9 89 2" xfId="33234" xr:uid="{00BC00E9-C744-4C08-9F97-910A72DE543A}"/>
    <cellStyle name="Separador de milhares 9 9" xfId="24225" xr:uid="{00000000-0005-0000-0000-00006A690000}"/>
    <cellStyle name="Separador de milhares 9 9 2" xfId="24226" xr:uid="{00000000-0005-0000-0000-00006B690000}"/>
    <cellStyle name="Separador de milhares 9 9 2 2" xfId="24227" xr:uid="{00000000-0005-0000-0000-00006C690000}"/>
    <cellStyle name="Separador de milhares 9 9 2 3" xfId="24228" xr:uid="{00000000-0005-0000-0000-00006D690000}"/>
    <cellStyle name="Separador de milhares 9 9 2 4" xfId="24229" xr:uid="{00000000-0005-0000-0000-00006E690000}"/>
    <cellStyle name="Separador de milhares 9 9 3" xfId="24230" xr:uid="{00000000-0005-0000-0000-00006F690000}"/>
    <cellStyle name="Separador de milhares 9 9 3 2" xfId="24231" xr:uid="{00000000-0005-0000-0000-000070690000}"/>
    <cellStyle name="Separador de milhares 9 9 3 3" xfId="24232" xr:uid="{00000000-0005-0000-0000-000071690000}"/>
    <cellStyle name="Separador de milhares 9 9 3 4" xfId="24233" xr:uid="{00000000-0005-0000-0000-000072690000}"/>
    <cellStyle name="Separador de milhares 9 9 4" xfId="24234" xr:uid="{00000000-0005-0000-0000-000073690000}"/>
    <cellStyle name="Separador de milhares 9 90" xfId="27473" xr:uid="{00000000-0005-0000-0000-000074690000}"/>
    <cellStyle name="Separador de milhares 9 90 2" xfId="33310" xr:uid="{B065D84E-2809-4EFA-A7D5-89103D81CF28}"/>
    <cellStyle name="Separador de milhares 9 91" xfId="27342" xr:uid="{00000000-0005-0000-0000-000075690000}"/>
    <cellStyle name="Separador de milhares 9 91 2" xfId="33179" xr:uid="{0C565277-30ED-427E-8679-188864142138}"/>
    <cellStyle name="Separador de milhares 9 92" xfId="27346" xr:uid="{00000000-0005-0000-0000-000076690000}"/>
    <cellStyle name="Separador de milhares 9 92 2" xfId="33183" xr:uid="{EC44FB87-7C40-45FE-80FB-F488B24A95B4}"/>
    <cellStyle name="Separador de milhares 9 93" xfId="27468" xr:uid="{00000000-0005-0000-0000-000077690000}"/>
    <cellStyle name="Separador de milhares 9 93 2" xfId="33305" xr:uid="{F5984888-7CF2-4B63-8938-FE6CB018A3BE}"/>
    <cellStyle name="Separador de milhares 9 94" xfId="27345" xr:uid="{00000000-0005-0000-0000-000078690000}"/>
    <cellStyle name="Separador de milhares 9 94 2" xfId="33182" xr:uid="{7C8F62B2-528A-4789-BC52-F52F8DF78FBD}"/>
    <cellStyle name="Separador de milhares 9 95" xfId="27469" xr:uid="{00000000-0005-0000-0000-000079690000}"/>
    <cellStyle name="Separador de milhares 9 95 2" xfId="33306" xr:uid="{AF6A8BD4-A5E7-4474-AF9D-0B5BF20FBFB5}"/>
    <cellStyle name="Separador de milhares 9 96" xfId="27471" xr:uid="{00000000-0005-0000-0000-00007A690000}"/>
    <cellStyle name="Separador de milhares 9 96 2" xfId="33308" xr:uid="{B9FF43D9-3D01-49E9-A2D9-FEA421C9470A}"/>
    <cellStyle name="Separador de milhares 9 97" xfId="27470" xr:uid="{00000000-0005-0000-0000-00007B690000}"/>
    <cellStyle name="Separador de milhares 9 97 2" xfId="33307" xr:uid="{3417C42D-FEE7-4A2F-A54A-905576CAC05A}"/>
    <cellStyle name="Separador de milhares 9 98" xfId="27352" xr:uid="{00000000-0005-0000-0000-00007C690000}"/>
    <cellStyle name="Separador de milhares 9 98 2" xfId="33189" xr:uid="{C2B18CDD-CC5C-4E3A-88DD-882D68932303}"/>
    <cellStyle name="Separador de milhares 9 99" xfId="27575" xr:uid="{00000000-0005-0000-0000-00007D690000}"/>
    <cellStyle name="Separador de milhares 9 99 2" xfId="33387" xr:uid="{EFF369B2-1DF4-4D9D-91FD-3B4CED327843}"/>
    <cellStyle name="Table Head" xfId="887" xr:uid="{00000000-0005-0000-0000-00007E690000}"/>
    <cellStyle name="Table Head 2" xfId="24235" xr:uid="{00000000-0005-0000-0000-00007F690000}"/>
    <cellStyle name="Table Head Aligned" xfId="888" xr:uid="{00000000-0005-0000-0000-000080690000}"/>
    <cellStyle name="Table Head Aligned 2" xfId="27134" xr:uid="{00000000-0005-0000-0000-000081690000}"/>
    <cellStyle name="Table Head Blue" xfId="889" xr:uid="{00000000-0005-0000-0000-000082690000}"/>
    <cellStyle name="Table Head Blue 2" xfId="24236" xr:uid="{00000000-0005-0000-0000-000083690000}"/>
    <cellStyle name="Table Head Green" xfId="890" xr:uid="{00000000-0005-0000-0000-000084690000}"/>
    <cellStyle name="Table Head Green 2" xfId="24237" xr:uid="{00000000-0005-0000-0000-000085690000}"/>
    <cellStyle name="Table Head Green 2 2" xfId="27135" xr:uid="{00000000-0005-0000-0000-000086690000}"/>
    <cellStyle name="Table Title" xfId="891" xr:uid="{00000000-0005-0000-0000-000087690000}"/>
    <cellStyle name="Table Title 2" xfId="24238" xr:uid="{00000000-0005-0000-0000-000088690000}"/>
    <cellStyle name="Table Units" xfId="892" xr:uid="{00000000-0005-0000-0000-000089690000}"/>
    <cellStyle name="Table Units 2" xfId="24239" xr:uid="{00000000-0005-0000-0000-00008A690000}"/>
    <cellStyle name="Texto de advertencia" xfId="24240" xr:uid="{00000000-0005-0000-0000-00008B690000}"/>
    <cellStyle name="Texto de Aviso" xfId="893" builtinId="11" customBuiltin="1"/>
    <cellStyle name="Texto de Aviso 2" xfId="24241" xr:uid="{00000000-0005-0000-0000-00008D690000}"/>
    <cellStyle name="Texto de Aviso 2 2" xfId="24242" xr:uid="{00000000-0005-0000-0000-00008E690000}"/>
    <cellStyle name="Texto de Aviso 2 2 2" xfId="24243" xr:uid="{00000000-0005-0000-0000-00008F690000}"/>
    <cellStyle name="Texto de Aviso 2 2 3" xfId="24244" xr:uid="{00000000-0005-0000-0000-000090690000}"/>
    <cellStyle name="Texto de Aviso 2 3" xfId="24245" xr:uid="{00000000-0005-0000-0000-000091690000}"/>
    <cellStyle name="Texto de Aviso 2 4" xfId="24246" xr:uid="{00000000-0005-0000-0000-000092690000}"/>
    <cellStyle name="Texto de Aviso 2 5" xfId="24247" xr:uid="{00000000-0005-0000-0000-000093690000}"/>
    <cellStyle name="Texto de Aviso 2 6" xfId="26008" xr:uid="{00000000-0005-0000-0000-000094690000}"/>
    <cellStyle name="Texto de Aviso 3" xfId="24248" xr:uid="{00000000-0005-0000-0000-000095690000}"/>
    <cellStyle name="Texto de Aviso 3 2" xfId="24249" xr:uid="{00000000-0005-0000-0000-000096690000}"/>
    <cellStyle name="Texto de Aviso 3 2 2" xfId="24250" xr:uid="{00000000-0005-0000-0000-000097690000}"/>
    <cellStyle name="Texto de Aviso 3 2 3" xfId="24251" xr:uid="{00000000-0005-0000-0000-000098690000}"/>
    <cellStyle name="Texto de Aviso 3 2 4" xfId="26010" xr:uid="{00000000-0005-0000-0000-000099690000}"/>
    <cellStyle name="Texto de Aviso 3 3" xfId="24252" xr:uid="{00000000-0005-0000-0000-00009A690000}"/>
    <cellStyle name="Texto de Aviso 3 3 2" xfId="26011" xr:uid="{00000000-0005-0000-0000-00009B690000}"/>
    <cellStyle name="Texto de Aviso 3 4" xfId="24253" xr:uid="{00000000-0005-0000-0000-00009C690000}"/>
    <cellStyle name="Texto de Aviso 3 5" xfId="24254" xr:uid="{00000000-0005-0000-0000-00009D690000}"/>
    <cellStyle name="Texto de Aviso 3 6" xfId="26009" xr:uid="{00000000-0005-0000-0000-00009E690000}"/>
    <cellStyle name="Texto de Aviso 4" xfId="24255" xr:uid="{00000000-0005-0000-0000-00009F690000}"/>
    <cellStyle name="Texto de Aviso 4 2" xfId="24256" xr:uid="{00000000-0005-0000-0000-0000A0690000}"/>
    <cellStyle name="Texto de Aviso 4 3" xfId="24257" xr:uid="{00000000-0005-0000-0000-0000A1690000}"/>
    <cellStyle name="Texto de Aviso 4 4" xfId="24258" xr:uid="{00000000-0005-0000-0000-0000A2690000}"/>
    <cellStyle name="Texto de Aviso 4 5" xfId="24259" xr:uid="{00000000-0005-0000-0000-0000A3690000}"/>
    <cellStyle name="Texto de Aviso 5" xfId="24260" xr:uid="{00000000-0005-0000-0000-0000A4690000}"/>
    <cellStyle name="Texto de Aviso 5 2" xfId="26012" xr:uid="{00000000-0005-0000-0000-0000A5690000}"/>
    <cellStyle name="Texto de Aviso 6" xfId="24261" xr:uid="{00000000-0005-0000-0000-0000A6690000}"/>
    <cellStyle name="Texto de Aviso 7" xfId="24262" xr:uid="{00000000-0005-0000-0000-0000A7690000}"/>
    <cellStyle name="Texto Explicativo" xfId="894" builtinId="53" customBuiltin="1"/>
    <cellStyle name="Texto Explicativo 2" xfId="24263" xr:uid="{00000000-0005-0000-0000-0000A9690000}"/>
    <cellStyle name="Texto Explicativo 2 2" xfId="24264" xr:uid="{00000000-0005-0000-0000-0000AA690000}"/>
    <cellStyle name="Texto Explicativo 2 2 2" xfId="24265" xr:uid="{00000000-0005-0000-0000-0000AB690000}"/>
    <cellStyle name="Texto Explicativo 2 2 3" xfId="24266" xr:uid="{00000000-0005-0000-0000-0000AC690000}"/>
    <cellStyle name="Texto Explicativo 2 3" xfId="24267" xr:uid="{00000000-0005-0000-0000-0000AD690000}"/>
    <cellStyle name="Texto Explicativo 2 4" xfId="24268" xr:uid="{00000000-0005-0000-0000-0000AE690000}"/>
    <cellStyle name="Texto Explicativo 2 5" xfId="24269" xr:uid="{00000000-0005-0000-0000-0000AF690000}"/>
    <cellStyle name="Texto Explicativo 2 6" xfId="26013" xr:uid="{00000000-0005-0000-0000-0000B0690000}"/>
    <cellStyle name="Texto Explicativo 3" xfId="24270" xr:uid="{00000000-0005-0000-0000-0000B1690000}"/>
    <cellStyle name="Texto Explicativo 3 2" xfId="24271" xr:uid="{00000000-0005-0000-0000-0000B2690000}"/>
    <cellStyle name="Texto Explicativo 3 2 2" xfId="24272" xr:uid="{00000000-0005-0000-0000-0000B3690000}"/>
    <cellStyle name="Texto Explicativo 3 2 3" xfId="24273" xr:uid="{00000000-0005-0000-0000-0000B4690000}"/>
    <cellStyle name="Texto Explicativo 3 2 4" xfId="26015" xr:uid="{00000000-0005-0000-0000-0000B5690000}"/>
    <cellStyle name="Texto Explicativo 3 3" xfId="24274" xr:uid="{00000000-0005-0000-0000-0000B6690000}"/>
    <cellStyle name="Texto Explicativo 3 3 2" xfId="26016" xr:uid="{00000000-0005-0000-0000-0000B7690000}"/>
    <cellStyle name="Texto Explicativo 3 4" xfId="24275" xr:uid="{00000000-0005-0000-0000-0000B8690000}"/>
    <cellStyle name="Texto Explicativo 3 5" xfId="24276" xr:uid="{00000000-0005-0000-0000-0000B9690000}"/>
    <cellStyle name="Texto Explicativo 3 6" xfId="26014" xr:uid="{00000000-0005-0000-0000-0000BA690000}"/>
    <cellStyle name="Texto Explicativo 4" xfId="24277" xr:uid="{00000000-0005-0000-0000-0000BB690000}"/>
    <cellStyle name="Texto Explicativo 4 2" xfId="24278" xr:uid="{00000000-0005-0000-0000-0000BC690000}"/>
    <cellStyle name="Texto Explicativo 4 3" xfId="24279" xr:uid="{00000000-0005-0000-0000-0000BD690000}"/>
    <cellStyle name="Texto Explicativo 4 4" xfId="24280" xr:uid="{00000000-0005-0000-0000-0000BE690000}"/>
    <cellStyle name="Texto Explicativo 4 5" xfId="24281" xr:uid="{00000000-0005-0000-0000-0000BF690000}"/>
    <cellStyle name="Texto Explicativo 5" xfId="24282" xr:uid="{00000000-0005-0000-0000-0000C0690000}"/>
    <cellStyle name="Texto Explicativo 5 2" xfId="26017" xr:uid="{00000000-0005-0000-0000-0000C1690000}"/>
    <cellStyle name="Texto Explicativo 6" xfId="24283" xr:uid="{00000000-0005-0000-0000-0000C2690000}"/>
    <cellStyle name="Texto Explicativo 7" xfId="24284" xr:uid="{00000000-0005-0000-0000-0000C3690000}"/>
    <cellStyle name="Title" xfId="895" xr:uid="{00000000-0005-0000-0000-0000C4690000}"/>
    <cellStyle name="Title 2" xfId="24286" xr:uid="{00000000-0005-0000-0000-0000C5690000}"/>
    <cellStyle name="Title 2 2" xfId="26019" xr:uid="{00000000-0005-0000-0000-0000C6690000}"/>
    <cellStyle name="Title 2 3" xfId="26018" xr:uid="{00000000-0005-0000-0000-0000C7690000}"/>
    <cellStyle name="Title 3" xfId="24287" xr:uid="{00000000-0005-0000-0000-0000C8690000}"/>
    <cellStyle name="Title 4" xfId="24285" xr:uid="{00000000-0005-0000-0000-0000C9690000}"/>
    <cellStyle name="Título" xfId="896" builtinId="15" customBuiltin="1"/>
    <cellStyle name="Título 1" xfId="897" builtinId="16" customBuiltin="1"/>
    <cellStyle name="Título 1 1" xfId="24288" xr:uid="{00000000-0005-0000-0000-0000CC690000}"/>
    <cellStyle name="Título 1 2" xfId="24289" xr:uid="{00000000-0005-0000-0000-0000CD690000}"/>
    <cellStyle name="Título 1 2 2" xfId="24290" xr:uid="{00000000-0005-0000-0000-0000CE690000}"/>
    <cellStyle name="Título 1 2 2 2" xfId="24291" xr:uid="{00000000-0005-0000-0000-0000CF690000}"/>
    <cellStyle name="Título 1 2 2 3" xfId="24292" xr:uid="{00000000-0005-0000-0000-0000D0690000}"/>
    <cellStyle name="Título 1 2 2 4" xfId="26021" xr:uid="{00000000-0005-0000-0000-0000D1690000}"/>
    <cellStyle name="Título 1 2 3" xfId="24293" xr:uid="{00000000-0005-0000-0000-0000D2690000}"/>
    <cellStyle name="Título 1 2 3 2" xfId="26022" xr:uid="{00000000-0005-0000-0000-0000D3690000}"/>
    <cellStyle name="Título 1 2 4" xfId="24294" xr:uid="{00000000-0005-0000-0000-0000D4690000}"/>
    <cellStyle name="Título 1 2 5" xfId="24295" xr:uid="{00000000-0005-0000-0000-0000D5690000}"/>
    <cellStyle name="Título 1 2 6" xfId="26020" xr:uid="{00000000-0005-0000-0000-0000D6690000}"/>
    <cellStyle name="Título 1 3" xfId="24296" xr:uid="{00000000-0005-0000-0000-0000D7690000}"/>
    <cellStyle name="Título 1 3 2" xfId="24297" xr:uid="{00000000-0005-0000-0000-0000D8690000}"/>
    <cellStyle name="Título 1 3 2 2" xfId="24298" xr:uid="{00000000-0005-0000-0000-0000D9690000}"/>
    <cellStyle name="Título 1 3 2 3" xfId="24299" xr:uid="{00000000-0005-0000-0000-0000DA690000}"/>
    <cellStyle name="Título 1 3 2 4" xfId="26024" xr:uid="{00000000-0005-0000-0000-0000DB690000}"/>
    <cellStyle name="Título 1 3 3" xfId="24300" xr:uid="{00000000-0005-0000-0000-0000DC690000}"/>
    <cellStyle name="Título 1 3 3 2" xfId="26025" xr:uid="{00000000-0005-0000-0000-0000DD690000}"/>
    <cellStyle name="Título 1 3 4" xfId="24301" xr:uid="{00000000-0005-0000-0000-0000DE690000}"/>
    <cellStyle name="Título 1 3 5" xfId="24302" xr:uid="{00000000-0005-0000-0000-0000DF690000}"/>
    <cellStyle name="Título 1 3 6" xfId="26023" xr:uid="{00000000-0005-0000-0000-0000E0690000}"/>
    <cellStyle name="Título 1 4" xfId="24303" xr:uid="{00000000-0005-0000-0000-0000E1690000}"/>
    <cellStyle name="Título 1 4 2" xfId="24304" xr:uid="{00000000-0005-0000-0000-0000E2690000}"/>
    <cellStyle name="Título 1 4 3" xfId="24305" xr:uid="{00000000-0005-0000-0000-0000E3690000}"/>
    <cellStyle name="Título 1 4 4" xfId="24306" xr:uid="{00000000-0005-0000-0000-0000E4690000}"/>
    <cellStyle name="Título 1 4 5" xfId="24307" xr:uid="{00000000-0005-0000-0000-0000E5690000}"/>
    <cellStyle name="Título 1 5" xfId="24308" xr:uid="{00000000-0005-0000-0000-0000E6690000}"/>
    <cellStyle name="Título 1 5 2" xfId="26026" xr:uid="{00000000-0005-0000-0000-0000E7690000}"/>
    <cellStyle name="Título 1 6" xfId="24309" xr:uid="{00000000-0005-0000-0000-0000E8690000}"/>
    <cellStyle name="Título 1 7" xfId="24310" xr:uid="{00000000-0005-0000-0000-0000E9690000}"/>
    <cellStyle name="Título 10" xfId="24311" xr:uid="{00000000-0005-0000-0000-0000EA690000}"/>
    <cellStyle name="Título 2" xfId="898" builtinId="17" customBuiltin="1"/>
    <cellStyle name="Título 2 2" xfId="24312" xr:uid="{00000000-0005-0000-0000-0000EC690000}"/>
    <cellStyle name="Título 2 2 2" xfId="24313" xr:uid="{00000000-0005-0000-0000-0000ED690000}"/>
    <cellStyle name="Título 2 2 2 2" xfId="24314" xr:uid="{00000000-0005-0000-0000-0000EE690000}"/>
    <cellStyle name="Título 2 2 2 3" xfId="24315" xr:uid="{00000000-0005-0000-0000-0000EF690000}"/>
    <cellStyle name="Título 2 2 2 4" xfId="26028" xr:uid="{00000000-0005-0000-0000-0000F0690000}"/>
    <cellStyle name="Título 2 2 3" xfId="24316" xr:uid="{00000000-0005-0000-0000-0000F1690000}"/>
    <cellStyle name="Título 2 2 3 2" xfId="26029" xr:uid="{00000000-0005-0000-0000-0000F2690000}"/>
    <cellStyle name="Título 2 2 4" xfId="24317" xr:uid="{00000000-0005-0000-0000-0000F3690000}"/>
    <cellStyle name="Título 2 2 5" xfId="24318" xr:uid="{00000000-0005-0000-0000-0000F4690000}"/>
    <cellStyle name="Título 2 2 6" xfId="26027" xr:uid="{00000000-0005-0000-0000-0000F5690000}"/>
    <cellStyle name="Título 2 3" xfId="24319" xr:uid="{00000000-0005-0000-0000-0000F6690000}"/>
    <cellStyle name="Título 2 3 2" xfId="24320" xr:uid="{00000000-0005-0000-0000-0000F7690000}"/>
    <cellStyle name="Título 2 3 2 2" xfId="24321" xr:uid="{00000000-0005-0000-0000-0000F8690000}"/>
    <cellStyle name="Título 2 3 2 3" xfId="24322" xr:uid="{00000000-0005-0000-0000-0000F9690000}"/>
    <cellStyle name="Título 2 3 2 4" xfId="26031" xr:uid="{00000000-0005-0000-0000-0000FA690000}"/>
    <cellStyle name="Título 2 3 3" xfId="24323" xr:uid="{00000000-0005-0000-0000-0000FB690000}"/>
    <cellStyle name="Título 2 3 3 2" xfId="26032" xr:uid="{00000000-0005-0000-0000-0000FC690000}"/>
    <cellStyle name="Título 2 3 4" xfId="24324" xr:uid="{00000000-0005-0000-0000-0000FD690000}"/>
    <cellStyle name="Título 2 3 5" xfId="24325" xr:uid="{00000000-0005-0000-0000-0000FE690000}"/>
    <cellStyle name="Título 2 3 6" xfId="26030" xr:uid="{00000000-0005-0000-0000-0000FF690000}"/>
    <cellStyle name="Título 2 4" xfId="24326" xr:uid="{00000000-0005-0000-0000-0000006A0000}"/>
    <cellStyle name="Título 2 4 2" xfId="24327" xr:uid="{00000000-0005-0000-0000-0000016A0000}"/>
    <cellStyle name="Título 2 4 3" xfId="24328" xr:uid="{00000000-0005-0000-0000-0000026A0000}"/>
    <cellStyle name="Título 2 4 4" xfId="24329" xr:uid="{00000000-0005-0000-0000-0000036A0000}"/>
    <cellStyle name="Título 2 4 5" xfId="24330" xr:uid="{00000000-0005-0000-0000-0000046A0000}"/>
    <cellStyle name="Título 2 5" xfId="24331" xr:uid="{00000000-0005-0000-0000-0000056A0000}"/>
    <cellStyle name="Título 2 5 2" xfId="26033" xr:uid="{00000000-0005-0000-0000-0000066A0000}"/>
    <cellStyle name="Título 2 6" xfId="24332" xr:uid="{00000000-0005-0000-0000-0000076A0000}"/>
    <cellStyle name="Título 2 7" xfId="24333" xr:uid="{00000000-0005-0000-0000-0000086A0000}"/>
    <cellStyle name="Título 3" xfId="899" builtinId="18" customBuiltin="1"/>
    <cellStyle name="Título 3 2" xfId="24334" xr:uid="{00000000-0005-0000-0000-00000A6A0000}"/>
    <cellStyle name="Título 3 2 2" xfId="24335" xr:uid="{00000000-0005-0000-0000-00000B6A0000}"/>
    <cellStyle name="Título 3 2 2 2" xfId="24336" xr:uid="{00000000-0005-0000-0000-00000C6A0000}"/>
    <cellStyle name="Título 3 2 2 3" xfId="24337" xr:uid="{00000000-0005-0000-0000-00000D6A0000}"/>
    <cellStyle name="Título 3 2 2 4" xfId="26035" xr:uid="{00000000-0005-0000-0000-00000E6A0000}"/>
    <cellStyle name="Título 3 2 3" xfId="24338" xr:uid="{00000000-0005-0000-0000-00000F6A0000}"/>
    <cellStyle name="Título 3 2 4" xfId="24339" xr:uid="{00000000-0005-0000-0000-0000106A0000}"/>
    <cellStyle name="Título 3 2 5" xfId="24340" xr:uid="{00000000-0005-0000-0000-0000116A0000}"/>
    <cellStyle name="Título 3 2 6" xfId="26034" xr:uid="{00000000-0005-0000-0000-0000126A0000}"/>
    <cellStyle name="Título 3 3" xfId="24341" xr:uid="{00000000-0005-0000-0000-0000136A0000}"/>
    <cellStyle name="Título 3 3 2" xfId="24342" xr:uid="{00000000-0005-0000-0000-0000146A0000}"/>
    <cellStyle name="Título 3 3 2 2" xfId="24343" xr:uid="{00000000-0005-0000-0000-0000156A0000}"/>
    <cellStyle name="Título 3 3 2 3" xfId="24344" xr:uid="{00000000-0005-0000-0000-0000166A0000}"/>
    <cellStyle name="Título 3 3 2 4" xfId="26037" xr:uid="{00000000-0005-0000-0000-0000176A0000}"/>
    <cellStyle name="Título 3 3 3" xfId="24345" xr:uid="{00000000-0005-0000-0000-0000186A0000}"/>
    <cellStyle name="Título 3 3 3 2" xfId="26038" xr:uid="{00000000-0005-0000-0000-0000196A0000}"/>
    <cellStyle name="Título 3 3 4" xfId="24346" xr:uid="{00000000-0005-0000-0000-00001A6A0000}"/>
    <cellStyle name="Título 3 3 5" xfId="24347" xr:uid="{00000000-0005-0000-0000-00001B6A0000}"/>
    <cellStyle name="Título 3 3 6" xfId="26036" xr:uid="{00000000-0005-0000-0000-00001C6A0000}"/>
    <cellStyle name="Título 3 4" xfId="24348" xr:uid="{00000000-0005-0000-0000-00001D6A0000}"/>
    <cellStyle name="Título 3 4 2" xfId="24349" xr:uid="{00000000-0005-0000-0000-00001E6A0000}"/>
    <cellStyle name="Título 3 4 3" xfId="24350" xr:uid="{00000000-0005-0000-0000-00001F6A0000}"/>
    <cellStyle name="Título 3 4 4" xfId="24351" xr:uid="{00000000-0005-0000-0000-0000206A0000}"/>
    <cellStyle name="Título 3 4 5" xfId="24352" xr:uid="{00000000-0005-0000-0000-0000216A0000}"/>
    <cellStyle name="Título 3 5" xfId="24353" xr:uid="{00000000-0005-0000-0000-0000226A0000}"/>
    <cellStyle name="Título 3 5 2" xfId="26039" xr:uid="{00000000-0005-0000-0000-0000236A0000}"/>
    <cellStyle name="Título 3 6" xfId="24354" xr:uid="{00000000-0005-0000-0000-0000246A0000}"/>
    <cellStyle name="Título 3 7" xfId="24355" xr:uid="{00000000-0005-0000-0000-0000256A0000}"/>
    <cellStyle name="Título 4" xfId="900" builtinId="19" customBuiltin="1"/>
    <cellStyle name="Título 4 2" xfId="24356" xr:uid="{00000000-0005-0000-0000-0000276A0000}"/>
    <cellStyle name="Título 4 2 2" xfId="24357" xr:uid="{00000000-0005-0000-0000-0000286A0000}"/>
    <cellStyle name="Título 4 2 2 2" xfId="24358" xr:uid="{00000000-0005-0000-0000-0000296A0000}"/>
    <cellStyle name="Título 4 2 2 3" xfId="24359" xr:uid="{00000000-0005-0000-0000-00002A6A0000}"/>
    <cellStyle name="Título 4 2 2 4" xfId="26041" xr:uid="{00000000-0005-0000-0000-00002B6A0000}"/>
    <cellStyle name="Título 4 2 3" xfId="24360" xr:uid="{00000000-0005-0000-0000-00002C6A0000}"/>
    <cellStyle name="Título 4 2 4" xfId="24361" xr:uid="{00000000-0005-0000-0000-00002D6A0000}"/>
    <cellStyle name="Título 4 2 5" xfId="24362" xr:uid="{00000000-0005-0000-0000-00002E6A0000}"/>
    <cellStyle name="Título 4 2 6" xfId="26040" xr:uid="{00000000-0005-0000-0000-00002F6A0000}"/>
    <cellStyle name="Título 4 3" xfId="24363" xr:uid="{00000000-0005-0000-0000-0000306A0000}"/>
    <cellStyle name="Título 4 3 2" xfId="24364" xr:uid="{00000000-0005-0000-0000-0000316A0000}"/>
    <cellStyle name="Título 4 3 2 2" xfId="24365" xr:uid="{00000000-0005-0000-0000-0000326A0000}"/>
    <cellStyle name="Título 4 3 2 3" xfId="24366" xr:uid="{00000000-0005-0000-0000-0000336A0000}"/>
    <cellStyle name="Título 4 3 2 4" xfId="26043" xr:uid="{00000000-0005-0000-0000-0000346A0000}"/>
    <cellStyle name="Título 4 3 3" xfId="24367" xr:uid="{00000000-0005-0000-0000-0000356A0000}"/>
    <cellStyle name="Título 4 3 3 2" xfId="26044" xr:uid="{00000000-0005-0000-0000-0000366A0000}"/>
    <cellStyle name="Título 4 3 4" xfId="24368" xr:uid="{00000000-0005-0000-0000-0000376A0000}"/>
    <cellStyle name="Título 4 3 5" xfId="24369" xr:uid="{00000000-0005-0000-0000-0000386A0000}"/>
    <cellStyle name="Título 4 3 6" xfId="26042" xr:uid="{00000000-0005-0000-0000-0000396A0000}"/>
    <cellStyle name="Título 4 4" xfId="24370" xr:uid="{00000000-0005-0000-0000-00003A6A0000}"/>
    <cellStyle name="Título 4 4 2" xfId="24371" xr:uid="{00000000-0005-0000-0000-00003B6A0000}"/>
    <cellStyle name="Título 4 4 3" xfId="24372" xr:uid="{00000000-0005-0000-0000-00003C6A0000}"/>
    <cellStyle name="Título 4 4 4" xfId="24373" xr:uid="{00000000-0005-0000-0000-00003D6A0000}"/>
    <cellStyle name="Título 4 4 5" xfId="24374" xr:uid="{00000000-0005-0000-0000-00003E6A0000}"/>
    <cellStyle name="Título 4 5" xfId="24375" xr:uid="{00000000-0005-0000-0000-00003F6A0000}"/>
    <cellStyle name="Título 4 5 2" xfId="26045" xr:uid="{00000000-0005-0000-0000-0000406A0000}"/>
    <cellStyle name="Título 4 6" xfId="24376" xr:uid="{00000000-0005-0000-0000-0000416A0000}"/>
    <cellStyle name="Título 4 7" xfId="24377" xr:uid="{00000000-0005-0000-0000-0000426A0000}"/>
    <cellStyle name="Título 5" xfId="24378" xr:uid="{00000000-0005-0000-0000-0000436A0000}"/>
    <cellStyle name="Título 5 2" xfId="24379" xr:uid="{00000000-0005-0000-0000-0000446A0000}"/>
    <cellStyle name="Título 5 2 2" xfId="24380" xr:uid="{00000000-0005-0000-0000-0000456A0000}"/>
    <cellStyle name="Título 5 2 3" xfId="24381" xr:uid="{00000000-0005-0000-0000-0000466A0000}"/>
    <cellStyle name="Título 5 2 4" xfId="26047" xr:uid="{00000000-0005-0000-0000-0000476A0000}"/>
    <cellStyle name="Título 5 3" xfId="24382" xr:uid="{00000000-0005-0000-0000-0000486A0000}"/>
    <cellStyle name="Título 5 4" xfId="24383" xr:uid="{00000000-0005-0000-0000-0000496A0000}"/>
    <cellStyle name="Título 5 5" xfId="24384" xr:uid="{00000000-0005-0000-0000-00004A6A0000}"/>
    <cellStyle name="Título 5 6" xfId="26046" xr:uid="{00000000-0005-0000-0000-00004B6A0000}"/>
    <cellStyle name="Título 6" xfId="24385" xr:uid="{00000000-0005-0000-0000-00004C6A0000}"/>
    <cellStyle name="Título 6 2" xfId="24386" xr:uid="{00000000-0005-0000-0000-00004D6A0000}"/>
    <cellStyle name="Título 6 2 2" xfId="24387" xr:uid="{00000000-0005-0000-0000-00004E6A0000}"/>
    <cellStyle name="Título 6 2 3" xfId="24388" xr:uid="{00000000-0005-0000-0000-00004F6A0000}"/>
    <cellStyle name="Título 6 2 4" xfId="26049" xr:uid="{00000000-0005-0000-0000-0000506A0000}"/>
    <cellStyle name="Título 6 3" xfId="24389" xr:uid="{00000000-0005-0000-0000-0000516A0000}"/>
    <cellStyle name="Título 6 3 2" xfId="26050" xr:uid="{00000000-0005-0000-0000-0000526A0000}"/>
    <cellStyle name="Título 6 4" xfId="24390" xr:uid="{00000000-0005-0000-0000-0000536A0000}"/>
    <cellStyle name="Título 6 5" xfId="24391" xr:uid="{00000000-0005-0000-0000-0000546A0000}"/>
    <cellStyle name="Título 6 6" xfId="26048" xr:uid="{00000000-0005-0000-0000-0000556A0000}"/>
    <cellStyle name="Título 7" xfId="24392" xr:uid="{00000000-0005-0000-0000-0000566A0000}"/>
    <cellStyle name="Título 7 2" xfId="24393" xr:uid="{00000000-0005-0000-0000-0000576A0000}"/>
    <cellStyle name="Título 7 3" xfId="24394" xr:uid="{00000000-0005-0000-0000-0000586A0000}"/>
    <cellStyle name="Título 7 4" xfId="24395" xr:uid="{00000000-0005-0000-0000-0000596A0000}"/>
    <cellStyle name="Título 7 5" xfId="24396" xr:uid="{00000000-0005-0000-0000-00005A6A0000}"/>
    <cellStyle name="Título 8" xfId="24397" xr:uid="{00000000-0005-0000-0000-00005B6A0000}"/>
    <cellStyle name="Título 8 2" xfId="26051" xr:uid="{00000000-0005-0000-0000-00005C6A0000}"/>
    <cellStyle name="Título 9" xfId="24398" xr:uid="{00000000-0005-0000-0000-00005D6A0000}"/>
    <cellStyle name="Titulo1" xfId="24399" xr:uid="{00000000-0005-0000-0000-00005E6A0000}"/>
    <cellStyle name="Titulo2" xfId="24400" xr:uid="{00000000-0005-0000-0000-00005F6A0000}"/>
    <cellStyle name="titulos" xfId="24401" xr:uid="{00000000-0005-0000-0000-0000606A0000}"/>
    <cellStyle name="TopGrey" xfId="24402" xr:uid="{00000000-0005-0000-0000-0000616A0000}"/>
    <cellStyle name="Total" xfId="901" builtinId="25" customBuiltin="1"/>
    <cellStyle name="Total 10" xfId="24403" xr:uid="{00000000-0005-0000-0000-0000636A0000}"/>
    <cellStyle name="Total 2" xfId="24404" xr:uid="{00000000-0005-0000-0000-0000646A0000}"/>
    <cellStyle name="Total 2 10" xfId="24405" xr:uid="{00000000-0005-0000-0000-0000656A0000}"/>
    <cellStyle name="Total 2 11" xfId="24406" xr:uid="{00000000-0005-0000-0000-0000666A0000}"/>
    <cellStyle name="Total 2 12" xfId="24407" xr:uid="{00000000-0005-0000-0000-0000676A0000}"/>
    <cellStyle name="Total 2 13" xfId="24408" xr:uid="{00000000-0005-0000-0000-0000686A0000}"/>
    <cellStyle name="Total 2 14" xfId="24409" xr:uid="{00000000-0005-0000-0000-0000696A0000}"/>
    <cellStyle name="Total 2 15" xfId="24410" xr:uid="{00000000-0005-0000-0000-00006A6A0000}"/>
    <cellStyle name="Total 2 16" xfId="24411" xr:uid="{00000000-0005-0000-0000-00006B6A0000}"/>
    <cellStyle name="Total 2 17" xfId="24412" xr:uid="{00000000-0005-0000-0000-00006C6A0000}"/>
    <cellStyle name="Total 2 18" xfId="24413" xr:uid="{00000000-0005-0000-0000-00006D6A0000}"/>
    <cellStyle name="Total 2 19" xfId="24414" xr:uid="{00000000-0005-0000-0000-00006E6A0000}"/>
    <cellStyle name="Total 2 2" xfId="24415" xr:uid="{00000000-0005-0000-0000-00006F6A0000}"/>
    <cellStyle name="Total 2 2 10" xfId="24416" xr:uid="{00000000-0005-0000-0000-0000706A0000}"/>
    <cellStyle name="Total 2 2 11" xfId="24417" xr:uid="{00000000-0005-0000-0000-0000716A0000}"/>
    <cellStyle name="Total 2 2 12" xfId="24418" xr:uid="{00000000-0005-0000-0000-0000726A0000}"/>
    <cellStyle name="Total 2 2 13" xfId="24419" xr:uid="{00000000-0005-0000-0000-0000736A0000}"/>
    <cellStyle name="Total 2 2 14" xfId="24420" xr:uid="{00000000-0005-0000-0000-0000746A0000}"/>
    <cellStyle name="Total 2 2 15" xfId="24421" xr:uid="{00000000-0005-0000-0000-0000756A0000}"/>
    <cellStyle name="Total 2 2 16" xfId="24422" xr:uid="{00000000-0005-0000-0000-0000766A0000}"/>
    <cellStyle name="Total 2 2 17" xfId="24956" xr:uid="{00000000-0005-0000-0000-0000776A0000}"/>
    <cellStyle name="Total 2 2 18" xfId="26053" xr:uid="{00000000-0005-0000-0000-0000786A0000}"/>
    <cellStyle name="Total 2 2 2" xfId="24423" xr:uid="{00000000-0005-0000-0000-0000796A0000}"/>
    <cellStyle name="Total 2 2 2 2" xfId="27136" xr:uid="{00000000-0005-0000-0000-00007A6A0000}"/>
    <cellStyle name="Total 2 2 3" xfId="24424" xr:uid="{00000000-0005-0000-0000-00007B6A0000}"/>
    <cellStyle name="Total 2 2 4" xfId="24425" xr:uid="{00000000-0005-0000-0000-00007C6A0000}"/>
    <cellStyle name="Total 2 2 5" xfId="24426" xr:uid="{00000000-0005-0000-0000-00007D6A0000}"/>
    <cellStyle name="Total 2 2 6" xfId="24427" xr:uid="{00000000-0005-0000-0000-00007E6A0000}"/>
    <cellStyle name="Total 2 2 7" xfId="24428" xr:uid="{00000000-0005-0000-0000-00007F6A0000}"/>
    <cellStyle name="Total 2 2 8" xfId="24429" xr:uid="{00000000-0005-0000-0000-0000806A0000}"/>
    <cellStyle name="Total 2 2 9" xfId="24430" xr:uid="{00000000-0005-0000-0000-0000816A0000}"/>
    <cellStyle name="Total 2 20" xfId="24431" xr:uid="{00000000-0005-0000-0000-0000826A0000}"/>
    <cellStyle name="Total 2 21" xfId="24432" xr:uid="{00000000-0005-0000-0000-0000836A0000}"/>
    <cellStyle name="Total 2 22" xfId="26052" xr:uid="{00000000-0005-0000-0000-0000846A0000}"/>
    <cellStyle name="Total 2 3" xfId="24433" xr:uid="{00000000-0005-0000-0000-0000856A0000}"/>
    <cellStyle name="Total 2 3 2" xfId="24434" xr:uid="{00000000-0005-0000-0000-0000866A0000}"/>
    <cellStyle name="Total 2 3 2 2" xfId="24958" xr:uid="{00000000-0005-0000-0000-0000876A0000}"/>
    <cellStyle name="Total 2 3 3" xfId="24957" xr:uid="{00000000-0005-0000-0000-0000886A0000}"/>
    <cellStyle name="Total 2 4" xfId="24435" xr:uid="{00000000-0005-0000-0000-0000896A0000}"/>
    <cellStyle name="Total 2 4 2" xfId="24436" xr:uid="{00000000-0005-0000-0000-00008A6A0000}"/>
    <cellStyle name="Total 2 4 2 2" xfId="24959" xr:uid="{00000000-0005-0000-0000-00008B6A0000}"/>
    <cellStyle name="Total 2 5" xfId="24437" xr:uid="{00000000-0005-0000-0000-00008C6A0000}"/>
    <cellStyle name="Total 2 5 2" xfId="24438" xr:uid="{00000000-0005-0000-0000-00008D6A0000}"/>
    <cellStyle name="Total 2 5 2 2" xfId="24960" xr:uid="{00000000-0005-0000-0000-00008E6A0000}"/>
    <cellStyle name="Total 2 6" xfId="24439" xr:uid="{00000000-0005-0000-0000-00008F6A0000}"/>
    <cellStyle name="Total 2 6 2" xfId="24440" xr:uid="{00000000-0005-0000-0000-0000906A0000}"/>
    <cellStyle name="Total 2 6 2 2" xfId="24961" xr:uid="{00000000-0005-0000-0000-0000916A0000}"/>
    <cellStyle name="Total 2 7" xfId="24441" xr:uid="{00000000-0005-0000-0000-0000926A0000}"/>
    <cellStyle name="Total 2 7 2" xfId="24442" xr:uid="{00000000-0005-0000-0000-0000936A0000}"/>
    <cellStyle name="Total 2 7 2 2" xfId="24962" xr:uid="{00000000-0005-0000-0000-0000946A0000}"/>
    <cellStyle name="Total 2 8" xfId="24443" xr:uid="{00000000-0005-0000-0000-0000956A0000}"/>
    <cellStyle name="Total 2 9" xfId="24444" xr:uid="{00000000-0005-0000-0000-0000966A0000}"/>
    <cellStyle name="Total 3" xfId="24445" xr:uid="{00000000-0005-0000-0000-0000976A0000}"/>
    <cellStyle name="Total 3 10" xfId="24446" xr:uid="{00000000-0005-0000-0000-0000986A0000}"/>
    <cellStyle name="Total 3 11" xfId="24447" xr:uid="{00000000-0005-0000-0000-0000996A0000}"/>
    <cellStyle name="Total 3 12" xfId="24448" xr:uid="{00000000-0005-0000-0000-00009A6A0000}"/>
    <cellStyle name="Total 3 13" xfId="24449" xr:uid="{00000000-0005-0000-0000-00009B6A0000}"/>
    <cellStyle name="Total 3 14" xfId="24450" xr:uid="{00000000-0005-0000-0000-00009C6A0000}"/>
    <cellStyle name="Total 3 15" xfId="24451" xr:uid="{00000000-0005-0000-0000-00009D6A0000}"/>
    <cellStyle name="Total 3 16" xfId="24452" xr:uid="{00000000-0005-0000-0000-00009E6A0000}"/>
    <cellStyle name="Total 3 17" xfId="24453" xr:uid="{00000000-0005-0000-0000-00009F6A0000}"/>
    <cellStyle name="Total 3 18" xfId="24454" xr:uid="{00000000-0005-0000-0000-0000A06A0000}"/>
    <cellStyle name="Total 3 19" xfId="24455" xr:uid="{00000000-0005-0000-0000-0000A16A0000}"/>
    <cellStyle name="Total 3 2" xfId="24456" xr:uid="{00000000-0005-0000-0000-0000A26A0000}"/>
    <cellStyle name="Total 3 2 10" xfId="24457" xr:uid="{00000000-0005-0000-0000-0000A36A0000}"/>
    <cellStyle name="Total 3 2 11" xfId="24458" xr:uid="{00000000-0005-0000-0000-0000A46A0000}"/>
    <cellStyle name="Total 3 2 12" xfId="24459" xr:uid="{00000000-0005-0000-0000-0000A56A0000}"/>
    <cellStyle name="Total 3 2 13" xfId="24460" xr:uid="{00000000-0005-0000-0000-0000A66A0000}"/>
    <cellStyle name="Total 3 2 14" xfId="24461" xr:uid="{00000000-0005-0000-0000-0000A76A0000}"/>
    <cellStyle name="Total 3 2 15" xfId="24462" xr:uid="{00000000-0005-0000-0000-0000A86A0000}"/>
    <cellStyle name="Total 3 2 16" xfId="24463" xr:uid="{00000000-0005-0000-0000-0000A96A0000}"/>
    <cellStyle name="Total 3 2 17" xfId="24963" xr:uid="{00000000-0005-0000-0000-0000AA6A0000}"/>
    <cellStyle name="Total 3 2 18" xfId="26055" xr:uid="{00000000-0005-0000-0000-0000AB6A0000}"/>
    <cellStyle name="Total 3 2 2" xfId="24464" xr:uid="{00000000-0005-0000-0000-0000AC6A0000}"/>
    <cellStyle name="Total 3 2 3" xfId="24465" xr:uid="{00000000-0005-0000-0000-0000AD6A0000}"/>
    <cellStyle name="Total 3 2 4" xfId="24466" xr:uid="{00000000-0005-0000-0000-0000AE6A0000}"/>
    <cellStyle name="Total 3 2 5" xfId="24467" xr:uid="{00000000-0005-0000-0000-0000AF6A0000}"/>
    <cellStyle name="Total 3 2 6" xfId="24468" xr:uid="{00000000-0005-0000-0000-0000B06A0000}"/>
    <cellStyle name="Total 3 2 7" xfId="24469" xr:uid="{00000000-0005-0000-0000-0000B16A0000}"/>
    <cellStyle name="Total 3 2 8" xfId="24470" xr:uid="{00000000-0005-0000-0000-0000B26A0000}"/>
    <cellStyle name="Total 3 2 9" xfId="24471" xr:uid="{00000000-0005-0000-0000-0000B36A0000}"/>
    <cellStyle name="Total 3 20" xfId="24472" xr:uid="{00000000-0005-0000-0000-0000B46A0000}"/>
    <cellStyle name="Total 3 21" xfId="24473" xr:uid="{00000000-0005-0000-0000-0000B56A0000}"/>
    <cellStyle name="Total 3 22" xfId="26054" xr:uid="{00000000-0005-0000-0000-0000B66A0000}"/>
    <cellStyle name="Total 3 3" xfId="24474" xr:uid="{00000000-0005-0000-0000-0000B76A0000}"/>
    <cellStyle name="Total 3 3 2" xfId="24475" xr:uid="{00000000-0005-0000-0000-0000B86A0000}"/>
    <cellStyle name="Total 3 3 2 2" xfId="24964" xr:uid="{00000000-0005-0000-0000-0000B96A0000}"/>
    <cellStyle name="Total 3 3 2 3" xfId="26056" xr:uid="{00000000-0005-0000-0000-0000BA6A0000}"/>
    <cellStyle name="Total 3 3 3" xfId="27137" xr:uid="{00000000-0005-0000-0000-0000BB6A0000}"/>
    <cellStyle name="Total 3 4" xfId="24476" xr:uid="{00000000-0005-0000-0000-0000BC6A0000}"/>
    <cellStyle name="Total 3 4 2" xfId="24477" xr:uid="{00000000-0005-0000-0000-0000BD6A0000}"/>
    <cellStyle name="Total 3 4 2 2" xfId="24965" xr:uid="{00000000-0005-0000-0000-0000BE6A0000}"/>
    <cellStyle name="Total 3 5" xfId="24478" xr:uid="{00000000-0005-0000-0000-0000BF6A0000}"/>
    <cellStyle name="Total 3 5 2" xfId="24479" xr:uid="{00000000-0005-0000-0000-0000C06A0000}"/>
    <cellStyle name="Total 3 5 2 2" xfId="24966" xr:uid="{00000000-0005-0000-0000-0000C16A0000}"/>
    <cellStyle name="Total 3 6" xfId="24480" xr:uid="{00000000-0005-0000-0000-0000C26A0000}"/>
    <cellStyle name="Total 3 7" xfId="24481" xr:uid="{00000000-0005-0000-0000-0000C36A0000}"/>
    <cellStyle name="Total 3 8" xfId="24482" xr:uid="{00000000-0005-0000-0000-0000C46A0000}"/>
    <cellStyle name="Total 3 9" xfId="24483" xr:uid="{00000000-0005-0000-0000-0000C56A0000}"/>
    <cellStyle name="Total 4" xfId="24484" xr:uid="{00000000-0005-0000-0000-0000C66A0000}"/>
    <cellStyle name="Total 4 2" xfId="24485" xr:uid="{00000000-0005-0000-0000-0000C76A0000}"/>
    <cellStyle name="Total 4 2 2" xfId="24486" xr:uid="{00000000-0005-0000-0000-0000C86A0000}"/>
    <cellStyle name="Total 4 2 2 2" xfId="24967" xr:uid="{00000000-0005-0000-0000-0000C96A0000}"/>
    <cellStyle name="Total 4 2 3" xfId="26057" xr:uid="{00000000-0005-0000-0000-0000CA6A0000}"/>
    <cellStyle name="Total 4 3" xfId="24487" xr:uid="{00000000-0005-0000-0000-0000CB6A0000}"/>
    <cellStyle name="Total 4 3 2" xfId="24488" xr:uid="{00000000-0005-0000-0000-0000CC6A0000}"/>
    <cellStyle name="Total 4 3 2 2" xfId="24968" xr:uid="{00000000-0005-0000-0000-0000CD6A0000}"/>
    <cellStyle name="Total 4 4" xfId="24489" xr:uid="{00000000-0005-0000-0000-0000CE6A0000}"/>
    <cellStyle name="Total 4 4 2" xfId="24490" xr:uid="{00000000-0005-0000-0000-0000CF6A0000}"/>
    <cellStyle name="Total 4 4 2 2" xfId="24969" xr:uid="{00000000-0005-0000-0000-0000D06A0000}"/>
    <cellStyle name="Total 4 5" xfId="24491" xr:uid="{00000000-0005-0000-0000-0000D16A0000}"/>
    <cellStyle name="Total 4 5 2" xfId="24492" xr:uid="{00000000-0005-0000-0000-0000D26A0000}"/>
    <cellStyle name="Total 4 5 2 2" xfId="24970" xr:uid="{00000000-0005-0000-0000-0000D36A0000}"/>
    <cellStyle name="Total 4 6" xfId="24493" xr:uid="{00000000-0005-0000-0000-0000D46A0000}"/>
    <cellStyle name="Total 4 7" xfId="24494" xr:uid="{00000000-0005-0000-0000-0000D56A0000}"/>
    <cellStyle name="Total 5" xfId="24495" xr:uid="{00000000-0005-0000-0000-0000D66A0000}"/>
    <cellStyle name="Total 5 2" xfId="24496" xr:uid="{00000000-0005-0000-0000-0000D76A0000}"/>
    <cellStyle name="Total 5 2 2" xfId="24971" xr:uid="{00000000-0005-0000-0000-0000D86A0000}"/>
    <cellStyle name="Total 5 3" xfId="26058" xr:uid="{00000000-0005-0000-0000-0000D96A0000}"/>
    <cellStyle name="Total 6" xfId="24497" xr:uid="{00000000-0005-0000-0000-0000DA6A0000}"/>
    <cellStyle name="Total 6 2" xfId="24498" xr:uid="{00000000-0005-0000-0000-0000DB6A0000}"/>
    <cellStyle name="Total 6 2 2" xfId="24972" xr:uid="{00000000-0005-0000-0000-0000DC6A0000}"/>
    <cellStyle name="Total 7" xfId="24499" xr:uid="{00000000-0005-0000-0000-0000DD6A0000}"/>
    <cellStyle name="Total 7 2" xfId="24500" xr:uid="{00000000-0005-0000-0000-0000DE6A0000}"/>
    <cellStyle name="Total 7 2 2" xfId="24973" xr:uid="{00000000-0005-0000-0000-0000DF6A0000}"/>
    <cellStyle name="Total 8" xfId="24501" xr:uid="{00000000-0005-0000-0000-0000E06A0000}"/>
    <cellStyle name="Total 9" xfId="24502" xr:uid="{00000000-0005-0000-0000-0000E16A0000}"/>
    <cellStyle name="Tusenskille [0]_P&amp;L+BAL" xfId="24503" xr:uid="{00000000-0005-0000-0000-0000E26A0000}"/>
    <cellStyle name="Tusenskille_P&amp;L+BAL" xfId="24504" xr:uid="{00000000-0005-0000-0000-0000E36A0000}"/>
    <cellStyle name="V¡rgula" xfId="24505" xr:uid="{00000000-0005-0000-0000-0000E46A0000}"/>
    <cellStyle name="V¡rgula0" xfId="24506" xr:uid="{00000000-0005-0000-0000-0000E56A0000}"/>
    <cellStyle name="Valuta [0]_P&amp;L+BAL" xfId="24507" xr:uid="{00000000-0005-0000-0000-0000E66A0000}"/>
    <cellStyle name="Valuta_P&amp;L+BAL" xfId="24508" xr:uid="{00000000-0005-0000-0000-0000E76A0000}"/>
    <cellStyle name="Verificar Célula" xfId="902" xr:uid="{00000000-0005-0000-0000-0000E86A0000}"/>
    <cellStyle name="Vírgula 10" xfId="903" xr:uid="{00000000-0005-0000-0000-0000E96A0000}"/>
    <cellStyle name="Vírgula 10 2" xfId="24509" xr:uid="{00000000-0005-0000-0000-0000EA6A0000}"/>
    <cellStyle name="Vírgula 10 2 2" xfId="32530" xr:uid="{ACE043BF-1EBB-4061-B30F-F12E91A06A4D}"/>
    <cellStyle name="Vírgula 10 3" xfId="27329" xr:uid="{00000000-0005-0000-0000-0000EB6A0000}"/>
    <cellStyle name="Vírgula 10 3 2" xfId="33166" xr:uid="{6B3D87BD-C1F1-424F-A745-197A17C007F0}"/>
    <cellStyle name="Vírgula 10 4" xfId="27500" xr:uid="{00000000-0005-0000-0000-0000EC6A0000}"/>
    <cellStyle name="Vírgula 10 4 2" xfId="33337" xr:uid="{BA739548-2A2A-4828-95A5-1A4ADB39D948}"/>
    <cellStyle name="Vírgula 10 5" xfId="27669" xr:uid="{00000000-0005-0000-0000-0000ED6A0000}"/>
    <cellStyle name="Vírgula 10 5 2" xfId="33480" xr:uid="{34BDD2CC-8B55-4F81-AE72-911AF55DE372}"/>
    <cellStyle name="Vírgula 10 6" xfId="27826" xr:uid="{00000000-0005-0000-0000-0000EE6A0000}"/>
    <cellStyle name="Vírgula 10 6 2" xfId="33637" xr:uid="{F1787ABC-123E-4B3C-ABAF-0A155F59956F}"/>
    <cellStyle name="Vírgula 10 7" xfId="28119" xr:uid="{3A1C9E65-F242-4A82-A91A-6D563B7DE4D2}"/>
    <cellStyle name="Vírgula 11" xfId="27144" xr:uid="{00000000-0005-0000-0000-0000EF6A0000}"/>
    <cellStyle name="Vírgula 11 2" xfId="27330" xr:uid="{00000000-0005-0000-0000-0000F06A0000}"/>
    <cellStyle name="Vírgula 11 2 2" xfId="33167" xr:uid="{FF85C3B0-7DA9-4B4F-B3EE-F1222F58662D}"/>
    <cellStyle name="Vírgula 11 3" xfId="27501" xr:uid="{00000000-0005-0000-0000-0000F16A0000}"/>
    <cellStyle name="Vírgula 11 3 2" xfId="33338" xr:uid="{546D8723-4AB5-43F6-955C-AE83D90FE757}"/>
    <cellStyle name="Vírgula 11 4" xfId="27670" xr:uid="{00000000-0005-0000-0000-0000F26A0000}"/>
    <cellStyle name="Vírgula 11 4 2" xfId="33481" xr:uid="{53A27E8B-8802-49A4-BD69-86BADC69EF63}"/>
    <cellStyle name="Vírgula 11 5" xfId="27827" xr:uid="{00000000-0005-0000-0000-0000F36A0000}"/>
    <cellStyle name="Vírgula 11 5 2" xfId="33638" xr:uid="{84D1C968-B75A-4424-8313-EDD023B48A9C}"/>
    <cellStyle name="Vírgula 11 6" xfId="32999" xr:uid="{DB6A616E-8652-4B52-B539-10BBC914B839}"/>
    <cellStyle name="Vírgula 12" xfId="27219" xr:uid="{00000000-0005-0000-0000-0000F46A0000}"/>
    <cellStyle name="Vírgula 12 2" xfId="27516" xr:uid="{00000000-0005-0000-0000-0000F56A0000}"/>
    <cellStyle name="Vírgula 12 2 2" xfId="33340" xr:uid="{A3C2E1EC-BBF9-4C20-B265-95B3D4433D06}"/>
    <cellStyle name="Vírgula 12 3" xfId="27829" xr:uid="{00000000-0005-0000-0000-0000F66A0000}"/>
    <cellStyle name="Vírgula 12 3 2" xfId="33640" xr:uid="{001C63CA-12E5-42F9-AE55-76D494972DC5}"/>
    <cellStyle name="Vírgula 12 4" xfId="33060" xr:uid="{6F6786E0-6FC8-4F52-95DC-D559E6BE4A61}"/>
    <cellStyle name="Vírgula 13" xfId="27525" xr:uid="{00000000-0005-0000-0000-0000F76A0000}"/>
    <cellStyle name="Vírgula 13 2" xfId="27830" xr:uid="{00000000-0005-0000-0000-0000F86A0000}"/>
    <cellStyle name="Vírgula 13 2 2" xfId="33641" xr:uid="{7A9B08E2-A944-477A-988C-D08C4A1502C2}"/>
    <cellStyle name="Vírgula 13 3" xfId="33341" xr:uid="{5618ABF5-3A35-411B-90B9-365FB945F830}"/>
    <cellStyle name="Vírgula 14" xfId="27526" xr:uid="{00000000-0005-0000-0000-0000F96A0000}"/>
    <cellStyle name="Vírgula 14 2" xfId="33342" xr:uid="{5B022AB8-8879-4849-B449-0D5E3A98CD8B}"/>
    <cellStyle name="Vírgula 15" xfId="27398" xr:uid="{00000000-0005-0000-0000-0000FA6A0000}"/>
    <cellStyle name="Vírgula 15 2" xfId="33235" xr:uid="{54A8085E-6094-4F7E-8CE5-684DADE0C5B6}"/>
    <cellStyle name="Vírgula 16" xfId="27577" xr:uid="{00000000-0005-0000-0000-0000FB6A0000}"/>
    <cellStyle name="Vírgula 16 2" xfId="33389" xr:uid="{B792CC82-C34E-4F64-9EF8-E71A42B36610}"/>
    <cellStyle name="Vírgula 17" xfId="27728" xr:uid="{00000000-0005-0000-0000-0000FC6A0000}"/>
    <cellStyle name="Vírgula 17 2" xfId="27145" xr:uid="{00000000-0005-0000-0000-0000FD6A0000}"/>
    <cellStyle name="Vírgula 17 3" xfId="33539" xr:uid="{FD916E33-3D9F-46CF-9D03-2BC832D374F4}"/>
    <cellStyle name="Vírgula 2" xfId="904" xr:uid="{00000000-0005-0000-0000-0000FE6A0000}"/>
    <cellStyle name="Vírgula 2 10" xfId="27220" xr:uid="{00000000-0005-0000-0000-0000FF6A0000}"/>
    <cellStyle name="Vírgula 2 10 2" xfId="33061" xr:uid="{097F4D86-6822-41D8-A485-312F2462496E}"/>
    <cellStyle name="Vírgula 2 11" xfId="27399" xr:uid="{00000000-0005-0000-0000-0000006B0000}"/>
    <cellStyle name="Vírgula 2 11 2" xfId="33236" xr:uid="{A57C7F9A-6044-4469-8A41-7909BB5779C3}"/>
    <cellStyle name="Vírgula 2 12" xfId="27578" xr:uid="{00000000-0005-0000-0000-0000016B0000}"/>
    <cellStyle name="Vírgula 2 12 2" xfId="33390" xr:uid="{D2B4BE8B-3354-4F93-AB81-46C344806F62}"/>
    <cellStyle name="Vírgula 2 13" xfId="27729" xr:uid="{00000000-0005-0000-0000-0000026B0000}"/>
    <cellStyle name="Vírgula 2 13 2" xfId="33540" xr:uid="{2EF5C6EE-73A3-42F7-A9AB-C2EAD8C78669}"/>
    <cellStyle name="Vírgula 2 2" xfId="905" xr:uid="{00000000-0005-0000-0000-0000036B0000}"/>
    <cellStyle name="Vírgula 2 2 10" xfId="27579" xr:uid="{00000000-0005-0000-0000-0000046B0000}"/>
    <cellStyle name="Vírgula 2 2 10 2" xfId="33391" xr:uid="{7F67683D-A853-4ED7-AD87-F771FD1DFA44}"/>
    <cellStyle name="Vírgula 2 2 11" xfId="27730" xr:uid="{00000000-0005-0000-0000-0000056B0000}"/>
    <cellStyle name="Vírgula 2 2 11 2" xfId="33541" xr:uid="{BE5E7CEE-79CF-4203-B273-FDC98ADA9308}"/>
    <cellStyle name="Vírgula 2 2 12" xfId="28120" xr:uid="{B7B02111-AD44-4A33-AD2F-75693D6FF45B}"/>
    <cellStyle name="Vírgula 2 2 2" xfId="906" xr:uid="{00000000-0005-0000-0000-0000066B0000}"/>
    <cellStyle name="Vírgula 2 2 2 2" xfId="24511" xr:uid="{00000000-0005-0000-0000-0000076B0000}"/>
    <cellStyle name="Vírgula 2 2 2 2 2" xfId="27138" xr:uid="{00000000-0005-0000-0000-0000086B0000}"/>
    <cellStyle name="Vírgula 2 2 2 2 2 2" xfId="27323" xr:uid="{00000000-0005-0000-0000-0000096B0000}"/>
    <cellStyle name="Vírgula 2 2 2 2 2 2 2" xfId="33160" xr:uid="{A9F40FD3-A0B0-4032-B043-E44862270622}"/>
    <cellStyle name="Vírgula 2 2 2 2 2 3" xfId="27494" xr:uid="{00000000-0005-0000-0000-00000A6B0000}"/>
    <cellStyle name="Vírgula 2 2 2 2 2 3 2" xfId="33331" xr:uid="{1FD70AF3-812C-419B-AF87-5C51DC9CAE93}"/>
    <cellStyle name="Vírgula 2 2 2 2 2 4" xfId="27663" xr:uid="{00000000-0005-0000-0000-00000B6B0000}"/>
    <cellStyle name="Vírgula 2 2 2 2 2 4 2" xfId="33474" xr:uid="{D5AD2B74-FBAA-4B42-96A7-5FF0AAC33782}"/>
    <cellStyle name="Vírgula 2 2 2 2 2 5" xfId="27820" xr:uid="{00000000-0005-0000-0000-00000C6B0000}"/>
    <cellStyle name="Vírgula 2 2 2 2 2 5 2" xfId="33631" xr:uid="{D6EDADE7-56DA-4B66-BCF9-79A1C87AFE07}"/>
    <cellStyle name="Vírgula 2 2 2 2 2 6" xfId="32993" xr:uid="{FAC2D46B-D49A-471D-A7FE-0864CFC8BD1E}"/>
    <cellStyle name="Vírgula 2 2 2 2 3" xfId="26060" xr:uid="{00000000-0005-0000-0000-00000D6B0000}"/>
    <cellStyle name="Vírgula 2 2 2 2 3 2" xfId="32934" xr:uid="{3ACD6CF7-AB4E-4812-B303-A2B48BF2098B}"/>
    <cellStyle name="Vírgula 2 2 2 2 4" xfId="27223" xr:uid="{00000000-0005-0000-0000-00000E6B0000}"/>
    <cellStyle name="Vírgula 2 2 2 2 4 2" xfId="33064" xr:uid="{44E82C4C-B7C8-42C4-AC5D-5C6523FC9D26}"/>
    <cellStyle name="Vírgula 2 2 2 2 5" xfId="27402" xr:uid="{00000000-0005-0000-0000-00000F6B0000}"/>
    <cellStyle name="Vírgula 2 2 2 2 5 2" xfId="33239" xr:uid="{F6A03FA8-37C7-4E7A-92DB-E03F0D638C4F}"/>
    <cellStyle name="Vírgula 2 2 2 2 6" xfId="27581" xr:uid="{00000000-0005-0000-0000-0000106B0000}"/>
    <cellStyle name="Vírgula 2 2 2 2 6 2" xfId="33393" xr:uid="{746F0A96-8D29-4A58-B314-3608A4C41F89}"/>
    <cellStyle name="Vírgula 2 2 2 2 7" xfId="27732" xr:uid="{00000000-0005-0000-0000-0000116B0000}"/>
    <cellStyle name="Vírgula 2 2 2 2 7 2" xfId="33543" xr:uid="{2C824EE8-8D15-40E9-9732-29CF0969B5C6}"/>
    <cellStyle name="Vírgula 2 2 2 3" xfId="26059" xr:uid="{00000000-0005-0000-0000-0000126B0000}"/>
    <cellStyle name="Vírgula 2 2 2 3 2" xfId="32933" xr:uid="{D1E75B76-8F2E-43DE-B9AD-CF62E99B404F}"/>
    <cellStyle name="Vírgula 2 2 2 4" xfId="27222" xr:uid="{00000000-0005-0000-0000-0000136B0000}"/>
    <cellStyle name="Vírgula 2 2 2 4 2" xfId="33063" xr:uid="{2A109F32-B439-4D28-823C-ADFC6D5EABA7}"/>
    <cellStyle name="Vírgula 2 2 2 5" xfId="27401" xr:uid="{00000000-0005-0000-0000-0000146B0000}"/>
    <cellStyle name="Vírgula 2 2 2 5 2" xfId="33238" xr:uid="{6B5F78EF-D1BC-4C8F-8B87-1731B39F9A6B}"/>
    <cellStyle name="Vírgula 2 2 2 6" xfId="27580" xr:uid="{00000000-0005-0000-0000-0000156B0000}"/>
    <cellStyle name="Vírgula 2 2 2 6 2" xfId="33392" xr:uid="{EBB3C642-6374-4B2A-97C3-599AAC47AE80}"/>
    <cellStyle name="Vírgula 2 2 2 7" xfId="27731" xr:uid="{00000000-0005-0000-0000-0000166B0000}"/>
    <cellStyle name="Vírgula 2 2 2 7 2" xfId="33542" xr:uid="{25C4E607-0B4E-420F-9239-4A1387A15ACF}"/>
    <cellStyle name="Vírgula 2 2 2 8" xfId="28121" xr:uid="{200953A8-3C74-46BE-846E-AFDCFAD3F0F0}"/>
    <cellStyle name="Vírgula 2 2 3" xfId="907" xr:uid="{00000000-0005-0000-0000-0000176B0000}"/>
    <cellStyle name="Vírgula 2 2 3 2" xfId="26062" xr:uid="{00000000-0005-0000-0000-0000186B0000}"/>
    <cellStyle name="Vírgula 2 2 3 2 2" xfId="27139" xr:uid="{00000000-0005-0000-0000-0000196B0000}"/>
    <cellStyle name="Vírgula 2 2 3 2 2 2" xfId="27324" xr:uid="{00000000-0005-0000-0000-00001A6B0000}"/>
    <cellStyle name="Vírgula 2 2 3 2 2 2 2" xfId="33161" xr:uid="{0D8997F2-B852-467A-A302-C230C6FB2DB2}"/>
    <cellStyle name="Vírgula 2 2 3 2 2 3" xfId="27495" xr:uid="{00000000-0005-0000-0000-00001B6B0000}"/>
    <cellStyle name="Vírgula 2 2 3 2 2 3 2" xfId="33332" xr:uid="{B6274D25-F8D6-4CD9-B82A-30DDA861716E}"/>
    <cellStyle name="Vírgula 2 2 3 2 2 4" xfId="27664" xr:uid="{00000000-0005-0000-0000-00001C6B0000}"/>
    <cellStyle name="Vírgula 2 2 3 2 2 4 2" xfId="33475" xr:uid="{0379DFFB-7902-4C76-B0A5-5E4B17AB67CE}"/>
    <cellStyle name="Vírgula 2 2 3 2 2 5" xfId="27821" xr:uid="{00000000-0005-0000-0000-00001D6B0000}"/>
    <cellStyle name="Vírgula 2 2 3 2 2 5 2" xfId="33632" xr:uid="{B66B04CA-5CC6-4212-9E39-EB7C28A12D01}"/>
    <cellStyle name="Vírgula 2 2 3 2 2 6" xfId="32994" xr:uid="{CEEDB19B-11E2-40FE-868D-EC8DBFB19374}"/>
    <cellStyle name="Vírgula 2 2 3 2 3" xfId="27225" xr:uid="{00000000-0005-0000-0000-00001E6B0000}"/>
    <cellStyle name="Vírgula 2 2 3 2 3 2" xfId="33066" xr:uid="{06CBE626-D1AF-45F6-9B70-5FF2971EF9F1}"/>
    <cellStyle name="Vírgula 2 2 3 2 4" xfId="27404" xr:uid="{00000000-0005-0000-0000-00001F6B0000}"/>
    <cellStyle name="Vírgula 2 2 3 2 4 2" xfId="33241" xr:uid="{26A48A2E-A528-4035-ADB1-0A09B3CB053D}"/>
    <cellStyle name="Vírgula 2 2 3 2 5" xfId="27583" xr:uid="{00000000-0005-0000-0000-0000206B0000}"/>
    <cellStyle name="Vírgula 2 2 3 2 5 2" xfId="33395" xr:uid="{79369311-E4FA-4C61-8EC7-AC604436BC4A}"/>
    <cellStyle name="Vírgula 2 2 3 2 6" xfId="27734" xr:uid="{00000000-0005-0000-0000-0000216B0000}"/>
    <cellStyle name="Vírgula 2 2 3 2 6 2" xfId="33545" xr:uid="{0A3E45A9-8367-4309-9DCB-7EEAC69F45DD}"/>
    <cellStyle name="Vírgula 2 2 3 2 7" xfId="32936" xr:uid="{1FDB694F-25E9-45BA-ADB1-623D0E3B8CC0}"/>
    <cellStyle name="Vírgula 2 2 3 3" xfId="26061" xr:uid="{00000000-0005-0000-0000-0000226B0000}"/>
    <cellStyle name="Vírgula 2 2 3 3 2" xfId="32935" xr:uid="{1C3428B7-2F38-4671-BCF5-3AE81B18DA11}"/>
    <cellStyle name="Vírgula 2 2 3 4" xfId="27224" xr:uid="{00000000-0005-0000-0000-0000236B0000}"/>
    <cellStyle name="Vírgula 2 2 3 4 2" xfId="33065" xr:uid="{47F627C1-4A9A-4183-A4C0-EB28C1561384}"/>
    <cellStyle name="Vírgula 2 2 3 5" xfId="27403" xr:uid="{00000000-0005-0000-0000-0000246B0000}"/>
    <cellStyle name="Vírgula 2 2 3 5 2" xfId="33240" xr:uid="{7558CC70-A748-49F2-B820-270DAEBB4140}"/>
    <cellStyle name="Vírgula 2 2 3 6" xfId="27582" xr:uid="{00000000-0005-0000-0000-0000256B0000}"/>
    <cellStyle name="Vírgula 2 2 3 6 2" xfId="33394" xr:uid="{49795DE9-B881-4514-B745-816CEC535D64}"/>
    <cellStyle name="Vírgula 2 2 3 7" xfId="27733" xr:uid="{00000000-0005-0000-0000-0000266B0000}"/>
    <cellStyle name="Vírgula 2 2 3 7 2" xfId="33544" xr:uid="{658709EB-2F76-4CDF-BDAE-218B24BD55BD}"/>
    <cellStyle name="Vírgula 2 2 3 8" xfId="28122" xr:uid="{E1BBD5EB-3060-4CA3-8FCB-05D1D4FC3EF6}"/>
    <cellStyle name="Vírgula 2 2 4" xfId="24510" xr:uid="{00000000-0005-0000-0000-0000276B0000}"/>
    <cellStyle name="Vírgula 2 2 4 2" xfId="26064" xr:uid="{00000000-0005-0000-0000-0000286B0000}"/>
    <cellStyle name="Vírgula 2 2 4 2 2" xfId="26065" xr:uid="{00000000-0005-0000-0000-0000296B0000}"/>
    <cellStyle name="Vírgula 2 2 4 2 2 2" xfId="27228" xr:uid="{00000000-0005-0000-0000-00002A6B0000}"/>
    <cellStyle name="Vírgula 2 2 4 2 2 2 2" xfId="33069" xr:uid="{62F9C16B-B7BB-42E3-AB52-A9FD29D58CE1}"/>
    <cellStyle name="Vírgula 2 2 4 2 2 3" xfId="27407" xr:uid="{00000000-0005-0000-0000-00002B6B0000}"/>
    <cellStyle name="Vírgula 2 2 4 2 2 3 2" xfId="33244" xr:uid="{89B9B0CF-527F-48CF-93B3-5410337647FA}"/>
    <cellStyle name="Vírgula 2 2 4 2 2 4" xfId="27586" xr:uid="{00000000-0005-0000-0000-00002C6B0000}"/>
    <cellStyle name="Vírgula 2 2 4 2 2 4 2" xfId="33398" xr:uid="{66CF5D64-4585-4176-855C-C671367621E7}"/>
    <cellStyle name="Vírgula 2 2 4 2 2 5" xfId="27737" xr:uid="{00000000-0005-0000-0000-00002D6B0000}"/>
    <cellStyle name="Vírgula 2 2 4 2 2 5 2" xfId="33548" xr:uid="{1552E260-D8D0-4E07-ADAD-1F1A74FE032B}"/>
    <cellStyle name="Vírgula 2 2 4 2 2 6" xfId="32939" xr:uid="{020E0408-82DB-4A47-BF66-BD5C04CFC3A3}"/>
    <cellStyle name="Vírgula 2 2 4 2 3" xfId="27227" xr:uid="{00000000-0005-0000-0000-00002E6B0000}"/>
    <cellStyle name="Vírgula 2 2 4 2 3 2" xfId="33068" xr:uid="{C202BC2B-C4B7-4E41-8FB2-DF7CBC252FC7}"/>
    <cellStyle name="Vírgula 2 2 4 2 4" xfId="27406" xr:uid="{00000000-0005-0000-0000-00002F6B0000}"/>
    <cellStyle name="Vírgula 2 2 4 2 4 2" xfId="33243" xr:uid="{DD67A2D3-F99B-4F1C-A24E-6BFAB7150385}"/>
    <cellStyle name="Vírgula 2 2 4 2 5" xfId="27585" xr:uid="{00000000-0005-0000-0000-0000306B0000}"/>
    <cellStyle name="Vírgula 2 2 4 2 5 2" xfId="33397" xr:uid="{A73BA80C-4F9E-44AA-ADDC-278F2584765B}"/>
    <cellStyle name="Vírgula 2 2 4 2 6" xfId="27736" xr:uid="{00000000-0005-0000-0000-0000316B0000}"/>
    <cellStyle name="Vírgula 2 2 4 2 6 2" xfId="33547" xr:uid="{B2EE6677-F3EA-490A-879F-090FD1EF7D0B}"/>
    <cellStyle name="Vírgula 2 2 4 2 7" xfId="32938" xr:uid="{319903A6-81FC-4D80-8A9A-B4EA234586FC}"/>
    <cellStyle name="Vírgula 2 2 4 3" xfId="26066" xr:uid="{00000000-0005-0000-0000-0000326B0000}"/>
    <cellStyle name="Vírgula 2 2 4 3 2" xfId="27229" xr:uid="{00000000-0005-0000-0000-0000336B0000}"/>
    <cellStyle name="Vírgula 2 2 4 3 2 2" xfId="33070" xr:uid="{A3FF0EB2-7512-4868-A458-D14453C34339}"/>
    <cellStyle name="Vírgula 2 2 4 3 3" xfId="27408" xr:uid="{00000000-0005-0000-0000-0000346B0000}"/>
    <cellStyle name="Vírgula 2 2 4 3 3 2" xfId="33245" xr:uid="{C7AC3CD6-EB38-4734-BE5B-BB69848D987E}"/>
    <cellStyle name="Vírgula 2 2 4 3 4" xfId="27587" xr:uid="{00000000-0005-0000-0000-0000356B0000}"/>
    <cellStyle name="Vírgula 2 2 4 3 4 2" xfId="33399" xr:uid="{C33E23DF-97C3-4516-9305-86B65FC1F931}"/>
    <cellStyle name="Vírgula 2 2 4 3 5" xfId="27738" xr:uid="{00000000-0005-0000-0000-0000366B0000}"/>
    <cellStyle name="Vírgula 2 2 4 3 5 2" xfId="33549" xr:uid="{389D4FEB-4412-4716-AA5B-6D23BB28216A}"/>
    <cellStyle name="Vírgula 2 2 4 3 6" xfId="32940" xr:uid="{3047562B-68F4-40B8-A52E-F4C9DDAD136F}"/>
    <cellStyle name="Vírgula 2 2 4 4" xfId="26063" xr:uid="{00000000-0005-0000-0000-0000376B0000}"/>
    <cellStyle name="Vírgula 2 2 4 4 2" xfId="32937" xr:uid="{24558E56-4AA6-47EF-B65A-CE29727B6FCC}"/>
    <cellStyle name="Vírgula 2 2 4 5" xfId="27226" xr:uid="{00000000-0005-0000-0000-0000386B0000}"/>
    <cellStyle name="Vírgula 2 2 4 5 2" xfId="33067" xr:uid="{99EB53B6-E068-486C-8C53-459A71DADBFE}"/>
    <cellStyle name="Vírgula 2 2 4 6" xfId="27405" xr:uid="{00000000-0005-0000-0000-0000396B0000}"/>
    <cellStyle name="Vírgula 2 2 4 6 2" xfId="33242" xr:uid="{B12591BD-8C02-403F-9202-5593F54B736F}"/>
    <cellStyle name="Vírgula 2 2 4 7" xfId="27584" xr:uid="{00000000-0005-0000-0000-00003A6B0000}"/>
    <cellStyle name="Vírgula 2 2 4 7 2" xfId="33396" xr:uid="{457E6D13-DD4E-4FD6-A74F-700B7245C84E}"/>
    <cellStyle name="Vírgula 2 2 4 8" xfId="27735" xr:uid="{00000000-0005-0000-0000-00003B6B0000}"/>
    <cellStyle name="Vírgula 2 2 4 8 2" xfId="33546" xr:uid="{018C7341-FB6D-4B6A-8CD7-CFA47621B890}"/>
    <cellStyle name="Vírgula 2 2 4 9" xfId="32531" xr:uid="{62088B0F-4145-47BE-9D79-5BFDF26F3708}"/>
    <cellStyle name="Vírgula 2 2 5" xfId="26067" xr:uid="{00000000-0005-0000-0000-00003C6B0000}"/>
    <cellStyle name="Vírgula 2 2 5 2" xfId="27230" xr:uid="{00000000-0005-0000-0000-00003D6B0000}"/>
    <cellStyle name="Vírgula 2 2 5 2 2" xfId="33071" xr:uid="{BD6D3DC8-CC0D-42A4-9673-F8605984DEA7}"/>
    <cellStyle name="Vírgula 2 2 5 3" xfId="27409" xr:uid="{00000000-0005-0000-0000-00003E6B0000}"/>
    <cellStyle name="Vírgula 2 2 5 3 2" xfId="33246" xr:uid="{68603678-7735-42BE-AC6A-272F879182A5}"/>
    <cellStyle name="Vírgula 2 2 5 4" xfId="27588" xr:uid="{00000000-0005-0000-0000-00003F6B0000}"/>
    <cellStyle name="Vírgula 2 2 5 4 2" xfId="33400" xr:uid="{8C910D7B-F49C-4F12-BE73-E99B5D7DF397}"/>
    <cellStyle name="Vírgula 2 2 5 5" xfId="27739" xr:uid="{00000000-0005-0000-0000-0000406B0000}"/>
    <cellStyle name="Vírgula 2 2 5 5 2" xfId="33550" xr:uid="{44582E5E-F7B1-4EC1-A5F9-07C57667023B}"/>
    <cellStyle name="Vírgula 2 2 5 6" xfId="32941" xr:uid="{13F1AA57-B2C1-4D32-B4ED-CC5AAA8BCC5D}"/>
    <cellStyle name="Vírgula 2 2 6" xfId="26068" xr:uid="{00000000-0005-0000-0000-0000416B0000}"/>
    <cellStyle name="Vírgula 2 2 6 2" xfId="27140" xr:uid="{00000000-0005-0000-0000-0000426B0000}"/>
    <cellStyle name="Vírgula 2 2 6 2 2" xfId="27325" xr:uid="{00000000-0005-0000-0000-0000436B0000}"/>
    <cellStyle name="Vírgula 2 2 6 2 2 2" xfId="33162" xr:uid="{9CAA700F-118C-413D-BD22-7BF0CEA550C5}"/>
    <cellStyle name="Vírgula 2 2 6 2 3" xfId="27496" xr:uid="{00000000-0005-0000-0000-0000446B0000}"/>
    <cellStyle name="Vírgula 2 2 6 2 3 2" xfId="33333" xr:uid="{81721F7D-CE96-4DFB-867E-BE0D8FFB3F4F}"/>
    <cellStyle name="Vírgula 2 2 6 2 4" xfId="27665" xr:uid="{00000000-0005-0000-0000-0000456B0000}"/>
    <cellStyle name="Vírgula 2 2 6 2 4 2" xfId="33476" xr:uid="{32419304-7661-483D-9E51-BFA8F24AE272}"/>
    <cellStyle name="Vírgula 2 2 6 2 5" xfId="27822" xr:uid="{00000000-0005-0000-0000-0000466B0000}"/>
    <cellStyle name="Vírgula 2 2 6 2 5 2" xfId="33633" xr:uid="{F8E96D5C-6006-4B18-8B02-AE1316C13915}"/>
    <cellStyle name="Vírgula 2 2 6 2 6" xfId="32995" xr:uid="{92922B52-9CE4-454A-85AD-7A17FDAE3A88}"/>
    <cellStyle name="Vírgula 2 2 6 3" xfId="27231" xr:uid="{00000000-0005-0000-0000-0000476B0000}"/>
    <cellStyle name="Vírgula 2 2 6 3 2" xfId="33072" xr:uid="{FAEA8425-48E6-4BAC-835B-28A408923E6D}"/>
    <cellStyle name="Vírgula 2 2 6 4" xfId="27410" xr:uid="{00000000-0005-0000-0000-0000486B0000}"/>
    <cellStyle name="Vírgula 2 2 6 4 2" xfId="33247" xr:uid="{CFBA8D21-14BF-480A-94CB-99DE7376034A}"/>
    <cellStyle name="Vírgula 2 2 6 5" xfId="27589" xr:uid="{00000000-0005-0000-0000-0000496B0000}"/>
    <cellStyle name="Vírgula 2 2 6 5 2" xfId="33401" xr:uid="{B2F9BDFF-6E27-40B7-8F2D-F1A98636569F}"/>
    <cellStyle name="Vírgula 2 2 6 6" xfId="27740" xr:uid="{00000000-0005-0000-0000-00004A6B0000}"/>
    <cellStyle name="Vírgula 2 2 6 6 2" xfId="33551" xr:uid="{59487D12-20B3-4B16-BB26-E7A656BCA6A8}"/>
    <cellStyle name="Vírgula 2 2 6 7" xfId="32942" xr:uid="{78BCC56B-90AE-4F6A-9DCB-A2E42400B36D}"/>
    <cellStyle name="Vírgula 2 2 7" xfId="26069" xr:uid="{00000000-0005-0000-0000-00004B6B0000}"/>
    <cellStyle name="Vírgula 2 2 7 2" xfId="27232" xr:uid="{00000000-0005-0000-0000-00004C6B0000}"/>
    <cellStyle name="Vírgula 2 2 7 2 2" xfId="33073" xr:uid="{2443AA65-89EE-4285-9718-F27B002F78A1}"/>
    <cellStyle name="Vírgula 2 2 7 3" xfId="27411" xr:uid="{00000000-0005-0000-0000-00004D6B0000}"/>
    <cellStyle name="Vírgula 2 2 7 3 2" xfId="33248" xr:uid="{AC8D27BC-ABD6-460F-8E21-EC02BFC56AE4}"/>
    <cellStyle name="Vírgula 2 2 7 4" xfId="27590" xr:uid="{00000000-0005-0000-0000-00004E6B0000}"/>
    <cellStyle name="Vírgula 2 2 7 4 2" xfId="33402" xr:uid="{DE2055C5-5F10-4EC6-8324-80639E521193}"/>
    <cellStyle name="Vírgula 2 2 7 5" xfId="27741" xr:uid="{00000000-0005-0000-0000-00004F6B0000}"/>
    <cellStyle name="Vírgula 2 2 7 5 2" xfId="33552" xr:uid="{460BB731-891F-432B-AED5-ABEDCC7D8473}"/>
    <cellStyle name="Vírgula 2 2 7 6" xfId="32943" xr:uid="{BB2663F0-2AE6-453C-A868-E31B410DF1C4}"/>
    <cellStyle name="Vírgula 2 2 8" xfId="27221" xr:uid="{00000000-0005-0000-0000-0000506B0000}"/>
    <cellStyle name="Vírgula 2 2 8 2" xfId="33062" xr:uid="{7E7B7E31-3D18-4ECA-9E14-2B5F300AC99E}"/>
    <cellStyle name="Vírgula 2 2 9" xfId="27400" xr:uid="{00000000-0005-0000-0000-0000516B0000}"/>
    <cellStyle name="Vírgula 2 2 9 2" xfId="33237" xr:uid="{5863775D-A290-4475-BC50-9E5986170F4B}"/>
    <cellStyle name="Vírgula 2 3" xfId="908" xr:uid="{00000000-0005-0000-0000-0000526B0000}"/>
    <cellStyle name="Vírgula 2 3 10" xfId="27742" xr:uid="{00000000-0005-0000-0000-0000536B0000}"/>
    <cellStyle name="Vírgula 2 3 10 2" xfId="33553" xr:uid="{0FF57949-D7BB-433D-A84F-579DD5E7CB37}"/>
    <cellStyle name="Vírgula 2 3 11" xfId="28123" xr:uid="{F3030838-0C8E-43D6-B8C2-04C14F64979D}"/>
    <cellStyle name="Vírgula 2 3 2" xfId="909" xr:uid="{00000000-0005-0000-0000-0000546B0000}"/>
    <cellStyle name="Vírgula 2 3 2 2" xfId="910" xr:uid="{00000000-0005-0000-0000-0000556B0000}"/>
    <cellStyle name="Vírgula 2 3 2 2 2" xfId="911" xr:uid="{00000000-0005-0000-0000-0000566B0000}"/>
    <cellStyle name="Vírgula 2 3 2 2 2 2" xfId="28126" xr:uid="{054EE4C4-C3B2-43C5-8724-A93F30666038}"/>
    <cellStyle name="Vírgula 2 3 2 2 3" xfId="28125" xr:uid="{C23DF3E5-2F8A-47AC-8EF7-3789BFCAA868}"/>
    <cellStyle name="Vírgula 2 3 2 3" xfId="912" xr:uid="{00000000-0005-0000-0000-0000576B0000}"/>
    <cellStyle name="Vírgula 2 3 2 3 2" xfId="28127" xr:uid="{EE1EF072-0623-4769-BDDC-F23736A3BEDB}"/>
    <cellStyle name="Vírgula 2 3 2 4" xfId="26070" xr:uid="{00000000-0005-0000-0000-0000586B0000}"/>
    <cellStyle name="Vírgula 2 3 2 4 2" xfId="32944" xr:uid="{A872B15D-FF77-44CE-ABF4-47809BC34210}"/>
    <cellStyle name="Vírgula 2 3 2 5" xfId="27234" xr:uid="{00000000-0005-0000-0000-0000596B0000}"/>
    <cellStyle name="Vírgula 2 3 2 5 2" xfId="33075" xr:uid="{66DF7089-C41A-4B52-BE2D-CC17AC626501}"/>
    <cellStyle name="Vírgula 2 3 2 6" xfId="27413" xr:uid="{00000000-0005-0000-0000-00005A6B0000}"/>
    <cellStyle name="Vírgula 2 3 2 6 2" xfId="33250" xr:uid="{12541C25-2971-44DF-9989-6BD218EF48E3}"/>
    <cellStyle name="Vírgula 2 3 2 7" xfId="27592" xr:uid="{00000000-0005-0000-0000-00005B6B0000}"/>
    <cellStyle name="Vírgula 2 3 2 7 2" xfId="33404" xr:uid="{9E8BDD7B-BB07-47C6-B15A-2C03CA7C7D9E}"/>
    <cellStyle name="Vírgula 2 3 2 8" xfId="27743" xr:uid="{00000000-0005-0000-0000-00005C6B0000}"/>
    <cellStyle name="Vírgula 2 3 2 8 2" xfId="33554" xr:uid="{A1E6B896-3F71-447D-9F17-8504489E6D3C}"/>
    <cellStyle name="Vírgula 2 3 2 9" xfId="28124" xr:uid="{FB5548D7-B4FB-4221-BEF5-01ACE49547EA}"/>
    <cellStyle name="Vírgula 2 3 3" xfId="913" xr:uid="{00000000-0005-0000-0000-00005D6B0000}"/>
    <cellStyle name="Vírgula 2 3 3 2" xfId="914" xr:uid="{00000000-0005-0000-0000-00005E6B0000}"/>
    <cellStyle name="Vírgula 2 3 3 2 2" xfId="26071" xr:uid="{00000000-0005-0000-0000-00005F6B0000}"/>
    <cellStyle name="Vírgula 2 3 3 2 2 2" xfId="27237" xr:uid="{00000000-0005-0000-0000-0000606B0000}"/>
    <cellStyle name="Vírgula 2 3 3 2 2 2 2" xfId="33078" xr:uid="{C78BFFFC-89BD-4F38-B048-BD0846C5702C}"/>
    <cellStyle name="Vírgula 2 3 3 2 2 3" xfId="27416" xr:uid="{00000000-0005-0000-0000-0000616B0000}"/>
    <cellStyle name="Vírgula 2 3 3 2 2 3 2" xfId="33253" xr:uid="{9A688FC8-44B3-4625-900A-2C9389A9BE66}"/>
    <cellStyle name="Vírgula 2 3 3 2 2 4" xfId="27595" xr:uid="{00000000-0005-0000-0000-0000626B0000}"/>
    <cellStyle name="Vírgula 2 3 3 2 2 4 2" xfId="33407" xr:uid="{E6FB2748-09AC-4E5A-BCFB-5A303D3291B1}"/>
    <cellStyle name="Vírgula 2 3 3 2 2 5" xfId="27746" xr:uid="{00000000-0005-0000-0000-0000636B0000}"/>
    <cellStyle name="Vírgula 2 3 3 2 2 5 2" xfId="33557" xr:uid="{91A1FF40-F8E2-4E2B-9C2A-185EF1E87973}"/>
    <cellStyle name="Vírgula 2 3 3 2 2 6" xfId="32945" xr:uid="{E0E7DAA8-193F-473F-AE47-BEC4073C662F}"/>
    <cellStyle name="Vírgula 2 3 3 2 3" xfId="27236" xr:uid="{00000000-0005-0000-0000-0000646B0000}"/>
    <cellStyle name="Vírgula 2 3 3 2 3 2" xfId="33077" xr:uid="{45CF3234-0AD5-438D-87FE-03E80E477FE7}"/>
    <cellStyle name="Vírgula 2 3 3 2 4" xfId="27415" xr:uid="{00000000-0005-0000-0000-0000656B0000}"/>
    <cellStyle name="Vírgula 2 3 3 2 4 2" xfId="33252" xr:uid="{463B5D19-8E64-4D18-9027-0FCF45488220}"/>
    <cellStyle name="Vírgula 2 3 3 2 5" xfId="27594" xr:uid="{00000000-0005-0000-0000-0000666B0000}"/>
    <cellStyle name="Vírgula 2 3 3 2 5 2" xfId="33406" xr:uid="{43F7E70F-DF70-4F27-B735-CB5877BC634C}"/>
    <cellStyle name="Vírgula 2 3 3 2 6" xfId="27745" xr:uid="{00000000-0005-0000-0000-0000676B0000}"/>
    <cellStyle name="Vírgula 2 3 3 2 6 2" xfId="33556" xr:uid="{5E8C18CE-B64E-4F56-9C91-01B876AC75A3}"/>
    <cellStyle name="Vírgula 2 3 3 2 7" xfId="28129" xr:uid="{6957F636-4378-43B8-BA26-26C220EB7170}"/>
    <cellStyle name="Vírgula 2 3 3 3" xfId="26072" xr:uid="{00000000-0005-0000-0000-0000686B0000}"/>
    <cellStyle name="Vírgula 2 3 3 3 2" xfId="27238" xr:uid="{00000000-0005-0000-0000-0000696B0000}"/>
    <cellStyle name="Vírgula 2 3 3 3 2 2" xfId="33079" xr:uid="{41961644-8E2A-4CB5-9225-72B9D217146E}"/>
    <cellStyle name="Vírgula 2 3 3 3 3" xfId="27417" xr:uid="{00000000-0005-0000-0000-00006A6B0000}"/>
    <cellStyle name="Vírgula 2 3 3 3 3 2" xfId="33254" xr:uid="{02E96676-C4CF-41AD-8480-A95CE8E36D21}"/>
    <cellStyle name="Vírgula 2 3 3 3 4" xfId="27596" xr:uid="{00000000-0005-0000-0000-00006B6B0000}"/>
    <cellStyle name="Vírgula 2 3 3 3 4 2" xfId="33408" xr:uid="{6CF4DABA-D596-43E8-892C-01ECCD112721}"/>
    <cellStyle name="Vírgula 2 3 3 3 5" xfId="27747" xr:uid="{00000000-0005-0000-0000-00006C6B0000}"/>
    <cellStyle name="Vírgula 2 3 3 3 5 2" xfId="33558" xr:uid="{5B00E97F-92D3-4732-A17B-B5ABDAC570CC}"/>
    <cellStyle name="Vírgula 2 3 3 3 6" xfId="32946" xr:uid="{14C5EDE4-5E67-4A7C-9F62-C3EFD4C765CC}"/>
    <cellStyle name="Vírgula 2 3 3 4" xfId="27235" xr:uid="{00000000-0005-0000-0000-00006D6B0000}"/>
    <cellStyle name="Vírgula 2 3 3 4 2" xfId="33076" xr:uid="{80116D28-3774-4B60-92D0-759E1DFE7D93}"/>
    <cellStyle name="Vírgula 2 3 3 5" xfId="27414" xr:uid="{00000000-0005-0000-0000-00006E6B0000}"/>
    <cellStyle name="Vírgula 2 3 3 5 2" xfId="33251" xr:uid="{2A1C1B04-59F8-457D-B552-F00484CFA191}"/>
    <cellStyle name="Vírgula 2 3 3 6" xfId="27593" xr:uid="{00000000-0005-0000-0000-00006F6B0000}"/>
    <cellStyle name="Vírgula 2 3 3 6 2" xfId="33405" xr:uid="{300D217B-66C5-48EE-B95B-613F74D166BE}"/>
    <cellStyle name="Vírgula 2 3 3 7" xfId="27744" xr:uid="{00000000-0005-0000-0000-0000706B0000}"/>
    <cellStyle name="Vírgula 2 3 3 7 2" xfId="33555" xr:uid="{33FD23D4-CD6E-4751-87C0-63B0EA7BE470}"/>
    <cellStyle name="Vírgula 2 3 3 8" xfId="28128" xr:uid="{68A12A56-98DC-4601-B326-9F751D481005}"/>
    <cellStyle name="Vírgula 2 3 4" xfId="915" xr:uid="{00000000-0005-0000-0000-0000716B0000}"/>
    <cellStyle name="Vírgula 2 3 4 2" xfId="27141" xr:uid="{00000000-0005-0000-0000-0000726B0000}"/>
    <cellStyle name="Vírgula 2 3 4 2 2" xfId="27326" xr:uid="{00000000-0005-0000-0000-0000736B0000}"/>
    <cellStyle name="Vírgula 2 3 4 2 2 2" xfId="33163" xr:uid="{2E5FA07F-2597-4641-85AC-5DD923BBFEC5}"/>
    <cellStyle name="Vírgula 2 3 4 2 3" xfId="27497" xr:uid="{00000000-0005-0000-0000-0000746B0000}"/>
    <cellStyle name="Vírgula 2 3 4 2 3 2" xfId="33334" xr:uid="{CBB70DCD-0618-4392-92CE-35BDFBCEEF24}"/>
    <cellStyle name="Vírgula 2 3 4 2 4" xfId="27666" xr:uid="{00000000-0005-0000-0000-0000756B0000}"/>
    <cellStyle name="Vírgula 2 3 4 2 4 2" xfId="33477" xr:uid="{4BD13F41-1A38-4237-89FC-04CE83F8E12E}"/>
    <cellStyle name="Vírgula 2 3 4 2 5" xfId="27823" xr:uid="{00000000-0005-0000-0000-0000766B0000}"/>
    <cellStyle name="Vírgula 2 3 4 2 5 2" xfId="33634" xr:uid="{1A18474E-9ACE-43D1-8BD2-21544B9A2CE9}"/>
    <cellStyle name="Vírgula 2 3 4 2 6" xfId="32996" xr:uid="{F88E731A-70FD-4913-B860-8469B7A319B8}"/>
    <cellStyle name="Vírgula 2 3 4 3" xfId="26073" xr:uid="{00000000-0005-0000-0000-0000776B0000}"/>
    <cellStyle name="Vírgula 2 3 4 3 2" xfId="32947" xr:uid="{30CEB8B5-2A42-4697-87A3-13FB9F3EACDC}"/>
    <cellStyle name="Vírgula 2 3 4 4" xfId="27239" xr:uid="{00000000-0005-0000-0000-0000786B0000}"/>
    <cellStyle name="Vírgula 2 3 4 4 2" xfId="33080" xr:uid="{18B0F19B-E0DB-4535-83AB-516192AC2A7B}"/>
    <cellStyle name="Vírgula 2 3 4 5" xfId="27418" xr:uid="{00000000-0005-0000-0000-0000796B0000}"/>
    <cellStyle name="Vírgula 2 3 4 5 2" xfId="33255" xr:uid="{F99BA523-90E5-4C6C-9BAE-2A2948C3C05F}"/>
    <cellStyle name="Vírgula 2 3 4 6" xfId="27597" xr:uid="{00000000-0005-0000-0000-00007A6B0000}"/>
    <cellStyle name="Vírgula 2 3 4 6 2" xfId="33409" xr:uid="{D4274FFB-6263-480B-A161-9FBE579E784F}"/>
    <cellStyle name="Vírgula 2 3 4 7" xfId="27748" xr:uid="{00000000-0005-0000-0000-00007B6B0000}"/>
    <cellStyle name="Vírgula 2 3 4 7 2" xfId="33559" xr:uid="{12F429EC-FC47-4D1C-9E02-BD5604B53887}"/>
    <cellStyle name="Vírgula 2 3 4 8" xfId="28130" xr:uid="{522A5D82-8554-45DC-8B90-1C417794552C}"/>
    <cellStyle name="Vírgula 2 3 5" xfId="24512" xr:uid="{00000000-0005-0000-0000-00007C6B0000}"/>
    <cellStyle name="Vírgula 2 3 5 2" xfId="26075" xr:uid="{00000000-0005-0000-0000-00007D6B0000}"/>
    <cellStyle name="Vírgula 2 3 5 2 2" xfId="27241" xr:uid="{00000000-0005-0000-0000-00007E6B0000}"/>
    <cellStyle name="Vírgula 2 3 5 2 2 2" xfId="33082" xr:uid="{EF1261D4-1ACC-4F6A-879C-627D6AC40E32}"/>
    <cellStyle name="Vírgula 2 3 5 2 3" xfId="27420" xr:uid="{00000000-0005-0000-0000-00007F6B0000}"/>
    <cellStyle name="Vírgula 2 3 5 2 3 2" xfId="33257" xr:uid="{943A5427-49C0-45CD-89D3-70D1B289CFDF}"/>
    <cellStyle name="Vírgula 2 3 5 2 4" xfId="27599" xr:uid="{00000000-0005-0000-0000-0000806B0000}"/>
    <cellStyle name="Vírgula 2 3 5 2 4 2" xfId="33411" xr:uid="{7C9B2AE2-77CB-455A-9B36-4A7042F31742}"/>
    <cellStyle name="Vírgula 2 3 5 2 5" xfId="27750" xr:uid="{00000000-0005-0000-0000-0000816B0000}"/>
    <cellStyle name="Vírgula 2 3 5 2 5 2" xfId="33561" xr:uid="{9528355B-3ACA-45E2-B240-A52585806FB7}"/>
    <cellStyle name="Vírgula 2 3 5 2 6" xfId="32949" xr:uid="{20FBD1AB-50B5-419B-B138-5BB370400D2D}"/>
    <cellStyle name="Vírgula 2 3 5 3" xfId="26074" xr:uid="{00000000-0005-0000-0000-0000826B0000}"/>
    <cellStyle name="Vírgula 2 3 5 3 2" xfId="32948" xr:uid="{9A960EF1-1517-4473-896B-B4EF75977C9E}"/>
    <cellStyle name="Vírgula 2 3 5 4" xfId="27240" xr:uid="{00000000-0005-0000-0000-0000836B0000}"/>
    <cellStyle name="Vírgula 2 3 5 4 2" xfId="33081" xr:uid="{A103351E-EB2C-46D3-90E3-42B5BEC33DB8}"/>
    <cellStyle name="Vírgula 2 3 5 5" xfId="27419" xr:uid="{00000000-0005-0000-0000-0000846B0000}"/>
    <cellStyle name="Vírgula 2 3 5 5 2" xfId="33256" xr:uid="{92CDA70B-69DF-467E-B8E1-82E0618D0B9D}"/>
    <cellStyle name="Vírgula 2 3 5 6" xfId="27598" xr:uid="{00000000-0005-0000-0000-0000856B0000}"/>
    <cellStyle name="Vírgula 2 3 5 6 2" xfId="33410" xr:uid="{6E259876-1E9C-4F83-857C-D12CD7A532EA}"/>
    <cellStyle name="Vírgula 2 3 5 7" xfId="27749" xr:uid="{00000000-0005-0000-0000-0000866B0000}"/>
    <cellStyle name="Vírgula 2 3 5 7 2" xfId="33560" xr:uid="{C9B74BB1-C5FA-4E34-9F1B-DA3FD2589FBC}"/>
    <cellStyle name="Vírgula 2 3 5 8" xfId="32532" xr:uid="{5D04BD44-6433-4AFB-A255-09FFFD53AA96}"/>
    <cellStyle name="Vírgula 2 3 6" xfId="26076" xr:uid="{00000000-0005-0000-0000-0000876B0000}"/>
    <cellStyle name="Vírgula 2 3 6 2" xfId="27242" xr:uid="{00000000-0005-0000-0000-0000886B0000}"/>
    <cellStyle name="Vírgula 2 3 6 2 2" xfId="33083" xr:uid="{AE39F102-7E52-4834-B1A0-3FB5CDC6F97D}"/>
    <cellStyle name="Vírgula 2 3 6 3" xfId="27421" xr:uid="{00000000-0005-0000-0000-0000896B0000}"/>
    <cellStyle name="Vírgula 2 3 6 3 2" xfId="33258" xr:uid="{E1727C04-9062-4D1E-A2A3-ED56CA21679C}"/>
    <cellStyle name="Vírgula 2 3 6 4" xfId="27600" xr:uid="{00000000-0005-0000-0000-00008A6B0000}"/>
    <cellStyle name="Vírgula 2 3 6 4 2" xfId="33412" xr:uid="{3E3A6993-6F05-4A34-8D6C-C8442EE03FD6}"/>
    <cellStyle name="Vírgula 2 3 6 5" xfId="27751" xr:uid="{00000000-0005-0000-0000-00008B6B0000}"/>
    <cellStyle name="Vírgula 2 3 6 5 2" xfId="33562" xr:uid="{172D0702-D5E3-46C8-8365-981A6ACD61E6}"/>
    <cellStyle name="Vírgula 2 3 6 6" xfId="32950" xr:uid="{2D4517A5-9EAF-4457-AEEC-67B62C4ECB9C}"/>
    <cellStyle name="Vírgula 2 3 7" xfId="27233" xr:uid="{00000000-0005-0000-0000-00008C6B0000}"/>
    <cellStyle name="Vírgula 2 3 7 2" xfId="33074" xr:uid="{8C104DDC-EB49-41BD-BF93-3CBD11233B4C}"/>
    <cellStyle name="Vírgula 2 3 8" xfId="27412" xr:uid="{00000000-0005-0000-0000-00008D6B0000}"/>
    <cellStyle name="Vírgula 2 3 8 2" xfId="33249" xr:uid="{06669B9F-1D60-4E8D-B944-4CC19837098D}"/>
    <cellStyle name="Vírgula 2 3 9" xfId="27591" xr:uid="{00000000-0005-0000-0000-00008E6B0000}"/>
    <cellStyle name="Vírgula 2 3 9 2" xfId="33403" xr:uid="{93D877C9-5873-4852-BADF-7C04670D6F33}"/>
    <cellStyle name="Vírgula 2 4" xfId="916" xr:uid="{00000000-0005-0000-0000-00008F6B0000}"/>
    <cellStyle name="Vírgula 2 4 10" xfId="27752" xr:uid="{00000000-0005-0000-0000-0000906B0000}"/>
    <cellStyle name="Vírgula 2 4 10 2" xfId="33563" xr:uid="{EAD6605E-CAC7-492B-9CF2-B0632EE2AB80}"/>
    <cellStyle name="Vírgula 2 4 11" xfId="28131" xr:uid="{9F8DBA24-5ADB-4155-8CE2-A87E522E9A91}"/>
    <cellStyle name="Vírgula 2 4 2" xfId="917" xr:uid="{00000000-0005-0000-0000-0000916B0000}"/>
    <cellStyle name="Vírgula 2 4 2 2" xfId="918" xr:uid="{00000000-0005-0000-0000-0000926B0000}"/>
    <cellStyle name="Vírgula 2 4 2 2 2" xfId="919" xr:uid="{00000000-0005-0000-0000-0000936B0000}"/>
    <cellStyle name="Vírgula 2 4 2 2 2 2" xfId="28134" xr:uid="{536C1B3F-B8AE-4F68-BEF6-3C1A41EA0358}"/>
    <cellStyle name="Vírgula 2 4 2 2 3" xfId="27142" xr:uid="{00000000-0005-0000-0000-0000946B0000}"/>
    <cellStyle name="Vírgula 2 4 2 2 3 2" xfId="32997" xr:uid="{59A943FC-63EA-4AC5-9ABD-3BE12265CE69}"/>
    <cellStyle name="Vírgula 2 4 2 2 4" xfId="27327" xr:uid="{00000000-0005-0000-0000-0000956B0000}"/>
    <cellStyle name="Vírgula 2 4 2 2 4 2" xfId="33164" xr:uid="{7497AD65-CD25-4D8A-8871-90C559D1F2FA}"/>
    <cellStyle name="Vírgula 2 4 2 2 5" xfId="27498" xr:uid="{00000000-0005-0000-0000-0000966B0000}"/>
    <cellStyle name="Vírgula 2 4 2 2 5 2" xfId="33335" xr:uid="{03F42409-4BDD-4837-841A-111DA6C4FADE}"/>
    <cellStyle name="Vírgula 2 4 2 2 6" xfId="27667" xr:uid="{00000000-0005-0000-0000-0000976B0000}"/>
    <cellStyle name="Vírgula 2 4 2 2 6 2" xfId="33478" xr:uid="{344F462E-2557-4885-9478-1646D2CE7E0A}"/>
    <cellStyle name="Vírgula 2 4 2 2 7" xfId="27824" xr:uid="{00000000-0005-0000-0000-0000986B0000}"/>
    <cellStyle name="Vírgula 2 4 2 2 7 2" xfId="33635" xr:uid="{6FED30A7-9C4A-478B-A30D-21DCE2C24455}"/>
    <cellStyle name="Vírgula 2 4 2 2 8" xfId="28133" xr:uid="{4A221F12-5CB3-4BA0-AAE6-10E351E19C04}"/>
    <cellStyle name="Vírgula 2 4 2 3" xfId="920" xr:uid="{00000000-0005-0000-0000-0000996B0000}"/>
    <cellStyle name="Vírgula 2 4 2 3 2" xfId="28135" xr:uid="{3B4AA7A4-10AF-4A5F-920E-5872445923C6}"/>
    <cellStyle name="Vírgula 2 4 2 4" xfId="26078" xr:uid="{00000000-0005-0000-0000-00009A6B0000}"/>
    <cellStyle name="Vírgula 2 4 2 4 2" xfId="32952" xr:uid="{0DB59B07-16E8-4544-9F9C-3D6816118109}"/>
    <cellStyle name="Vírgula 2 4 2 5" xfId="27244" xr:uid="{00000000-0005-0000-0000-00009B6B0000}"/>
    <cellStyle name="Vírgula 2 4 2 5 2" xfId="33085" xr:uid="{C0B58D56-4392-41BE-85FD-970557708B1B}"/>
    <cellStyle name="Vírgula 2 4 2 6" xfId="27423" xr:uid="{00000000-0005-0000-0000-00009C6B0000}"/>
    <cellStyle name="Vírgula 2 4 2 6 2" xfId="33260" xr:uid="{EF2B042F-489F-47F5-846B-6FCB066FD344}"/>
    <cellStyle name="Vírgula 2 4 2 7" xfId="27602" xr:uid="{00000000-0005-0000-0000-00009D6B0000}"/>
    <cellStyle name="Vírgula 2 4 2 7 2" xfId="33414" xr:uid="{7FBD0411-6073-4732-819C-0436E8FF8B7E}"/>
    <cellStyle name="Vírgula 2 4 2 8" xfId="27753" xr:uid="{00000000-0005-0000-0000-00009E6B0000}"/>
    <cellStyle name="Vírgula 2 4 2 8 2" xfId="33564" xr:uid="{317BB76D-72D7-4B0F-B69D-B79E005F84E2}"/>
    <cellStyle name="Vírgula 2 4 2 9" xfId="28132" xr:uid="{0E74747B-7B8D-442D-AE05-0286E3144FF3}"/>
    <cellStyle name="Vírgula 2 4 3" xfId="921" xr:uid="{00000000-0005-0000-0000-00009F6B0000}"/>
    <cellStyle name="Vírgula 2 4 3 2" xfId="922" xr:uid="{00000000-0005-0000-0000-0000A06B0000}"/>
    <cellStyle name="Vírgula 2 4 3 2 2" xfId="28137" xr:uid="{A84F3D26-B0F3-4C9E-866A-801F7ACC04E1}"/>
    <cellStyle name="Vírgula 2 4 3 3" xfId="28136" xr:uid="{8C268A38-A5C3-4DAA-ABDA-86B8AA115D1E}"/>
    <cellStyle name="Vírgula 2 4 4" xfId="923" xr:uid="{00000000-0005-0000-0000-0000A16B0000}"/>
    <cellStyle name="Vírgula 2 4 4 2" xfId="28138" xr:uid="{14E867FD-F51B-45DE-A944-9D7C19DE4C55}"/>
    <cellStyle name="Vírgula 2 4 5" xfId="24513" xr:uid="{00000000-0005-0000-0000-0000A26B0000}"/>
    <cellStyle name="Vírgula 2 4 5 2" xfId="32533" xr:uid="{BD024143-9FB7-40D3-84A7-A4ECEA73F2F8}"/>
    <cellStyle name="Vírgula 2 4 6" xfId="26077" xr:uid="{00000000-0005-0000-0000-0000A36B0000}"/>
    <cellStyle name="Vírgula 2 4 6 2" xfId="32951" xr:uid="{051F8AB8-AD90-4577-8709-6A982A1B3755}"/>
    <cellStyle name="Vírgula 2 4 7" xfId="27243" xr:uid="{00000000-0005-0000-0000-0000A46B0000}"/>
    <cellStyle name="Vírgula 2 4 7 2" xfId="33084" xr:uid="{33759A7A-4DD9-4E62-B50E-4326A9E08CE0}"/>
    <cellStyle name="Vírgula 2 4 8" xfId="27422" xr:uid="{00000000-0005-0000-0000-0000A56B0000}"/>
    <cellStyle name="Vírgula 2 4 8 2" xfId="33259" xr:uid="{92B816D1-4744-4A6F-9B8D-66FEC6373DFE}"/>
    <cellStyle name="Vírgula 2 4 9" xfId="27601" xr:uid="{00000000-0005-0000-0000-0000A66B0000}"/>
    <cellStyle name="Vírgula 2 4 9 2" xfId="33413" xr:uid="{88656B08-26A7-43E6-8D46-2FB947602BAC}"/>
    <cellStyle name="Vírgula 2 5" xfId="924" xr:uid="{00000000-0005-0000-0000-0000A76B0000}"/>
    <cellStyle name="Vírgula 2 5 2" xfId="27143" xr:uid="{00000000-0005-0000-0000-0000A86B0000}"/>
    <cellStyle name="Vírgula 2 5 2 2" xfId="27328" xr:uid="{00000000-0005-0000-0000-0000A96B0000}"/>
    <cellStyle name="Vírgula 2 5 2 2 2" xfId="33165" xr:uid="{8B6F0794-6898-41CC-AA9B-A4336131D2C9}"/>
    <cellStyle name="Vírgula 2 5 2 3" xfId="27499" xr:uid="{00000000-0005-0000-0000-0000AA6B0000}"/>
    <cellStyle name="Vírgula 2 5 2 3 2" xfId="33336" xr:uid="{67A0E35C-2D51-43F2-B5D3-1712473D6FCB}"/>
    <cellStyle name="Vírgula 2 5 2 4" xfId="27668" xr:uid="{00000000-0005-0000-0000-0000AB6B0000}"/>
    <cellStyle name="Vírgula 2 5 2 4 2" xfId="33479" xr:uid="{7D52084B-D477-41B6-AAEA-5E67E03C83CC}"/>
    <cellStyle name="Vírgula 2 5 2 5" xfId="27825" xr:uid="{00000000-0005-0000-0000-0000AC6B0000}"/>
    <cellStyle name="Vírgula 2 5 2 5 2" xfId="33636" xr:uid="{04A2AC44-4DC1-49DD-A696-3699322D45C6}"/>
    <cellStyle name="Vírgula 2 5 2 6" xfId="32998" xr:uid="{DD9F3152-E638-4C3C-B042-B0EBBB1B9C10}"/>
    <cellStyle name="Vírgula 2 5 3" xfId="26079" xr:uid="{00000000-0005-0000-0000-0000AD6B0000}"/>
    <cellStyle name="Vírgula 2 5 3 2" xfId="32953" xr:uid="{0BA23CC7-10B1-4E0F-B2DC-9493B11884AC}"/>
    <cellStyle name="Vírgula 2 5 4" xfId="27245" xr:uid="{00000000-0005-0000-0000-0000AE6B0000}"/>
    <cellStyle name="Vírgula 2 5 4 2" xfId="33086" xr:uid="{4DED789D-0768-40B0-B9EE-7B1C02572FBD}"/>
    <cellStyle name="Vírgula 2 5 5" xfId="27424" xr:uid="{00000000-0005-0000-0000-0000AF6B0000}"/>
    <cellStyle name="Vírgula 2 5 5 2" xfId="33261" xr:uid="{1F82F602-2FC9-4DDC-AB29-FEC7CCC44854}"/>
    <cellStyle name="Vírgula 2 5 6" xfId="27603" xr:uid="{00000000-0005-0000-0000-0000B06B0000}"/>
    <cellStyle name="Vírgula 2 5 6 2" xfId="33415" xr:uid="{2B81979B-A06C-4E40-987D-7A45B64C360B}"/>
    <cellStyle name="Vírgula 2 5 7" xfId="27754" xr:uid="{00000000-0005-0000-0000-0000B16B0000}"/>
    <cellStyle name="Vírgula 2 5 7 2" xfId="33565" xr:uid="{E00D76D9-6AC7-4937-AB20-B864D0F039F0}"/>
    <cellStyle name="Vírgula 2 5 8" xfId="28139" xr:uid="{1792C336-9BC6-447B-90DC-E1D1C3271C53}"/>
    <cellStyle name="Vírgula 2 6" xfId="925" xr:uid="{00000000-0005-0000-0000-0000B26B0000}"/>
    <cellStyle name="Vírgula 2 6 2" xfId="926" xr:uid="{00000000-0005-0000-0000-0000B36B0000}"/>
    <cellStyle name="Vírgula 2 6 2 2" xfId="28141" xr:uid="{11E51D94-8D60-4597-82A2-B8953E68DEA7}"/>
    <cellStyle name="Vírgula 2 6 3" xfId="927" xr:uid="{00000000-0005-0000-0000-0000B46B0000}"/>
    <cellStyle name="Vírgula 2 6 3 2" xfId="28142" xr:uid="{E31BE8A6-53C7-43D2-9EFD-985E1158BC26}"/>
    <cellStyle name="Vírgula 2 6 4" xfId="26080" xr:uid="{00000000-0005-0000-0000-0000B56B0000}"/>
    <cellStyle name="Vírgula 2 6 4 2" xfId="32954" xr:uid="{880DA32F-D88E-42B1-A714-64619A97B38E}"/>
    <cellStyle name="Vírgula 2 6 5" xfId="27246" xr:uid="{00000000-0005-0000-0000-0000B66B0000}"/>
    <cellStyle name="Vírgula 2 6 5 2" xfId="33087" xr:uid="{9DA8AFD5-8362-4D34-962D-DE92DF429E0B}"/>
    <cellStyle name="Vírgula 2 6 6" xfId="27425" xr:uid="{00000000-0005-0000-0000-0000B76B0000}"/>
    <cellStyle name="Vírgula 2 6 6 2" xfId="33262" xr:uid="{D91C7103-ECAF-4E02-A57E-D2740E076DE5}"/>
    <cellStyle name="Vírgula 2 6 7" xfId="27604" xr:uid="{00000000-0005-0000-0000-0000B86B0000}"/>
    <cellStyle name="Vírgula 2 6 7 2" xfId="33416" xr:uid="{47A747F4-6087-4EBB-B0DC-0B58C2F62B12}"/>
    <cellStyle name="Vírgula 2 6 8" xfId="27755" xr:uid="{00000000-0005-0000-0000-0000B96B0000}"/>
    <cellStyle name="Vírgula 2 6 8 2" xfId="33566" xr:uid="{D12785AB-4C4C-4690-9EB5-BC0365886670}"/>
    <cellStyle name="Vírgula 2 6 9" xfId="28140" xr:uid="{D50E4904-8B90-4BBB-BF1E-15105D84541F}"/>
    <cellStyle name="Vírgula 2 7" xfId="928" xr:uid="{00000000-0005-0000-0000-0000BA6B0000}"/>
    <cellStyle name="Vírgula 2 7 2" xfId="26107" xr:uid="{00000000-0005-0000-0000-0000BB6B0000}"/>
    <cellStyle name="Vírgula 2 7 2 2" xfId="32981" xr:uid="{67435B97-8A50-4C9E-8A88-E427E30530E9}"/>
    <cellStyle name="Vírgula 2 7 3" xfId="27287" xr:uid="{00000000-0005-0000-0000-0000BC6B0000}"/>
    <cellStyle name="Vírgula 2 7 3 2" xfId="33127" xr:uid="{D8BB4A65-B75C-47D5-A00C-CBB46BCD2C6B}"/>
    <cellStyle name="Vírgula 2 7 4" xfId="27466" xr:uid="{00000000-0005-0000-0000-0000BD6B0000}"/>
    <cellStyle name="Vírgula 2 7 4 2" xfId="33303" xr:uid="{6755CDEF-14A8-4165-AE57-C69AEDC9CACC}"/>
    <cellStyle name="Vírgula 2 7 5" xfId="27645" xr:uid="{00000000-0005-0000-0000-0000BE6B0000}"/>
    <cellStyle name="Vírgula 2 7 5 2" xfId="33456" xr:uid="{F5725F5F-19A6-46B5-9270-518D8C309014}"/>
    <cellStyle name="Vírgula 2 7 6" xfId="27796" xr:uid="{00000000-0005-0000-0000-0000BF6B0000}"/>
    <cellStyle name="Vírgula 2 7 6 2" xfId="33607" xr:uid="{05EFE82C-87AA-463E-971F-C17A339AC098}"/>
    <cellStyle name="Vírgula 2 7 7" xfId="28143" xr:uid="{89B5AA0E-9009-46C5-B25E-10CBCC0FF648}"/>
    <cellStyle name="Vírgula 2 8" xfId="929" xr:uid="{00000000-0005-0000-0000-0000C06B0000}"/>
    <cellStyle name="Vírgula 2 8 2" xfId="27148" xr:uid="{00000000-0005-0000-0000-0000C16B0000}"/>
    <cellStyle name="Vírgula 2 8 2 2" xfId="33000" xr:uid="{D06D78A7-228B-4DE8-8847-42B1676A7663}"/>
    <cellStyle name="Vírgula 2 8 3" xfId="27502" xr:uid="{00000000-0005-0000-0000-0000C26B0000}"/>
    <cellStyle name="Vírgula 2 8 3 2" xfId="33339" xr:uid="{C47AE72F-38EC-4876-8BE6-4DDFAB18174A}"/>
    <cellStyle name="Vírgula 2 8 4" xfId="27671" xr:uid="{00000000-0005-0000-0000-0000C36B0000}"/>
    <cellStyle name="Vírgula 2 8 4 2" xfId="33482" xr:uid="{23609183-0414-4097-92CC-6A6EFC3F8AE6}"/>
    <cellStyle name="Vírgula 2 8 5" xfId="27828" xr:uid="{00000000-0005-0000-0000-0000C46B0000}"/>
    <cellStyle name="Vírgula 2 8 5 2" xfId="33639" xr:uid="{9159D363-F20E-455B-9447-6226D108680E}"/>
    <cellStyle name="Vírgula 2 8 6" xfId="28144" xr:uid="{0683803B-E90B-430C-87FF-A0FC7AC36978}"/>
    <cellStyle name="Vírgula 2 9" xfId="930" xr:uid="{00000000-0005-0000-0000-0000C56B0000}"/>
    <cellStyle name="Vírgula 3" xfId="931" xr:uid="{00000000-0005-0000-0000-0000C66B0000}"/>
    <cellStyle name="Vírgula 3 10" xfId="27605" xr:uid="{00000000-0005-0000-0000-0000C76B0000}"/>
    <cellStyle name="Vírgula 3 10 2" xfId="33417" xr:uid="{9D75B047-E0B3-4A4A-A579-1BF3C408A3B7}"/>
    <cellStyle name="Vírgula 3 11" xfId="27756" xr:uid="{00000000-0005-0000-0000-0000C86B0000}"/>
    <cellStyle name="Vírgula 3 11 2" xfId="33567" xr:uid="{D0D81D0D-0521-4CE2-85B0-ABA361AF359B}"/>
    <cellStyle name="Vírgula 3 12" xfId="28145" xr:uid="{C26010D7-A30D-4135-853B-4F1792C8D2C2}"/>
    <cellStyle name="Vírgula 3 2" xfId="932" xr:uid="{00000000-0005-0000-0000-0000C96B0000}"/>
    <cellStyle name="Vírgula 3 2 2" xfId="24515" xr:uid="{00000000-0005-0000-0000-0000CA6B0000}"/>
    <cellStyle name="Vírgula 3 2 2 2" xfId="26083" xr:uid="{00000000-0005-0000-0000-0000CB6B0000}"/>
    <cellStyle name="Vírgula 3 2 2 2 2" xfId="32957" xr:uid="{37CC18C6-CA96-4489-AF33-1F2B87A36075}"/>
    <cellStyle name="Vírgula 3 2 2 3" xfId="27249" xr:uid="{00000000-0005-0000-0000-0000CC6B0000}"/>
    <cellStyle name="Vírgula 3 2 2 3 2" xfId="33090" xr:uid="{B2CFDA1D-6398-4E6A-A1EF-D701A463F850}"/>
    <cellStyle name="Vírgula 3 2 2 4" xfId="27428" xr:uid="{00000000-0005-0000-0000-0000CD6B0000}"/>
    <cellStyle name="Vírgula 3 2 2 4 2" xfId="33265" xr:uid="{7DDF9DB2-DD30-45D8-8F58-270A6B4DA195}"/>
    <cellStyle name="Vírgula 3 2 2 5" xfId="27607" xr:uid="{00000000-0005-0000-0000-0000CE6B0000}"/>
    <cellStyle name="Vírgula 3 2 2 5 2" xfId="33419" xr:uid="{C7EF61A1-79CD-40E8-8C95-750CA5C48808}"/>
    <cellStyle name="Vírgula 3 2 2 6" xfId="27758" xr:uid="{00000000-0005-0000-0000-0000CF6B0000}"/>
    <cellStyle name="Vírgula 3 2 2 6 2" xfId="33569" xr:uid="{8936621B-5F48-4AA2-8B7D-C343133543E1}"/>
    <cellStyle name="Vírgula 3 2 3" xfId="26082" xr:uid="{00000000-0005-0000-0000-0000D06B0000}"/>
    <cellStyle name="Vírgula 3 2 3 2" xfId="32956" xr:uid="{FC3DB8F1-1EE0-4BCA-A113-3F627A8138B9}"/>
    <cellStyle name="Vírgula 3 2 4" xfId="27248" xr:uid="{00000000-0005-0000-0000-0000D16B0000}"/>
    <cellStyle name="Vírgula 3 2 4 2" xfId="33089" xr:uid="{BEF28239-B9DD-4589-B437-2BEC8546B9C4}"/>
    <cellStyle name="Vírgula 3 2 5" xfId="27427" xr:uid="{00000000-0005-0000-0000-0000D26B0000}"/>
    <cellStyle name="Vírgula 3 2 5 2" xfId="33264" xr:uid="{053E6C8E-4004-404F-9AFD-1A4659F51D25}"/>
    <cellStyle name="Vírgula 3 2 6" xfId="27606" xr:uid="{00000000-0005-0000-0000-0000D36B0000}"/>
    <cellStyle name="Vírgula 3 2 6 2" xfId="33418" xr:uid="{3D6FCFBD-D837-4734-8B3A-50022BB06A87}"/>
    <cellStyle name="Vírgula 3 2 7" xfId="27757" xr:uid="{00000000-0005-0000-0000-0000D46B0000}"/>
    <cellStyle name="Vírgula 3 2 7 2" xfId="33568" xr:uid="{2385EDD2-4695-45CC-85CE-D9B1EA9456BD}"/>
    <cellStyle name="Vírgula 3 2 8" xfId="28146" xr:uid="{DA0BAAAE-03C0-4784-B306-ACAA331EF6F6}"/>
    <cellStyle name="Vírgula 3 3" xfId="933" xr:uid="{00000000-0005-0000-0000-0000D56B0000}"/>
    <cellStyle name="Vírgula 3 3 10" xfId="28147" xr:uid="{FEC1F442-E863-4812-8FE8-3FD6E53E6E56}"/>
    <cellStyle name="Vírgula 3 3 2" xfId="934" xr:uid="{00000000-0005-0000-0000-0000D66B0000}"/>
    <cellStyle name="Vírgula 3 3 2 2" xfId="935" xr:uid="{00000000-0005-0000-0000-0000D76B0000}"/>
    <cellStyle name="Vírgula 3 3 2 2 2" xfId="28149" xr:uid="{59CF097D-3D36-475B-93D1-DA78F4DEA474}"/>
    <cellStyle name="Vírgula 3 3 2 3" xfId="26085" xr:uid="{00000000-0005-0000-0000-0000D86B0000}"/>
    <cellStyle name="Vírgula 3 3 2 3 2" xfId="32959" xr:uid="{34A66FF0-CF0E-485C-967C-B4DDFD5835C7}"/>
    <cellStyle name="Vírgula 3 3 2 4" xfId="27251" xr:uid="{00000000-0005-0000-0000-0000D96B0000}"/>
    <cellStyle name="Vírgula 3 3 2 4 2" xfId="33092" xr:uid="{E798B778-8527-4A5B-94B2-0FD425877DED}"/>
    <cellStyle name="Vírgula 3 3 2 5" xfId="27430" xr:uid="{00000000-0005-0000-0000-0000DA6B0000}"/>
    <cellStyle name="Vírgula 3 3 2 5 2" xfId="33267" xr:uid="{E30CDD09-9E80-475F-9F25-C7AFE325FDE4}"/>
    <cellStyle name="Vírgula 3 3 2 6" xfId="27609" xr:uid="{00000000-0005-0000-0000-0000DB6B0000}"/>
    <cellStyle name="Vírgula 3 3 2 6 2" xfId="33421" xr:uid="{E2D8F769-7D3E-443D-9911-B5E924F6DDBF}"/>
    <cellStyle name="Vírgula 3 3 2 7" xfId="27760" xr:uid="{00000000-0005-0000-0000-0000DC6B0000}"/>
    <cellStyle name="Vírgula 3 3 2 7 2" xfId="33571" xr:uid="{7D648B14-A018-4DFD-897B-FA5BB559F17F}"/>
    <cellStyle name="Vírgula 3 3 2 8" xfId="28148" xr:uid="{38CEA0F4-B0E0-4B31-88D3-83AAE7618316}"/>
    <cellStyle name="Vírgula 3 3 3" xfId="936" xr:uid="{00000000-0005-0000-0000-0000DD6B0000}"/>
    <cellStyle name="Vírgula 3 3 3 2" xfId="28150" xr:uid="{E4103A25-71BC-4C4B-8EF3-686E5C893BD1}"/>
    <cellStyle name="Vírgula 3 3 4" xfId="24516" xr:uid="{00000000-0005-0000-0000-0000DE6B0000}"/>
    <cellStyle name="Vírgula 3 3 4 2" xfId="32535" xr:uid="{18E2C93C-5EEF-4908-8E4A-C1CCD082FDBF}"/>
    <cellStyle name="Vírgula 3 3 5" xfId="26084" xr:uid="{00000000-0005-0000-0000-0000DF6B0000}"/>
    <cellStyle name="Vírgula 3 3 5 2" xfId="32958" xr:uid="{E6B3FC04-39AD-4069-9233-4D7AD49D5353}"/>
    <cellStyle name="Vírgula 3 3 6" xfId="27250" xr:uid="{00000000-0005-0000-0000-0000E06B0000}"/>
    <cellStyle name="Vírgula 3 3 6 2" xfId="33091" xr:uid="{4905BB46-6865-4277-8B46-7DB745E5583C}"/>
    <cellStyle name="Vírgula 3 3 7" xfId="27429" xr:uid="{00000000-0005-0000-0000-0000E16B0000}"/>
    <cellStyle name="Vírgula 3 3 7 2" xfId="33266" xr:uid="{93B4E80F-8F95-4E44-BD40-3392E8BBF4A0}"/>
    <cellStyle name="Vírgula 3 3 8" xfId="27608" xr:uid="{00000000-0005-0000-0000-0000E26B0000}"/>
    <cellStyle name="Vírgula 3 3 8 2" xfId="33420" xr:uid="{AF7444FD-25EF-4732-B22B-76450C984112}"/>
    <cellStyle name="Vírgula 3 3 9" xfId="27759" xr:uid="{00000000-0005-0000-0000-0000E36B0000}"/>
    <cellStyle name="Vírgula 3 3 9 2" xfId="33570" xr:uid="{358DE366-49DA-4978-9A75-96D79BAD0074}"/>
    <cellStyle name="Vírgula 3 4" xfId="937" xr:uid="{00000000-0005-0000-0000-0000E46B0000}"/>
    <cellStyle name="Vírgula 3 4 2" xfId="938" xr:uid="{00000000-0005-0000-0000-0000E56B0000}"/>
    <cellStyle name="Vírgula 3 4 2 2" xfId="28152" xr:uid="{BC86E4B2-26D1-4025-9EC9-DB9D8FC54863}"/>
    <cellStyle name="Vírgula 3 4 3" xfId="26086" xr:uid="{00000000-0005-0000-0000-0000E66B0000}"/>
    <cellStyle name="Vírgula 3 4 3 2" xfId="32960" xr:uid="{A730204F-B3B6-49DC-B171-C9528831AB71}"/>
    <cellStyle name="Vírgula 3 4 4" xfId="27252" xr:uid="{00000000-0005-0000-0000-0000E76B0000}"/>
    <cellStyle name="Vírgula 3 4 4 2" xfId="33093" xr:uid="{761F3BFF-B791-44C5-92FE-4932181CCF0E}"/>
    <cellStyle name="Vírgula 3 4 5" xfId="27431" xr:uid="{00000000-0005-0000-0000-0000E86B0000}"/>
    <cellStyle name="Vírgula 3 4 5 2" xfId="33268" xr:uid="{CDBDBEC4-540B-4A1E-A588-331E678FD494}"/>
    <cellStyle name="Vírgula 3 4 6" xfId="27610" xr:uid="{00000000-0005-0000-0000-0000E96B0000}"/>
    <cellStyle name="Vírgula 3 4 6 2" xfId="33422" xr:uid="{5C292651-DA89-4A6B-9DBB-DD916E61E68E}"/>
    <cellStyle name="Vírgula 3 4 7" xfId="27761" xr:uid="{00000000-0005-0000-0000-0000EA6B0000}"/>
    <cellStyle name="Vírgula 3 4 7 2" xfId="33572" xr:uid="{B25FA8A0-81CE-40C6-BAB8-11AEBA216877}"/>
    <cellStyle name="Vírgula 3 4 8" xfId="28151" xr:uid="{4BFA1729-24D1-43B9-B95E-B52B53D9E82F}"/>
    <cellStyle name="Vírgula 3 5" xfId="939" xr:uid="{00000000-0005-0000-0000-0000EB6B0000}"/>
    <cellStyle name="Vírgula 3 5 2" xfId="28153" xr:uid="{0D3DC1B4-8E76-4D56-92DD-88A0A31576AA}"/>
    <cellStyle name="Vírgula 3 6" xfId="24514" xr:uid="{00000000-0005-0000-0000-0000EC6B0000}"/>
    <cellStyle name="Vírgula 3 6 2" xfId="32534" xr:uid="{D2331C02-BCC5-478F-93F8-38AB7D1085C6}"/>
    <cellStyle name="Vírgula 3 7" xfId="26081" xr:uid="{00000000-0005-0000-0000-0000ED6B0000}"/>
    <cellStyle name="Vírgula 3 7 2" xfId="32955" xr:uid="{56F875D3-02AE-491A-A641-84EBD2A3881D}"/>
    <cellStyle name="Vírgula 3 8" xfId="27247" xr:uid="{00000000-0005-0000-0000-0000EE6B0000}"/>
    <cellStyle name="Vírgula 3 8 2" xfId="33088" xr:uid="{720F0D6E-9F8D-4FA3-A623-FB162C83FB2C}"/>
    <cellStyle name="Vírgula 3 9" xfId="27426" xr:uid="{00000000-0005-0000-0000-0000EF6B0000}"/>
    <cellStyle name="Vírgula 3 9 2" xfId="33263" xr:uid="{7842A468-7F3D-455A-A07E-FA3BF54935CE}"/>
    <cellStyle name="Vírgula 4" xfId="940" xr:uid="{00000000-0005-0000-0000-0000F06B0000}"/>
    <cellStyle name="Vírgula 4 10" xfId="27611" xr:uid="{00000000-0005-0000-0000-0000F16B0000}"/>
    <cellStyle name="Vírgula 4 10 2" xfId="33423" xr:uid="{6D979C11-1010-4EB2-8763-892D5173A067}"/>
    <cellStyle name="Vírgula 4 11" xfId="27762" xr:uid="{00000000-0005-0000-0000-0000F26B0000}"/>
    <cellStyle name="Vírgula 4 11 2" xfId="33573" xr:uid="{4E62E198-41F3-464A-954C-DA5A10971813}"/>
    <cellStyle name="Vírgula 4 12" xfId="28154" xr:uid="{32323CBF-62E3-4555-8657-FE0EEEF28FA0}"/>
    <cellStyle name="Vírgula 4 2" xfId="941" xr:uid="{00000000-0005-0000-0000-0000F36B0000}"/>
    <cellStyle name="Vírgula 4 2 10" xfId="28155" xr:uid="{63DB7025-53DB-4E14-AC7B-F56AFC53AA2B}"/>
    <cellStyle name="Vírgula 4 2 2" xfId="26088" xr:uid="{00000000-0005-0000-0000-0000F46B0000}"/>
    <cellStyle name="Vírgula 4 2 2 2" xfId="26089" xr:uid="{00000000-0005-0000-0000-0000F56B0000}"/>
    <cellStyle name="Vírgula 4 2 2 2 2" xfId="26090" xr:uid="{00000000-0005-0000-0000-0000F66B0000}"/>
    <cellStyle name="Vírgula 4 2 2 2 2 2" xfId="27257" xr:uid="{00000000-0005-0000-0000-0000F76B0000}"/>
    <cellStyle name="Vírgula 4 2 2 2 2 2 2" xfId="33098" xr:uid="{00191A32-C4C0-4A25-A78E-5A47D9881358}"/>
    <cellStyle name="Vírgula 4 2 2 2 2 3" xfId="27436" xr:uid="{00000000-0005-0000-0000-0000F86B0000}"/>
    <cellStyle name="Vírgula 4 2 2 2 2 3 2" xfId="33273" xr:uid="{4EC98956-75FA-4814-B9E9-89FA81B96E0F}"/>
    <cellStyle name="Vírgula 4 2 2 2 2 4" xfId="27615" xr:uid="{00000000-0005-0000-0000-0000F96B0000}"/>
    <cellStyle name="Vírgula 4 2 2 2 2 4 2" xfId="33427" xr:uid="{466D1E4F-3867-4E94-A97A-BB92A8B9FD1E}"/>
    <cellStyle name="Vírgula 4 2 2 2 2 5" xfId="27766" xr:uid="{00000000-0005-0000-0000-0000FA6B0000}"/>
    <cellStyle name="Vírgula 4 2 2 2 2 5 2" xfId="33577" xr:uid="{CA98C401-93F4-4DBE-8E97-BFC5BB3F80D1}"/>
    <cellStyle name="Vírgula 4 2 2 2 2 6" xfId="32964" xr:uid="{9F73E2AA-3C7F-4D94-BEE4-126CE6700335}"/>
    <cellStyle name="Vírgula 4 2 2 2 3" xfId="27256" xr:uid="{00000000-0005-0000-0000-0000FB6B0000}"/>
    <cellStyle name="Vírgula 4 2 2 2 3 2" xfId="33097" xr:uid="{E83BAACB-008E-4806-84D0-D109318A5F28}"/>
    <cellStyle name="Vírgula 4 2 2 2 4" xfId="27435" xr:uid="{00000000-0005-0000-0000-0000FC6B0000}"/>
    <cellStyle name="Vírgula 4 2 2 2 4 2" xfId="33272" xr:uid="{DEE16176-A6EA-41AB-A1DD-A36380421C58}"/>
    <cellStyle name="Vírgula 4 2 2 2 5" xfId="27614" xr:uid="{00000000-0005-0000-0000-0000FD6B0000}"/>
    <cellStyle name="Vírgula 4 2 2 2 5 2" xfId="33426" xr:uid="{D1478609-A420-453B-86DB-0410A70DA9C4}"/>
    <cellStyle name="Vírgula 4 2 2 2 6" xfId="27765" xr:uid="{00000000-0005-0000-0000-0000FE6B0000}"/>
    <cellStyle name="Vírgula 4 2 2 2 6 2" xfId="33576" xr:uid="{2D7AF1F0-16A2-454E-8F9B-B83A57968856}"/>
    <cellStyle name="Vírgula 4 2 2 2 7" xfId="32963" xr:uid="{DF679658-C5BA-4018-A08B-A8CE0F1C7430}"/>
    <cellStyle name="Vírgula 4 2 2 3" xfId="26091" xr:uid="{00000000-0005-0000-0000-0000FF6B0000}"/>
    <cellStyle name="Vírgula 4 2 2 3 2" xfId="27258" xr:uid="{00000000-0005-0000-0000-0000006C0000}"/>
    <cellStyle name="Vírgula 4 2 2 3 2 2" xfId="33099" xr:uid="{E44A4453-D901-4A2C-AC0E-5A6574123D19}"/>
    <cellStyle name="Vírgula 4 2 2 3 3" xfId="27437" xr:uid="{00000000-0005-0000-0000-0000016C0000}"/>
    <cellStyle name="Vírgula 4 2 2 3 3 2" xfId="33274" xr:uid="{5B2A4360-8EC0-4581-BA96-14A02DF5075D}"/>
    <cellStyle name="Vírgula 4 2 2 3 4" xfId="27616" xr:uid="{00000000-0005-0000-0000-0000026C0000}"/>
    <cellStyle name="Vírgula 4 2 2 3 4 2" xfId="33428" xr:uid="{FC2BD684-239F-404F-99CE-F619A6FDA4D5}"/>
    <cellStyle name="Vírgula 4 2 2 3 5" xfId="27767" xr:uid="{00000000-0005-0000-0000-0000036C0000}"/>
    <cellStyle name="Vírgula 4 2 2 3 5 2" xfId="33578" xr:uid="{D98EE781-2824-43E4-A1F1-F5D1DBFACA14}"/>
    <cellStyle name="Vírgula 4 2 2 3 6" xfId="32965" xr:uid="{895B25D0-3C91-4675-AD1D-8DECECA582C6}"/>
    <cellStyle name="Vírgula 4 2 2 4" xfId="27255" xr:uid="{00000000-0005-0000-0000-0000046C0000}"/>
    <cellStyle name="Vírgula 4 2 2 4 2" xfId="33096" xr:uid="{D4890CFB-81CE-4465-A933-967CF9887252}"/>
    <cellStyle name="Vírgula 4 2 2 5" xfId="27434" xr:uid="{00000000-0005-0000-0000-0000056C0000}"/>
    <cellStyle name="Vírgula 4 2 2 5 2" xfId="33271" xr:uid="{4E33F549-7DD5-4EEC-A73F-064F17E79069}"/>
    <cellStyle name="Vírgula 4 2 2 6" xfId="27613" xr:uid="{00000000-0005-0000-0000-0000066C0000}"/>
    <cellStyle name="Vírgula 4 2 2 6 2" xfId="33425" xr:uid="{8788EF5A-01A4-4EDC-B473-4F505715EF76}"/>
    <cellStyle name="Vírgula 4 2 2 7" xfId="27764" xr:uid="{00000000-0005-0000-0000-0000076C0000}"/>
    <cellStyle name="Vírgula 4 2 2 7 2" xfId="33575" xr:uid="{D98B2063-EBF5-4717-94E0-A56CE374D31B}"/>
    <cellStyle name="Vírgula 4 2 2 8" xfId="32962" xr:uid="{FFFC972B-6313-44BD-90B7-5FC12D15A8FB}"/>
    <cellStyle name="Vírgula 4 2 3" xfId="26092" xr:uid="{00000000-0005-0000-0000-0000086C0000}"/>
    <cellStyle name="Vírgula 4 2 3 2" xfId="26093" xr:uid="{00000000-0005-0000-0000-0000096C0000}"/>
    <cellStyle name="Vírgula 4 2 3 2 2" xfId="27260" xr:uid="{00000000-0005-0000-0000-00000A6C0000}"/>
    <cellStyle name="Vírgula 4 2 3 2 2 2" xfId="33101" xr:uid="{43DCE0D4-13B5-41D3-933F-8B61A2813E12}"/>
    <cellStyle name="Vírgula 4 2 3 2 3" xfId="27439" xr:uid="{00000000-0005-0000-0000-00000B6C0000}"/>
    <cellStyle name="Vírgula 4 2 3 2 3 2" xfId="33276" xr:uid="{B1CB8B3F-F8EB-4030-9436-CBF82DB4A453}"/>
    <cellStyle name="Vírgula 4 2 3 2 4" xfId="27618" xr:uid="{00000000-0005-0000-0000-00000C6C0000}"/>
    <cellStyle name="Vírgula 4 2 3 2 4 2" xfId="33430" xr:uid="{C3418649-DD7D-423C-9C30-2ECC4B372204}"/>
    <cellStyle name="Vírgula 4 2 3 2 5" xfId="27769" xr:uid="{00000000-0005-0000-0000-00000D6C0000}"/>
    <cellStyle name="Vírgula 4 2 3 2 5 2" xfId="33580" xr:uid="{67C1F589-9897-426D-A22C-3C93D06FC38A}"/>
    <cellStyle name="Vírgula 4 2 3 2 6" xfId="32967" xr:uid="{4528B23F-E34B-4EBD-A074-F4E01BA5D116}"/>
    <cellStyle name="Vírgula 4 2 3 3" xfId="27259" xr:uid="{00000000-0005-0000-0000-00000E6C0000}"/>
    <cellStyle name="Vírgula 4 2 3 3 2" xfId="33100" xr:uid="{E0DBB710-16A3-45F1-BE15-FC3B31FC42E9}"/>
    <cellStyle name="Vírgula 4 2 3 4" xfId="27438" xr:uid="{00000000-0005-0000-0000-00000F6C0000}"/>
    <cellStyle name="Vírgula 4 2 3 4 2" xfId="33275" xr:uid="{853F7A86-21E6-4002-AFBB-353DDC9A088E}"/>
    <cellStyle name="Vírgula 4 2 3 5" xfId="27617" xr:uid="{00000000-0005-0000-0000-0000106C0000}"/>
    <cellStyle name="Vírgula 4 2 3 5 2" xfId="33429" xr:uid="{65EC77CB-3F2B-4054-9A3A-733158EF9C5A}"/>
    <cellStyle name="Vírgula 4 2 3 6" xfId="27768" xr:uid="{00000000-0005-0000-0000-0000116C0000}"/>
    <cellStyle name="Vírgula 4 2 3 6 2" xfId="33579" xr:uid="{8E7AFE55-70B5-45CD-B233-858D53BD5718}"/>
    <cellStyle name="Vírgula 4 2 3 7" xfId="32966" xr:uid="{588C1106-C850-4105-B3BF-3AB98C595417}"/>
    <cellStyle name="Vírgula 4 2 4" xfId="26094" xr:uid="{00000000-0005-0000-0000-0000126C0000}"/>
    <cellStyle name="Vírgula 4 2 4 2" xfId="27261" xr:uid="{00000000-0005-0000-0000-0000136C0000}"/>
    <cellStyle name="Vírgula 4 2 4 2 2" xfId="33102" xr:uid="{1B94446D-8287-4982-B9BA-CDF80D26E93F}"/>
    <cellStyle name="Vírgula 4 2 4 3" xfId="27440" xr:uid="{00000000-0005-0000-0000-0000146C0000}"/>
    <cellStyle name="Vírgula 4 2 4 3 2" xfId="33277" xr:uid="{762F29DC-E4BA-40B1-B528-324CD78BC95F}"/>
    <cellStyle name="Vírgula 4 2 4 4" xfId="27619" xr:uid="{00000000-0005-0000-0000-0000156C0000}"/>
    <cellStyle name="Vírgula 4 2 4 4 2" xfId="33431" xr:uid="{D22B4E58-BC37-42B6-9F82-3CB8A45C34BB}"/>
    <cellStyle name="Vírgula 4 2 4 5" xfId="27770" xr:uid="{00000000-0005-0000-0000-0000166C0000}"/>
    <cellStyle name="Vírgula 4 2 4 5 2" xfId="33581" xr:uid="{4E3CAA8F-32CA-4708-B2B8-003BE0E11EF8}"/>
    <cellStyle name="Vírgula 4 2 4 6" xfId="32968" xr:uid="{C93313AA-770A-4C4C-8370-36905E0183F8}"/>
    <cellStyle name="Vírgula 4 2 5" xfId="26087" xr:uid="{00000000-0005-0000-0000-0000176C0000}"/>
    <cellStyle name="Vírgula 4 2 5 2" xfId="32961" xr:uid="{C2DE8996-0710-4291-ACAD-ABA626A0ADD2}"/>
    <cellStyle name="Vírgula 4 2 6" xfId="27254" xr:uid="{00000000-0005-0000-0000-0000186C0000}"/>
    <cellStyle name="Vírgula 4 2 6 2" xfId="33095" xr:uid="{D9613885-2E36-4A8B-9C97-C981D6527326}"/>
    <cellStyle name="Vírgula 4 2 7" xfId="27433" xr:uid="{00000000-0005-0000-0000-0000196C0000}"/>
    <cellStyle name="Vírgula 4 2 7 2" xfId="33270" xr:uid="{8B831985-98AB-4132-B294-8567E3F85919}"/>
    <cellStyle name="Vírgula 4 2 8" xfId="27612" xr:uid="{00000000-0005-0000-0000-00001A6C0000}"/>
    <cellStyle name="Vírgula 4 2 8 2" xfId="33424" xr:uid="{68449458-606E-4797-AA8D-595C520C7CE6}"/>
    <cellStyle name="Vírgula 4 2 9" xfId="27763" xr:uid="{00000000-0005-0000-0000-00001B6C0000}"/>
    <cellStyle name="Vírgula 4 2 9 2" xfId="33574" xr:uid="{D958B06E-0306-4601-B0D3-0B68FED7FB7A}"/>
    <cellStyle name="Vírgula 4 3" xfId="942" xr:uid="{00000000-0005-0000-0000-00001C6C0000}"/>
    <cellStyle name="Vírgula 4 3 2" xfId="943" xr:uid="{00000000-0005-0000-0000-00001D6C0000}"/>
    <cellStyle name="Vírgula 4 3 2 2" xfId="944" xr:uid="{00000000-0005-0000-0000-00001E6C0000}"/>
    <cellStyle name="Vírgula 4 3 2 2 2" xfId="27264" xr:uid="{00000000-0005-0000-0000-00001F6C0000}"/>
    <cellStyle name="Vírgula 4 3 2 2 2 2" xfId="33105" xr:uid="{9B5130B8-37C8-49D9-9D2B-716C27432CCF}"/>
    <cellStyle name="Vírgula 4 3 2 2 3" xfId="27443" xr:uid="{00000000-0005-0000-0000-0000206C0000}"/>
    <cellStyle name="Vírgula 4 3 2 2 3 2" xfId="33280" xr:uid="{C9E18517-EE9F-4D49-A4E9-5F9084E79C22}"/>
    <cellStyle name="Vírgula 4 3 2 2 4" xfId="27622" xr:uid="{00000000-0005-0000-0000-0000216C0000}"/>
    <cellStyle name="Vírgula 4 3 2 2 4 2" xfId="33434" xr:uid="{09521784-41D1-4CAD-8A45-E3495FB916A8}"/>
    <cellStyle name="Vírgula 4 3 2 2 5" xfId="27773" xr:uid="{00000000-0005-0000-0000-0000226C0000}"/>
    <cellStyle name="Vírgula 4 3 2 2 5 2" xfId="33584" xr:uid="{3548F92F-B190-498F-A5DE-0B5BA456819D}"/>
    <cellStyle name="Vírgula 4 3 2 2 6" xfId="28158" xr:uid="{09C48B56-F33A-4BB3-988E-DBCEFD9417EF}"/>
    <cellStyle name="Vírgula 4 3 2 3" xfId="27263" xr:uid="{00000000-0005-0000-0000-0000236C0000}"/>
    <cellStyle name="Vírgula 4 3 2 3 2" xfId="33104" xr:uid="{5B8DC92D-C470-4CB7-B0BD-30C4EDE73D0F}"/>
    <cellStyle name="Vírgula 4 3 2 4" xfId="27442" xr:uid="{00000000-0005-0000-0000-0000246C0000}"/>
    <cellStyle name="Vírgula 4 3 2 4 2" xfId="33279" xr:uid="{C3A40705-F765-4349-9F05-E3BAA530D8A2}"/>
    <cellStyle name="Vírgula 4 3 2 5" xfId="27621" xr:uid="{00000000-0005-0000-0000-0000256C0000}"/>
    <cellStyle name="Vírgula 4 3 2 5 2" xfId="33433" xr:uid="{85535184-447E-41BD-BB7D-A4A90BB7842A}"/>
    <cellStyle name="Vírgula 4 3 2 6" xfId="27772" xr:uid="{00000000-0005-0000-0000-0000266C0000}"/>
    <cellStyle name="Vírgula 4 3 2 6 2" xfId="33583" xr:uid="{96A8E9F9-A967-4281-9018-D78B8986A50C}"/>
    <cellStyle name="Vírgula 4 3 2 7" xfId="28157" xr:uid="{25251EAA-13B1-4927-BA1E-19E1A97BBB94}"/>
    <cellStyle name="Vírgula 4 3 3" xfId="945" xr:uid="{00000000-0005-0000-0000-0000276C0000}"/>
    <cellStyle name="Vírgula 4 3 3 2" xfId="27265" xr:uid="{00000000-0005-0000-0000-0000286C0000}"/>
    <cellStyle name="Vírgula 4 3 3 2 2" xfId="33106" xr:uid="{EE9C6B98-631B-4563-A3F2-807A7EECA1C8}"/>
    <cellStyle name="Vírgula 4 3 3 3" xfId="27444" xr:uid="{00000000-0005-0000-0000-0000296C0000}"/>
    <cellStyle name="Vírgula 4 3 3 3 2" xfId="33281" xr:uid="{5C021D16-2C02-40E9-A0DE-14751E9F432A}"/>
    <cellStyle name="Vírgula 4 3 3 4" xfId="27623" xr:uid="{00000000-0005-0000-0000-00002A6C0000}"/>
    <cellStyle name="Vírgula 4 3 3 4 2" xfId="33435" xr:uid="{234FB6C9-C237-4372-A12A-FC3778108F2C}"/>
    <cellStyle name="Vírgula 4 3 3 5" xfId="27774" xr:uid="{00000000-0005-0000-0000-00002B6C0000}"/>
    <cellStyle name="Vírgula 4 3 3 5 2" xfId="33585" xr:uid="{4EB9C177-02AF-4E95-9681-3A82B881FCB0}"/>
    <cellStyle name="Vírgula 4 3 3 6" xfId="28159" xr:uid="{E89F666B-E957-45EA-A6B6-E5490F20534E}"/>
    <cellStyle name="Vírgula 4 3 4" xfId="27262" xr:uid="{00000000-0005-0000-0000-00002C6C0000}"/>
    <cellStyle name="Vírgula 4 3 4 2" xfId="33103" xr:uid="{977D0B79-28BA-48EE-A914-C9CDE7D6CB18}"/>
    <cellStyle name="Vírgula 4 3 5" xfId="27441" xr:uid="{00000000-0005-0000-0000-00002D6C0000}"/>
    <cellStyle name="Vírgula 4 3 5 2" xfId="33278" xr:uid="{E10A4E42-A7EE-4DB8-AC2B-A6B6F10507B9}"/>
    <cellStyle name="Vírgula 4 3 6" xfId="27620" xr:uid="{00000000-0005-0000-0000-00002E6C0000}"/>
    <cellStyle name="Vírgula 4 3 6 2" xfId="33432" xr:uid="{E7E2BCD8-1027-4D96-A7AA-F4D5052181C1}"/>
    <cellStyle name="Vírgula 4 3 7" xfId="27771" xr:uid="{00000000-0005-0000-0000-00002F6C0000}"/>
    <cellStyle name="Vírgula 4 3 7 2" xfId="33582" xr:uid="{DDA9E934-C5FB-4925-B049-2983A9B9551F}"/>
    <cellStyle name="Vírgula 4 3 8" xfId="28156" xr:uid="{7C5073BA-4FAC-43C3-ACB2-BD3DDEEA00F3}"/>
    <cellStyle name="Vírgula 4 4" xfId="946" xr:uid="{00000000-0005-0000-0000-0000306C0000}"/>
    <cellStyle name="Vírgula 4 4 2" xfId="947" xr:uid="{00000000-0005-0000-0000-0000316C0000}"/>
    <cellStyle name="Vírgula 4 4 2 2" xfId="26095" xr:uid="{00000000-0005-0000-0000-0000326C0000}"/>
    <cellStyle name="Vírgula 4 4 2 2 2" xfId="27268" xr:uid="{00000000-0005-0000-0000-0000336C0000}"/>
    <cellStyle name="Vírgula 4 4 2 2 2 2" xfId="33109" xr:uid="{E4E36026-D0D1-4556-B1A0-ABC19DABB2ED}"/>
    <cellStyle name="Vírgula 4 4 2 2 3" xfId="27447" xr:uid="{00000000-0005-0000-0000-0000346C0000}"/>
    <cellStyle name="Vírgula 4 4 2 2 3 2" xfId="33284" xr:uid="{83D14A0A-DC16-4CF4-86B2-326CD660FA19}"/>
    <cellStyle name="Vírgula 4 4 2 2 4" xfId="27626" xr:uid="{00000000-0005-0000-0000-0000356C0000}"/>
    <cellStyle name="Vírgula 4 4 2 2 4 2" xfId="33438" xr:uid="{250BC10D-E8DD-481D-8F90-43BC6852CF4A}"/>
    <cellStyle name="Vírgula 4 4 2 2 5" xfId="27777" xr:uid="{00000000-0005-0000-0000-0000366C0000}"/>
    <cellStyle name="Vírgula 4 4 2 2 5 2" xfId="33588" xr:uid="{D0453CCC-795E-43F6-9F76-9C47C80C32AE}"/>
    <cellStyle name="Vírgula 4 4 2 2 6" xfId="32969" xr:uid="{34759A39-03EE-4982-9B16-09B997C193F3}"/>
    <cellStyle name="Vírgula 4 4 2 3" xfId="27267" xr:uid="{00000000-0005-0000-0000-0000376C0000}"/>
    <cellStyle name="Vírgula 4 4 2 3 2" xfId="33108" xr:uid="{FB08A0B0-9056-41A8-A50C-613315EBA45A}"/>
    <cellStyle name="Vírgula 4 4 2 4" xfId="27446" xr:uid="{00000000-0005-0000-0000-0000386C0000}"/>
    <cellStyle name="Vírgula 4 4 2 4 2" xfId="33283" xr:uid="{D10BAAD0-B070-41B9-AAED-DE6ABB9E4094}"/>
    <cellStyle name="Vírgula 4 4 2 5" xfId="27625" xr:uid="{00000000-0005-0000-0000-0000396C0000}"/>
    <cellStyle name="Vírgula 4 4 2 5 2" xfId="33437" xr:uid="{239AE810-DBFE-44E4-9B0D-7239DF96AC26}"/>
    <cellStyle name="Vírgula 4 4 2 6" xfId="27776" xr:uid="{00000000-0005-0000-0000-00003A6C0000}"/>
    <cellStyle name="Vírgula 4 4 2 6 2" xfId="33587" xr:uid="{5C0304C0-866F-48E6-91D3-DF2D4D8E59F6}"/>
    <cellStyle name="Vírgula 4 4 2 7" xfId="28161" xr:uid="{8CFAD274-6219-4666-AC03-49821546845B}"/>
    <cellStyle name="Vírgula 4 4 3" xfId="26096" xr:uid="{00000000-0005-0000-0000-00003B6C0000}"/>
    <cellStyle name="Vírgula 4 4 3 2" xfId="27269" xr:uid="{00000000-0005-0000-0000-00003C6C0000}"/>
    <cellStyle name="Vírgula 4 4 3 2 2" xfId="33110" xr:uid="{69F3A8F7-2D5F-443A-9FDD-53D3F9F08AB7}"/>
    <cellStyle name="Vírgula 4 4 3 3" xfId="27448" xr:uid="{00000000-0005-0000-0000-00003D6C0000}"/>
    <cellStyle name="Vírgula 4 4 3 3 2" xfId="33285" xr:uid="{AA69D073-94F6-4BD0-898F-0FE8DC9CA10E}"/>
    <cellStyle name="Vírgula 4 4 3 4" xfId="27627" xr:uid="{00000000-0005-0000-0000-00003E6C0000}"/>
    <cellStyle name="Vírgula 4 4 3 4 2" xfId="33439" xr:uid="{C5AF2237-8E77-4CA1-B8F9-43F40DB156D8}"/>
    <cellStyle name="Vírgula 4 4 3 5" xfId="27778" xr:uid="{00000000-0005-0000-0000-00003F6C0000}"/>
    <cellStyle name="Vírgula 4 4 3 5 2" xfId="33589" xr:uid="{388AEC9A-72C9-4375-8FEA-154CB3C75563}"/>
    <cellStyle name="Vírgula 4 4 3 6" xfId="32970" xr:uid="{BEE2253B-BA1D-4959-9BE5-E4541DF2D1E7}"/>
    <cellStyle name="Vírgula 4 4 4" xfId="27266" xr:uid="{00000000-0005-0000-0000-0000406C0000}"/>
    <cellStyle name="Vírgula 4 4 4 2" xfId="33107" xr:uid="{B2C93323-A280-4685-B50E-D89525C5BBB1}"/>
    <cellStyle name="Vírgula 4 4 5" xfId="27445" xr:uid="{00000000-0005-0000-0000-0000416C0000}"/>
    <cellStyle name="Vírgula 4 4 5 2" xfId="33282" xr:uid="{C0D6C6F0-0256-4116-8B74-53B5DE5F4C15}"/>
    <cellStyle name="Vírgula 4 4 6" xfId="27624" xr:uid="{00000000-0005-0000-0000-0000426C0000}"/>
    <cellStyle name="Vírgula 4 4 6 2" xfId="33436" xr:uid="{19E970A4-79BC-4302-AA4F-3357072D3E60}"/>
    <cellStyle name="Vírgula 4 4 7" xfId="27775" xr:uid="{00000000-0005-0000-0000-0000436C0000}"/>
    <cellStyle name="Vírgula 4 4 7 2" xfId="33586" xr:uid="{844CC04F-D033-4FD3-8A72-2421A58F9EA7}"/>
    <cellStyle name="Vírgula 4 4 8" xfId="28160" xr:uid="{1DD8FE38-588A-457C-9255-C61C8A23A2CE}"/>
    <cellStyle name="Vírgula 4 5" xfId="948" xr:uid="{00000000-0005-0000-0000-0000446C0000}"/>
    <cellStyle name="Vírgula 4 5 2" xfId="26097" xr:uid="{00000000-0005-0000-0000-0000456C0000}"/>
    <cellStyle name="Vírgula 4 5 2 2" xfId="32971" xr:uid="{D0ACEE4B-C36D-4811-8D5E-D1914D66E224}"/>
    <cellStyle name="Vírgula 4 5 3" xfId="27270" xr:uid="{00000000-0005-0000-0000-0000466C0000}"/>
    <cellStyle name="Vírgula 4 5 3 2" xfId="33111" xr:uid="{1F8B285B-1585-4C28-B10B-9D1033515A74}"/>
    <cellStyle name="Vírgula 4 5 4" xfId="27449" xr:uid="{00000000-0005-0000-0000-0000476C0000}"/>
    <cellStyle name="Vírgula 4 5 4 2" xfId="33286" xr:uid="{137F1874-90A0-4E5A-90CD-D3A1A515F60C}"/>
    <cellStyle name="Vírgula 4 5 5" xfId="27628" xr:uid="{00000000-0005-0000-0000-0000486C0000}"/>
    <cellStyle name="Vírgula 4 5 5 2" xfId="33440" xr:uid="{BC85992E-D1FA-43E5-AE97-0BECFDD1EE0A}"/>
    <cellStyle name="Vírgula 4 5 6" xfId="27779" xr:uid="{00000000-0005-0000-0000-0000496C0000}"/>
    <cellStyle name="Vírgula 4 5 6 2" xfId="33590" xr:uid="{3B486952-C001-4744-847B-9C43A5A88784}"/>
    <cellStyle name="Vírgula 4 6" xfId="949" xr:uid="{00000000-0005-0000-0000-00004A6C0000}"/>
    <cellStyle name="Vírgula 4 6 2" xfId="26098" xr:uid="{00000000-0005-0000-0000-00004B6C0000}"/>
    <cellStyle name="Vírgula 4 6 2 2" xfId="32972" xr:uid="{788A7B0B-AD82-49DF-A4BC-A9DFBE3F088B}"/>
    <cellStyle name="Vírgula 4 6 3" xfId="27271" xr:uid="{00000000-0005-0000-0000-00004C6C0000}"/>
    <cellStyle name="Vírgula 4 6 3 2" xfId="33112" xr:uid="{4D3578F9-D525-497D-98EF-F137F6B53D39}"/>
    <cellStyle name="Vírgula 4 6 4" xfId="27450" xr:uid="{00000000-0005-0000-0000-00004D6C0000}"/>
    <cellStyle name="Vírgula 4 6 4 2" xfId="33287" xr:uid="{5D35FA89-ED0D-4A3E-BCA6-9CAE476B15F5}"/>
    <cellStyle name="Vírgula 4 6 5" xfId="27629" xr:uid="{00000000-0005-0000-0000-00004E6C0000}"/>
    <cellStyle name="Vírgula 4 6 5 2" xfId="33441" xr:uid="{D88992CB-BA65-42CC-9473-A2A086B58FB7}"/>
    <cellStyle name="Vírgula 4 6 6" xfId="27780" xr:uid="{00000000-0005-0000-0000-00004F6C0000}"/>
    <cellStyle name="Vírgula 4 6 6 2" xfId="33591" xr:uid="{224C7DB9-6C91-44EE-97BB-7757E905BF0C}"/>
    <cellStyle name="Vírgula 4 6 7" xfId="28162" xr:uid="{AB3C171A-4781-435D-B541-2A17C677A135}"/>
    <cellStyle name="Vírgula 4 7" xfId="24517" xr:uid="{00000000-0005-0000-0000-0000506C0000}"/>
    <cellStyle name="Vírgula 4 7 2" xfId="26100" xr:uid="{00000000-0005-0000-0000-0000516C0000}"/>
    <cellStyle name="Vírgula 4 7 2 2" xfId="27273" xr:uid="{00000000-0005-0000-0000-0000526C0000}"/>
    <cellStyle name="Vírgula 4 7 2 2 2" xfId="33114" xr:uid="{9A52046A-79AF-4436-BA02-AC139261D896}"/>
    <cellStyle name="Vírgula 4 7 2 3" xfId="27452" xr:uid="{00000000-0005-0000-0000-0000536C0000}"/>
    <cellStyle name="Vírgula 4 7 2 3 2" xfId="33289" xr:uid="{15A5FE50-3C3A-4758-BD42-26D667D99A05}"/>
    <cellStyle name="Vírgula 4 7 2 4" xfId="27631" xr:uid="{00000000-0005-0000-0000-0000546C0000}"/>
    <cellStyle name="Vírgula 4 7 2 4 2" xfId="33443" xr:uid="{8CB450DF-10D5-482E-A7F0-9ECC6497B86E}"/>
    <cellStyle name="Vírgula 4 7 2 5" xfId="27782" xr:uid="{00000000-0005-0000-0000-0000556C0000}"/>
    <cellStyle name="Vírgula 4 7 2 5 2" xfId="33593" xr:uid="{6DABC8F2-AE4C-47E8-AF10-9EC9F1F5C020}"/>
    <cellStyle name="Vírgula 4 7 2 6" xfId="32974" xr:uid="{46B308E7-6EED-4B70-98FD-08FBFDC68DC4}"/>
    <cellStyle name="Vírgula 4 7 3" xfId="26099" xr:uid="{00000000-0005-0000-0000-0000566C0000}"/>
    <cellStyle name="Vírgula 4 7 3 2" xfId="32973" xr:uid="{3DB83CC0-2B8D-4B11-89EC-44DED4A831D7}"/>
    <cellStyle name="Vírgula 4 7 4" xfId="27272" xr:uid="{00000000-0005-0000-0000-0000576C0000}"/>
    <cellStyle name="Vírgula 4 7 4 2" xfId="33113" xr:uid="{A9AE3390-CDA5-4D0F-91C5-5BC60FD3709A}"/>
    <cellStyle name="Vírgula 4 7 5" xfId="27451" xr:uid="{00000000-0005-0000-0000-0000586C0000}"/>
    <cellStyle name="Vírgula 4 7 5 2" xfId="33288" xr:uid="{DDE93B67-AC89-41B3-AB6E-48C882B20F3B}"/>
    <cellStyle name="Vírgula 4 7 6" xfId="27630" xr:uid="{00000000-0005-0000-0000-0000596C0000}"/>
    <cellStyle name="Vírgula 4 7 6 2" xfId="33442" xr:uid="{F8D1B18C-3F78-4062-BBA3-C37A456FF4C7}"/>
    <cellStyle name="Vírgula 4 7 7" xfId="27781" xr:uid="{00000000-0005-0000-0000-00005A6C0000}"/>
    <cellStyle name="Vírgula 4 7 7 2" xfId="33592" xr:uid="{5C0619C3-72B8-477F-818F-EF1D5E7C6A8B}"/>
    <cellStyle name="Vírgula 4 7 8" xfId="32536" xr:uid="{5E38E4C2-5442-4E6F-AE15-BEF153DF43CE}"/>
    <cellStyle name="Vírgula 4 8" xfId="27253" xr:uid="{00000000-0005-0000-0000-00005B6C0000}"/>
    <cellStyle name="Vírgula 4 8 2" xfId="33094" xr:uid="{FBB3768C-EA3E-4659-9578-CF16881DCDB5}"/>
    <cellStyle name="Vírgula 4 9" xfId="27432" xr:uid="{00000000-0005-0000-0000-00005C6C0000}"/>
    <cellStyle name="Vírgula 4 9 2" xfId="33269" xr:uid="{1E289797-515F-4C65-913F-08622FAA7869}"/>
    <cellStyle name="Vírgula 5" xfId="950" xr:uid="{00000000-0005-0000-0000-00005D6C0000}"/>
    <cellStyle name="Vírgula 5 10" xfId="27632" xr:uid="{00000000-0005-0000-0000-00005E6C0000}"/>
    <cellStyle name="Vírgula 5 10 2" xfId="33444" xr:uid="{FFC92CBD-0BDB-4A03-9874-E36970AE0477}"/>
    <cellStyle name="Vírgula 5 11" xfId="27783" xr:uid="{00000000-0005-0000-0000-00005F6C0000}"/>
    <cellStyle name="Vírgula 5 11 2" xfId="33594" xr:uid="{E7A497BF-4949-42A7-9598-BAF20772DD12}"/>
    <cellStyle name="Vírgula 5 12" xfId="28163" xr:uid="{CBA0BC3A-3F47-49F6-ACAB-896D0EA462C1}"/>
    <cellStyle name="Vírgula 5 2" xfId="951" xr:uid="{00000000-0005-0000-0000-0000606C0000}"/>
    <cellStyle name="Vírgula 5 2 2" xfId="26103" xr:uid="{00000000-0005-0000-0000-0000616C0000}"/>
    <cellStyle name="Vírgula 5 2 2 2" xfId="27276" xr:uid="{00000000-0005-0000-0000-0000626C0000}"/>
    <cellStyle name="Vírgula 5 2 2 2 2" xfId="33117" xr:uid="{5C5AC419-45D5-4E09-A856-2C31D90DC2E8}"/>
    <cellStyle name="Vírgula 5 2 2 3" xfId="27455" xr:uid="{00000000-0005-0000-0000-0000636C0000}"/>
    <cellStyle name="Vírgula 5 2 2 3 2" xfId="33292" xr:uid="{FB5E7E38-432A-4393-8485-FE3F8F22602C}"/>
    <cellStyle name="Vírgula 5 2 2 4" xfId="27634" xr:uid="{00000000-0005-0000-0000-0000646C0000}"/>
    <cellStyle name="Vírgula 5 2 2 4 2" xfId="33446" xr:uid="{07651DF0-9CBB-47AD-A249-2EC45362BF34}"/>
    <cellStyle name="Vírgula 5 2 2 5" xfId="27785" xr:uid="{00000000-0005-0000-0000-0000656C0000}"/>
    <cellStyle name="Vírgula 5 2 2 5 2" xfId="33596" xr:uid="{07E83C9C-5F0F-4FD8-B475-F04C697E0B4D}"/>
    <cellStyle name="Vírgula 5 2 2 6" xfId="32977" xr:uid="{4E48DF8F-81C5-4163-B86C-7582DD859133}"/>
    <cellStyle name="Vírgula 5 2 3" xfId="26102" xr:uid="{00000000-0005-0000-0000-0000666C0000}"/>
    <cellStyle name="Vírgula 5 2 3 2" xfId="32976" xr:uid="{316AA263-73ED-4D72-8279-711910493110}"/>
    <cellStyle name="Vírgula 5 2 4" xfId="27275" xr:uid="{00000000-0005-0000-0000-0000676C0000}"/>
    <cellStyle name="Vírgula 5 2 4 2" xfId="33116" xr:uid="{F3698BDF-6D7E-43AC-8BDB-AAC8642BD30C}"/>
    <cellStyle name="Vírgula 5 2 5" xfId="27454" xr:uid="{00000000-0005-0000-0000-0000686C0000}"/>
    <cellStyle name="Vírgula 5 2 5 2" xfId="33291" xr:uid="{801BAB40-3922-4410-A002-9D6E43B0A33E}"/>
    <cellStyle name="Vírgula 5 2 6" xfId="27633" xr:uid="{00000000-0005-0000-0000-0000696C0000}"/>
    <cellStyle name="Vírgula 5 2 6 2" xfId="33445" xr:uid="{3D6B6E0F-B476-476C-97B4-01771B2D5271}"/>
    <cellStyle name="Vírgula 5 2 7" xfId="27784" xr:uid="{00000000-0005-0000-0000-00006A6C0000}"/>
    <cellStyle name="Vírgula 5 2 7 2" xfId="33595" xr:uid="{B522B368-2B3E-4B8F-B721-CD6E99AC5913}"/>
    <cellStyle name="Vírgula 5 2 8" xfId="28164" xr:uid="{861DA048-E9BE-4E3D-9E85-C623DE5AD447}"/>
    <cellStyle name="Vírgula 5 3" xfId="952" xr:uid="{00000000-0005-0000-0000-00006B6C0000}"/>
    <cellStyle name="Vírgula 5 3 2" xfId="953" xr:uid="{00000000-0005-0000-0000-00006C6C0000}"/>
    <cellStyle name="Vírgula 5 3 2 2" xfId="954" xr:uid="{00000000-0005-0000-0000-00006D6C0000}"/>
    <cellStyle name="Vírgula 5 3 2 2 2" xfId="28167" xr:uid="{AB280AEB-A023-4FE8-BAB5-CE573657D4BA}"/>
    <cellStyle name="Vírgula 5 3 2 3" xfId="27278" xr:uid="{00000000-0005-0000-0000-00006E6C0000}"/>
    <cellStyle name="Vírgula 5 3 2 3 2" xfId="33119" xr:uid="{C4180627-2A16-4772-9053-0C430ED7D800}"/>
    <cellStyle name="Vírgula 5 3 2 4" xfId="27457" xr:uid="{00000000-0005-0000-0000-00006F6C0000}"/>
    <cellStyle name="Vírgula 5 3 2 4 2" xfId="33294" xr:uid="{1BFAB85E-F1E5-48FA-962D-2DE32368F326}"/>
    <cellStyle name="Vírgula 5 3 2 5" xfId="27636" xr:uid="{00000000-0005-0000-0000-0000706C0000}"/>
    <cellStyle name="Vírgula 5 3 2 5 2" xfId="33448" xr:uid="{112CA6E8-7AAC-4710-AAB4-6435CC4929BA}"/>
    <cellStyle name="Vírgula 5 3 2 6" xfId="27787" xr:uid="{00000000-0005-0000-0000-0000716C0000}"/>
    <cellStyle name="Vírgula 5 3 2 6 2" xfId="33598" xr:uid="{018E4C28-A9CF-4798-B809-D2B291F4372A}"/>
    <cellStyle name="Vírgula 5 3 2 7" xfId="28166" xr:uid="{4AB1F4C0-2195-4CAF-B5F0-BA1B92898ED7}"/>
    <cellStyle name="Vírgula 5 3 3" xfId="955" xr:uid="{00000000-0005-0000-0000-0000726C0000}"/>
    <cellStyle name="Vírgula 5 3 3 2" xfId="28168" xr:uid="{AE7C51BC-DC71-487D-A3AD-FFB20F241B6C}"/>
    <cellStyle name="Vírgula 5 3 4" xfId="27277" xr:uid="{00000000-0005-0000-0000-0000736C0000}"/>
    <cellStyle name="Vírgula 5 3 4 2" xfId="33118" xr:uid="{D495803E-2D8D-4E13-8009-ADD8ECB85242}"/>
    <cellStyle name="Vírgula 5 3 5" xfId="27456" xr:uid="{00000000-0005-0000-0000-0000746C0000}"/>
    <cellStyle name="Vírgula 5 3 5 2" xfId="33293" xr:uid="{9C466765-02D4-4018-BADE-B88513E4A1ED}"/>
    <cellStyle name="Vírgula 5 3 6" xfId="27635" xr:uid="{00000000-0005-0000-0000-0000756C0000}"/>
    <cellStyle name="Vírgula 5 3 6 2" xfId="33447" xr:uid="{3807202A-267F-4194-B69C-C5C28BCE1AAC}"/>
    <cellStyle name="Vírgula 5 3 7" xfId="27786" xr:uid="{00000000-0005-0000-0000-0000766C0000}"/>
    <cellStyle name="Vírgula 5 3 7 2" xfId="33597" xr:uid="{E7117F95-DDCC-40F8-A89B-096295531404}"/>
    <cellStyle name="Vírgula 5 3 8" xfId="28165" xr:uid="{0896730A-1F52-4103-A879-69D61B908B5A}"/>
    <cellStyle name="Vírgula 5 4" xfId="956" xr:uid="{00000000-0005-0000-0000-0000776C0000}"/>
    <cellStyle name="Vírgula 5 4 2" xfId="957" xr:uid="{00000000-0005-0000-0000-0000786C0000}"/>
    <cellStyle name="Vírgula 5 4 2 2" xfId="28170" xr:uid="{09E8E3F1-4412-4519-8EE9-94E36972CE8C}"/>
    <cellStyle name="Vírgula 5 4 3" xfId="28169" xr:uid="{D40E7AAB-48B7-40D2-A3F1-F619CD0F1618}"/>
    <cellStyle name="Vírgula 5 5" xfId="958" xr:uid="{00000000-0005-0000-0000-0000796C0000}"/>
    <cellStyle name="Vírgula 5 5 2" xfId="28171" xr:uid="{F59E08F5-FB6E-46A7-BBF3-53019E84CBAB}"/>
    <cellStyle name="Vírgula 5 6" xfId="24518" xr:uid="{00000000-0005-0000-0000-00007A6C0000}"/>
    <cellStyle name="Vírgula 5 6 2" xfId="32537" xr:uid="{07E0BC76-7619-4BE0-8A33-AEC13667DA56}"/>
    <cellStyle name="Vírgula 5 7" xfId="26101" xr:uid="{00000000-0005-0000-0000-00007B6C0000}"/>
    <cellStyle name="Vírgula 5 7 2" xfId="32975" xr:uid="{C381341A-0B47-4773-AAB5-F0E9293C7303}"/>
    <cellStyle name="Vírgula 5 8" xfId="27274" xr:uid="{00000000-0005-0000-0000-00007C6C0000}"/>
    <cellStyle name="Vírgula 5 8 2" xfId="33115" xr:uid="{B86EF542-1B51-47C0-BDF7-E48503E96811}"/>
    <cellStyle name="Vírgula 5 9" xfId="27453" xr:uid="{00000000-0005-0000-0000-00007D6C0000}"/>
    <cellStyle name="Vírgula 5 9 2" xfId="33290" xr:uid="{B4FAF0DC-0CAD-4852-9D6A-ACA4D46F8743}"/>
    <cellStyle name="Vírgula 6" xfId="959" xr:uid="{00000000-0005-0000-0000-00007E6C0000}"/>
    <cellStyle name="Vírgula 6 10" xfId="27788" xr:uid="{00000000-0005-0000-0000-00007F6C0000}"/>
    <cellStyle name="Vírgula 6 10 2" xfId="33599" xr:uid="{1D9D2F43-13FC-4579-A26D-1F7614F0C4FD}"/>
    <cellStyle name="Vírgula 6 11" xfId="28172" xr:uid="{353C981B-AF56-4296-985C-51A9760FBF15}"/>
    <cellStyle name="Vírgula 6 2" xfId="960" xr:uid="{00000000-0005-0000-0000-0000806C0000}"/>
    <cellStyle name="Vírgula 6 2 2" xfId="961" xr:uid="{00000000-0005-0000-0000-0000816C0000}"/>
    <cellStyle name="Vírgula 6 2 2 2" xfId="962" xr:uid="{00000000-0005-0000-0000-0000826C0000}"/>
    <cellStyle name="Vírgula 6 2 2 2 2" xfId="28175" xr:uid="{ECF65918-2934-4252-9B77-2A3E3A830503}"/>
    <cellStyle name="Vírgula 6 2 2 3" xfId="27281" xr:uid="{00000000-0005-0000-0000-0000836C0000}"/>
    <cellStyle name="Vírgula 6 2 2 3 2" xfId="33122" xr:uid="{E97F3B47-44AC-430A-A844-123ED937B623}"/>
    <cellStyle name="Vírgula 6 2 2 4" xfId="27460" xr:uid="{00000000-0005-0000-0000-0000846C0000}"/>
    <cellStyle name="Vírgula 6 2 2 4 2" xfId="33297" xr:uid="{82FC7C05-29A4-4699-A74D-2211B3DDABB0}"/>
    <cellStyle name="Vírgula 6 2 2 5" xfId="27639" xr:uid="{00000000-0005-0000-0000-0000856C0000}"/>
    <cellStyle name="Vírgula 6 2 2 5 2" xfId="33451" xr:uid="{3C8F9B11-3096-4EA3-BB3E-9C877B132EA1}"/>
    <cellStyle name="Vírgula 6 2 2 6" xfId="27790" xr:uid="{00000000-0005-0000-0000-0000866C0000}"/>
    <cellStyle name="Vírgula 6 2 2 6 2" xfId="33601" xr:uid="{8FE1217B-2A4A-495C-84B7-B8F1A0314F4B}"/>
    <cellStyle name="Vírgula 6 2 2 7" xfId="28174" xr:uid="{F04BA856-0AF2-4C49-AE73-9FC9EC86E8FD}"/>
    <cellStyle name="Vírgula 6 2 3" xfId="963" xr:uid="{00000000-0005-0000-0000-0000876C0000}"/>
    <cellStyle name="Vírgula 6 2 3 2" xfId="28176" xr:uid="{9D99607C-2C0A-4305-857E-3059ECBA0F09}"/>
    <cellStyle name="Vírgula 6 2 4" xfId="27280" xr:uid="{00000000-0005-0000-0000-0000886C0000}"/>
    <cellStyle name="Vírgula 6 2 4 2" xfId="33121" xr:uid="{5AB8AD0F-C7BB-45C4-9945-3A6E010A43D8}"/>
    <cellStyle name="Vírgula 6 2 5" xfId="27459" xr:uid="{00000000-0005-0000-0000-0000896C0000}"/>
    <cellStyle name="Vírgula 6 2 5 2" xfId="33296" xr:uid="{7784DB21-B889-49AC-A9FB-C605742C5A74}"/>
    <cellStyle name="Vírgula 6 2 6" xfId="27638" xr:uid="{00000000-0005-0000-0000-00008A6C0000}"/>
    <cellStyle name="Vírgula 6 2 6 2" xfId="33450" xr:uid="{81F9349A-A292-4068-9D6E-125DC4FBBAFE}"/>
    <cellStyle name="Vírgula 6 2 7" xfId="27789" xr:uid="{00000000-0005-0000-0000-00008B6C0000}"/>
    <cellStyle name="Vírgula 6 2 7 2" xfId="33600" xr:uid="{9E80343C-DE16-4239-99C4-F4CADE50D17C}"/>
    <cellStyle name="Vírgula 6 2 8" xfId="28173" xr:uid="{4C95785D-40EC-4ED5-BFD1-132F76FF7062}"/>
    <cellStyle name="Vírgula 6 3" xfId="964" xr:uid="{00000000-0005-0000-0000-00008C6C0000}"/>
    <cellStyle name="Vírgula 6 3 2" xfId="965" xr:uid="{00000000-0005-0000-0000-00008D6C0000}"/>
    <cellStyle name="Vírgula 6 3 2 2" xfId="28178" xr:uid="{C2E81DFF-1A70-4072-BA68-418C7DC49D4D}"/>
    <cellStyle name="Vírgula 6 3 3" xfId="28177" xr:uid="{36EA63E2-E4FA-4610-8E60-AE3F3ED9CBA7}"/>
    <cellStyle name="Vírgula 6 4" xfId="966" xr:uid="{00000000-0005-0000-0000-00008E6C0000}"/>
    <cellStyle name="Vírgula 6 4 2" xfId="28179" xr:uid="{EE698B0B-62DC-4D44-AE85-65C71078AC1C}"/>
    <cellStyle name="Vírgula 6 5" xfId="24519" xr:uid="{00000000-0005-0000-0000-00008F6C0000}"/>
    <cellStyle name="Vírgula 6 5 2" xfId="32538" xr:uid="{4DA2F863-D27A-45AB-9187-55F1038BCD80}"/>
    <cellStyle name="Vírgula 6 6" xfId="26104" xr:uid="{00000000-0005-0000-0000-0000906C0000}"/>
    <cellStyle name="Vírgula 6 6 2" xfId="32978" xr:uid="{60A076B6-936C-4852-8614-77D3A4CADFD7}"/>
    <cellStyle name="Vírgula 6 7" xfId="27279" xr:uid="{00000000-0005-0000-0000-0000916C0000}"/>
    <cellStyle name="Vírgula 6 7 2" xfId="33120" xr:uid="{CBF2E086-16BB-4F0B-920E-828CC6013A56}"/>
    <cellStyle name="Vírgula 6 8" xfId="27458" xr:uid="{00000000-0005-0000-0000-0000926C0000}"/>
    <cellStyle name="Vírgula 6 8 2" xfId="33295" xr:uid="{276461AD-4983-4160-B039-5EB2C8B526AD}"/>
    <cellStyle name="Vírgula 6 9" xfId="27637" xr:uid="{00000000-0005-0000-0000-0000936C0000}"/>
    <cellStyle name="Vírgula 6 9 2" xfId="33449" xr:uid="{A5A62FEE-53D8-4044-AAEC-A14CA14BD8C3}"/>
    <cellStyle name="Vírgula 7" xfId="967" xr:uid="{00000000-0005-0000-0000-0000946C0000}"/>
    <cellStyle name="Vírgula 7 2" xfId="968" xr:uid="{00000000-0005-0000-0000-0000956C0000}"/>
    <cellStyle name="Vírgula 7 2 2" xfId="27283" xr:uid="{00000000-0005-0000-0000-0000966C0000}"/>
    <cellStyle name="Vírgula 7 2 2 2" xfId="33124" xr:uid="{F38B0FEE-BCE2-46F7-B7F6-6A5405BBBD5C}"/>
    <cellStyle name="Vírgula 7 2 3" xfId="27462" xr:uid="{00000000-0005-0000-0000-0000976C0000}"/>
    <cellStyle name="Vírgula 7 2 3 2" xfId="33299" xr:uid="{A2F5A523-1CF6-4648-AF27-62DD9FA948CD}"/>
    <cellStyle name="Vírgula 7 2 4" xfId="27641" xr:uid="{00000000-0005-0000-0000-0000986C0000}"/>
    <cellStyle name="Vírgula 7 2 4 2" xfId="33453" xr:uid="{B11589AB-888E-4418-B5C3-364F94D070A8}"/>
    <cellStyle name="Vírgula 7 2 5" xfId="27792" xr:uid="{00000000-0005-0000-0000-0000996C0000}"/>
    <cellStyle name="Vírgula 7 2 5 2" xfId="33603" xr:uid="{EDAE8290-C93A-4F1A-804F-FC84E291CBD4}"/>
    <cellStyle name="Vírgula 7 2 6" xfId="28181" xr:uid="{AEFBE6DA-6D6F-4447-899E-6EF944629ABE}"/>
    <cellStyle name="Vírgula 7 3" xfId="969" xr:uid="{00000000-0005-0000-0000-00009A6C0000}"/>
    <cellStyle name="Vírgula 7 3 2" xfId="28182" xr:uid="{C1F3F61F-E652-4165-83DD-0781AFEAB7EF}"/>
    <cellStyle name="Vírgula 7 4" xfId="24520" xr:uid="{00000000-0005-0000-0000-00009B6C0000}"/>
    <cellStyle name="Vírgula 7 4 2" xfId="32539" xr:uid="{997AD4E4-ECA1-42D5-95C4-0B684AC48BAD}"/>
    <cellStyle name="Vírgula 7 5" xfId="27282" xr:uid="{00000000-0005-0000-0000-00009C6C0000}"/>
    <cellStyle name="Vírgula 7 5 2" xfId="33123" xr:uid="{415577D8-DF7E-492F-A45D-0AC64865185D}"/>
    <cellStyle name="Vírgula 7 6" xfId="27461" xr:uid="{00000000-0005-0000-0000-00009D6C0000}"/>
    <cellStyle name="Vírgula 7 6 2" xfId="33298" xr:uid="{894C3163-03BD-43E8-B70C-364238CC9484}"/>
    <cellStyle name="Vírgula 7 7" xfId="27640" xr:uid="{00000000-0005-0000-0000-00009E6C0000}"/>
    <cellStyle name="Vírgula 7 7 2" xfId="33452" xr:uid="{E7E7F5A0-AECE-479C-845E-69C344E27B28}"/>
    <cellStyle name="Vírgula 7 8" xfId="27791" xr:uid="{00000000-0005-0000-0000-00009F6C0000}"/>
    <cellStyle name="Vírgula 7 8 2" xfId="33602" xr:uid="{B5DB008E-2A38-4591-BFC5-7B1A639EE429}"/>
    <cellStyle name="Vírgula 7 9" xfId="28180" xr:uid="{2FD163AF-B666-4CA8-AF6E-0EA3B88ABFF7}"/>
    <cellStyle name="Vírgula 8" xfId="970" xr:uid="{00000000-0005-0000-0000-0000A06C0000}"/>
    <cellStyle name="Vírgula 8 10" xfId="27793" xr:uid="{00000000-0005-0000-0000-0000A16C0000}"/>
    <cellStyle name="Vírgula 8 10 2" xfId="33604" xr:uid="{C3DCA465-BEAA-416D-8F5D-2E755EE81754}"/>
    <cellStyle name="Vírgula 8 11" xfId="28183" xr:uid="{BFF80B5D-CCC1-4A49-84E5-58E92C1D2994}"/>
    <cellStyle name="Vírgula 8 2" xfId="971" xr:uid="{00000000-0005-0000-0000-0000A26C0000}"/>
    <cellStyle name="Vírgula 8 2 2" xfId="28184" xr:uid="{C161ECAD-9463-4EAD-A969-7151C307D30D}"/>
    <cellStyle name="Vírgula 8 3" xfId="972" xr:uid="{00000000-0005-0000-0000-0000A36C0000}"/>
    <cellStyle name="Vírgula 8 3 2" xfId="28185" xr:uid="{4CCE6CE9-59C6-42D5-979E-A099DF21C152}"/>
    <cellStyle name="Vírgula 8 4" xfId="24521" xr:uid="{00000000-0005-0000-0000-0000A46C0000}"/>
    <cellStyle name="Vírgula 8 4 2" xfId="32540" xr:uid="{3C846436-3B1D-4C2C-80DD-76817A6F2BF6}"/>
    <cellStyle name="Vírgula 8 5" xfId="26105" xr:uid="{00000000-0005-0000-0000-0000A56C0000}"/>
    <cellStyle name="Vírgula 8 5 2" xfId="32979" xr:uid="{B640552D-CC4C-466A-B704-7339F4BC9BBA}"/>
    <cellStyle name="Vírgula 8 6" xfId="27284" xr:uid="{00000000-0005-0000-0000-0000A66C0000}"/>
    <cellStyle name="Vírgula 8 6 2" xfId="33125" xr:uid="{ED002150-0AD0-4F1C-88A5-B0B45C8B3798}"/>
    <cellStyle name="Vírgula 8 7" xfId="27305" xr:uid="{00000000-0005-0000-0000-0000A76C0000}"/>
    <cellStyle name="Vírgula 8 8" xfId="27463" xr:uid="{00000000-0005-0000-0000-0000A86C0000}"/>
    <cellStyle name="Vírgula 8 8 2" xfId="33300" xr:uid="{7E023F2F-4162-4542-80F9-CEFD16EB8ACA}"/>
    <cellStyle name="Vírgula 8 9" xfId="27642" xr:uid="{00000000-0005-0000-0000-0000A96C0000}"/>
    <cellStyle name="Vírgula 8 9 2" xfId="33454" xr:uid="{FC435482-D1F3-42AB-B6AE-01A2682E4471}"/>
    <cellStyle name="Vírgula 9" xfId="973" xr:uid="{00000000-0005-0000-0000-0000AA6C0000}"/>
    <cellStyle name="Vírgula 9 2" xfId="24522" xr:uid="{00000000-0005-0000-0000-0000AB6C0000}"/>
    <cellStyle name="Vírgula 9 2 2" xfId="32541" xr:uid="{397C6036-B677-432B-9CED-DED863B086F6}"/>
    <cellStyle name="Vírgula 9 3" xfId="26106" xr:uid="{00000000-0005-0000-0000-0000AC6C0000}"/>
    <cellStyle name="Vírgula 9 3 2" xfId="32980" xr:uid="{8CB14EA7-94AB-4EAE-88B3-14D94A63FFA9}"/>
    <cellStyle name="Vírgula 9 4" xfId="27286" xr:uid="{00000000-0005-0000-0000-0000AD6C0000}"/>
    <cellStyle name="Vírgula 9 4 2" xfId="33126" xr:uid="{8B118593-1CB8-4BA6-952F-638A3F8F8AB8}"/>
    <cellStyle name="Vírgula 9 5" xfId="27465" xr:uid="{00000000-0005-0000-0000-0000AE6C0000}"/>
    <cellStyle name="Vírgula 9 5 2" xfId="33302" xr:uid="{7FACEAF0-5462-4D21-8766-DC3A1AAEDD3C}"/>
    <cellStyle name="Vírgula 9 6" xfId="27644" xr:uid="{00000000-0005-0000-0000-0000AF6C0000}"/>
    <cellStyle name="Vírgula 9 6 2" xfId="33455" xr:uid="{F345619A-EC42-4C2B-AFFE-B3C6FE3DAE4A}"/>
    <cellStyle name="Vírgula 9 7" xfId="27795" xr:uid="{00000000-0005-0000-0000-0000B06C0000}"/>
    <cellStyle name="Vírgula 9 7 2" xfId="33606" xr:uid="{F4BC44FE-8038-47BB-AF1E-67A010859B6A}"/>
    <cellStyle name="Vírgula 9 8" xfId="28186" xr:uid="{93981320-2C0E-47C7-A406-2D496B756825}"/>
    <cellStyle name="Vírgula0" xfId="24523" xr:uid="{00000000-0005-0000-0000-0000B16C0000}"/>
    <cellStyle name="Währung" xfId="24524" xr:uid="{00000000-0005-0000-0000-0000B26C0000}"/>
    <cellStyle name="Währung 2" xfId="24525" xr:uid="{00000000-0005-0000-0000-0000B36C0000}"/>
    <cellStyle name="Währung 3" xfId="24526" xr:uid="{00000000-0005-0000-0000-0000B46C0000}"/>
    <cellStyle name="Warning Text" xfId="974" xr:uid="{00000000-0005-0000-0000-0000B56C0000}"/>
    <cellStyle name="Warning Text 2" xfId="24528" xr:uid="{00000000-0005-0000-0000-0000B66C0000}"/>
    <cellStyle name="Warning Text 3" xfId="24529" xr:uid="{00000000-0005-0000-0000-0000B76C0000}"/>
    <cellStyle name="표준_1424D_list_020301" xfId="24530" xr:uid="{00000000-0005-0000-0000-0000B86C0000}"/>
    <cellStyle name="桁区切り_資金繰表" xfId="24531" xr:uid="{00000000-0005-0000-0000-0000B96C0000}"/>
    <cellStyle name="標準_資金繰表" xfId="24532" xr:uid="{00000000-0005-0000-0000-0000BA6C0000}"/>
  </cellStyles>
  <dxfs count="9">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1A983"/>
      <color rgb="FFBE5014"/>
      <color rgb="FFD86DCD"/>
      <color rgb="FFFFFF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Radio" checked="Checked" firstButton="1" fmlaLink="P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8" Type="http://schemas.openxmlformats.org/officeDocument/2006/relationships/hyperlink" Target="#Porf&#243;lio!A1"/><Relationship Id="rId3" Type="http://schemas.openxmlformats.org/officeDocument/2006/relationships/image" Target="../media/image2.png"/><Relationship Id="rId7" Type="http://schemas.openxmlformats.org/officeDocument/2006/relationships/hyperlink" Target="#'Balan&#231;o Proforma'!A1"/><Relationship Id="rId2" Type="http://schemas.openxmlformats.org/officeDocument/2006/relationships/hyperlink" Target="#'DRE - IFRS'!A1"/><Relationship Id="rId1" Type="http://schemas.openxmlformats.org/officeDocument/2006/relationships/image" Target="../media/image1.png"/><Relationship Id="rId6" Type="http://schemas.openxmlformats.org/officeDocument/2006/relationships/hyperlink" Target="#'Balan&#231;o IFRS'!A1"/><Relationship Id="rId5" Type="http://schemas.openxmlformats.org/officeDocument/2006/relationships/hyperlink" Target="#Indicadores!A1"/><Relationship Id="rId10" Type="http://schemas.openxmlformats.org/officeDocument/2006/relationships/hyperlink" Target="#Vac&#226;ncia!A1"/><Relationship Id="rId4" Type="http://schemas.openxmlformats.org/officeDocument/2006/relationships/hyperlink" Target="#'DRE - Proforma'!A1"/><Relationship Id="rId9" Type="http://schemas.openxmlformats.org/officeDocument/2006/relationships/hyperlink" Target="#'Consolida&#231;&#227;o IFRS'!A1"/></Relationships>
</file>

<file path=xl/drawings/_rels/drawing2.xml.rels><?xml version="1.0" encoding="UTF-8" standalone="yes"?>
<Relationships xmlns="http://schemas.openxmlformats.org/package/2006/relationships"><Relationship Id="rId2" Type="http://schemas.openxmlformats.org/officeDocument/2006/relationships/hyperlink" Target="#'Sum&#225;rio | Summary'!A1"/><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7.xml.rels><?xml version="1.0" encoding="UTF-8" standalone="yes"?>
<Relationships xmlns="http://schemas.openxmlformats.org/package/2006/relationships"><Relationship Id="rId2" Type="http://schemas.openxmlformats.org/officeDocument/2006/relationships/hyperlink" Target="#'Sum&#225;rio | Summary'!A1"/><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Sum&#225;rio | Summary'!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0</xdr:colOff>
      <xdr:row>21</xdr:row>
      <xdr:rowOff>0</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screen">
          <a:grayscl/>
          <a:extLst>
            <a:ext uri="{28A0092B-C50C-407E-A947-70E740481C1C}">
              <a14:useLocalDpi xmlns:a14="http://schemas.microsoft.com/office/drawing/2010/main"/>
            </a:ext>
          </a:extLst>
        </a:blip>
        <a:srcRect b="15572"/>
        <a:stretch/>
      </xdr:blipFill>
      <xdr:spPr>
        <a:xfrm>
          <a:off x="0" y="0"/>
          <a:ext cx="6223000" cy="3867150"/>
        </a:xfrm>
        <a:prstGeom prst="rect">
          <a:avLst/>
        </a:prstGeom>
      </xdr:spPr>
    </xdr:pic>
    <xdr:clientData/>
  </xdr:twoCellAnchor>
  <xdr:twoCellAnchor>
    <xdr:from>
      <xdr:col>0</xdr:col>
      <xdr:colOff>0</xdr:colOff>
      <xdr:row>0</xdr:row>
      <xdr:rowOff>0</xdr:rowOff>
    </xdr:from>
    <xdr:to>
      <xdr:col>10</xdr:col>
      <xdr:colOff>0</xdr:colOff>
      <xdr:row>21</xdr:row>
      <xdr:rowOff>0</xdr:rowOff>
    </xdr:to>
    <xdr:sp macro="" textlink="">
      <xdr:nvSpPr>
        <xdr:cNvPr id="5" name="Retângulo 4">
          <a:extLst>
            <a:ext uri="{FF2B5EF4-FFF2-40B4-BE49-F238E27FC236}">
              <a16:creationId xmlns:a16="http://schemas.microsoft.com/office/drawing/2014/main" id="{00000000-0008-0000-0000-000005000000}"/>
            </a:ext>
          </a:extLst>
        </xdr:cNvPr>
        <xdr:cNvSpPr/>
      </xdr:nvSpPr>
      <xdr:spPr>
        <a:xfrm>
          <a:off x="0" y="0"/>
          <a:ext cx="6248400" cy="3840480"/>
        </a:xfrm>
        <a:prstGeom prst="rect">
          <a:avLst/>
        </a:prstGeom>
        <a:solidFill>
          <a:srgbClr val="000000">
            <a:alpha val="6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pt-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pt-BR"/>
        </a:p>
      </xdr:txBody>
    </xdr:sp>
    <xdr:clientData/>
  </xdr:twoCellAnchor>
  <xdr:twoCellAnchor>
    <xdr:from>
      <xdr:col>1</xdr:col>
      <xdr:colOff>239118</xdr:colOff>
      <xdr:row>4</xdr:row>
      <xdr:rowOff>186039</xdr:rowOff>
    </xdr:from>
    <xdr:to>
      <xdr:col>3</xdr:col>
      <xdr:colOff>454332</xdr:colOff>
      <xdr:row>7</xdr:row>
      <xdr:rowOff>30002</xdr:rowOff>
    </xdr:to>
    <xdr:sp macro="" textlink="">
      <xdr:nvSpPr>
        <xdr:cNvPr id="4" name="Retângulo: Cantos Arredondados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848718" y="948039"/>
          <a:ext cx="1434414"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DRE -</a:t>
          </a:r>
          <a:r>
            <a:rPr lang="pt-BR" sz="900" b="0" i="0" baseline="0">
              <a:solidFill>
                <a:sysClr val="windowText" lastClr="000000"/>
              </a:solidFill>
              <a:latin typeface="Klavika Light" panose="02000506040000020004" pitchFamily="50" charset="0"/>
              <a:cs typeface="Poppins" panose="00000500000000000000" pitchFamily="2" charset="0"/>
            </a:rPr>
            <a:t> IFRS</a:t>
          </a:r>
        </a:p>
        <a:p>
          <a:pPr algn="ctr"/>
          <a:r>
            <a:rPr lang="pt-BR" sz="900" b="0" i="0" baseline="0">
              <a:solidFill>
                <a:sysClr val="windowText" lastClr="000000"/>
              </a:solidFill>
              <a:latin typeface="Klavika Light" panose="02000506040000020004" pitchFamily="50" charset="0"/>
              <a:cs typeface="Poppins" panose="00000500000000000000" pitchFamily="2" charset="0"/>
            </a:rPr>
            <a:t>Income Statement - IFRS</a:t>
          </a:r>
          <a:endParaRPr lang="pt-BR" sz="900" b="0" i="0">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0</xdr:col>
      <xdr:colOff>31954</xdr:colOff>
      <xdr:row>0</xdr:row>
      <xdr:rowOff>9867</xdr:rowOff>
    </xdr:from>
    <xdr:to>
      <xdr:col>1</xdr:col>
      <xdr:colOff>300293</xdr:colOff>
      <xdr:row>1</xdr:row>
      <xdr:rowOff>152401</xdr:rowOff>
    </xdr:to>
    <xdr:pic>
      <xdr:nvPicPr>
        <xdr:cNvPr id="7" name="Imagem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8115" t="29255" r="15190" b="38498"/>
        <a:stretch>
          <a:fillRect/>
        </a:stretch>
      </xdr:blipFill>
      <xdr:spPr>
        <a:xfrm>
          <a:off x="31954" y="9867"/>
          <a:ext cx="892687" cy="324431"/>
        </a:xfrm>
        <a:prstGeom prst="rect">
          <a:avLst/>
        </a:prstGeom>
      </xdr:spPr>
    </xdr:pic>
    <xdr:clientData/>
  </xdr:twoCellAnchor>
  <xdr:twoCellAnchor>
    <xdr:from>
      <xdr:col>1</xdr:col>
      <xdr:colOff>234356</xdr:colOff>
      <xdr:row>8</xdr:row>
      <xdr:rowOff>122572</xdr:rowOff>
    </xdr:from>
    <xdr:to>
      <xdr:col>3</xdr:col>
      <xdr:colOff>455004</xdr:colOff>
      <xdr:row>10</xdr:row>
      <xdr:rowOff>155659</xdr:rowOff>
    </xdr:to>
    <xdr:sp macro="" textlink="">
      <xdr:nvSpPr>
        <xdr:cNvPr id="8" name="Retângulo: Cantos Arredondados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843956" y="1646572"/>
          <a:ext cx="1439848" cy="414087"/>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a:solidFill>
                <a:sysClr val="windowText" lastClr="000000"/>
              </a:solidFill>
              <a:latin typeface="Klavika Light" panose="02000506040000020004" pitchFamily="50" charset="0"/>
              <a:cs typeface="Poppins" panose="00000500000000000000" pitchFamily="2" charset="0"/>
            </a:rPr>
            <a:t>DRE -</a:t>
          </a:r>
          <a:r>
            <a:rPr lang="pt-BR" sz="900" b="0" baseline="0">
              <a:solidFill>
                <a:sysClr val="windowText" lastClr="000000"/>
              </a:solidFill>
              <a:latin typeface="Klavika Light" panose="02000506040000020004" pitchFamily="50" charset="0"/>
              <a:cs typeface="Poppins" panose="00000500000000000000" pitchFamily="2" charset="0"/>
            </a:rPr>
            <a:t> Proforma</a:t>
          </a:r>
        </a:p>
        <a:p>
          <a:pPr algn="ctr"/>
          <a:r>
            <a:rPr lang="pt-BR" sz="900" b="0" i="1" baseline="0">
              <a:solidFill>
                <a:sysClr val="windowText" lastClr="000000"/>
              </a:solidFill>
              <a:latin typeface="Klavika Light" panose="02000506040000020004" pitchFamily="50" charset="0"/>
              <a:cs typeface="Poppins" panose="00000500000000000000" pitchFamily="2" charset="0"/>
            </a:rPr>
            <a:t>Income Statement - Proforma</a:t>
          </a:r>
          <a:endParaRPr lang="pt-BR" sz="9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xdr:from>
      <xdr:col>1</xdr:col>
      <xdr:colOff>234356</xdr:colOff>
      <xdr:row>12</xdr:row>
      <xdr:rowOff>57729</xdr:rowOff>
    </xdr:from>
    <xdr:to>
      <xdr:col>3</xdr:col>
      <xdr:colOff>455004</xdr:colOff>
      <xdr:row>14</xdr:row>
      <xdr:rowOff>90816</xdr:rowOff>
    </xdr:to>
    <xdr:sp macro="" textlink="">
      <xdr:nvSpPr>
        <xdr:cNvPr id="9" name="Retângulo: Cantos Arredondados 8">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843956" y="2343729"/>
          <a:ext cx="1439848" cy="414087"/>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Indicadores</a:t>
          </a:r>
        </a:p>
        <a:p>
          <a:pPr algn="ctr"/>
          <a:r>
            <a:rPr lang="pt-BR" sz="900" b="0" i="0">
              <a:solidFill>
                <a:sysClr val="windowText" lastClr="000000"/>
              </a:solidFill>
              <a:latin typeface="Klavika Light" panose="02000506040000020004" pitchFamily="50" charset="0"/>
              <a:cs typeface="Poppins" panose="00000500000000000000" pitchFamily="2" charset="0"/>
            </a:rPr>
            <a:t>KPI's</a:t>
          </a:r>
        </a:p>
      </xdr:txBody>
    </xdr:sp>
    <xdr:clientData/>
  </xdr:twoCellAnchor>
  <xdr:twoCellAnchor>
    <xdr:from>
      <xdr:col>5</xdr:col>
      <xdr:colOff>131777</xdr:colOff>
      <xdr:row>5</xdr:row>
      <xdr:rowOff>22753</xdr:rowOff>
    </xdr:from>
    <xdr:to>
      <xdr:col>7</xdr:col>
      <xdr:colOff>352425</xdr:colOff>
      <xdr:row>7</xdr:row>
      <xdr:rowOff>57216</xdr:rowOff>
    </xdr:to>
    <xdr:sp macro="" textlink="">
      <xdr:nvSpPr>
        <xdr:cNvPr id="10" name="Retângulo: Cantos Arredondados 9">
          <a:hlinkClick xmlns:r="http://schemas.openxmlformats.org/officeDocument/2006/relationships" r:id="rId6"/>
          <a:extLst>
            <a:ext uri="{FF2B5EF4-FFF2-40B4-BE49-F238E27FC236}">
              <a16:creationId xmlns:a16="http://schemas.microsoft.com/office/drawing/2014/main" id="{00000000-0008-0000-0000-00000A000000}"/>
            </a:ext>
          </a:extLst>
        </xdr:cNvPr>
        <xdr:cNvSpPr/>
      </xdr:nvSpPr>
      <xdr:spPr>
        <a:xfrm>
          <a:off x="3179777" y="975253"/>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Balanço - IFRS</a:t>
          </a:r>
        </a:p>
        <a:p>
          <a:pPr algn="ctr"/>
          <a:r>
            <a:rPr lang="pt-BR" sz="900" b="0" i="0">
              <a:solidFill>
                <a:sysClr val="windowText" lastClr="000000"/>
              </a:solidFill>
              <a:latin typeface="Klavika Light" panose="02000506040000020004" pitchFamily="50" charset="0"/>
              <a:cs typeface="Poppins" panose="00000500000000000000" pitchFamily="2" charset="0"/>
            </a:rPr>
            <a:t>Balance</a:t>
          </a:r>
          <a:r>
            <a:rPr lang="pt-BR" sz="900" b="0" i="0" baseline="0">
              <a:solidFill>
                <a:sysClr val="windowText" lastClr="000000"/>
              </a:solidFill>
              <a:latin typeface="Klavika Light" panose="02000506040000020004" pitchFamily="50" charset="0"/>
              <a:cs typeface="Poppins" panose="00000500000000000000" pitchFamily="2" charset="0"/>
            </a:rPr>
            <a:t> S</a:t>
          </a:r>
          <a:r>
            <a:rPr lang="pt-BR" sz="900" b="0" i="0">
              <a:solidFill>
                <a:sysClr val="windowText" lastClr="000000"/>
              </a:solidFill>
              <a:latin typeface="Klavika Light" panose="02000506040000020004" pitchFamily="50" charset="0"/>
              <a:cs typeface="Poppins" panose="00000500000000000000" pitchFamily="2" charset="0"/>
            </a:rPr>
            <a:t>heet</a:t>
          </a:r>
          <a:r>
            <a:rPr lang="pt-BR" sz="900" b="0" i="0" baseline="0">
              <a:solidFill>
                <a:sysClr val="windowText" lastClr="000000"/>
              </a:solidFill>
              <a:latin typeface="Klavika Light" panose="02000506040000020004" pitchFamily="50" charset="0"/>
              <a:cs typeface="Poppins" panose="00000500000000000000" pitchFamily="2" charset="0"/>
            </a:rPr>
            <a:t> - IFRS</a:t>
          </a:r>
          <a:endParaRPr lang="pt-BR" sz="900" b="0" i="0">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xdr:from>
      <xdr:col>5</xdr:col>
      <xdr:colOff>131777</xdr:colOff>
      <xdr:row>8</xdr:row>
      <xdr:rowOff>149786</xdr:rowOff>
    </xdr:from>
    <xdr:to>
      <xdr:col>7</xdr:col>
      <xdr:colOff>352425</xdr:colOff>
      <xdr:row>10</xdr:row>
      <xdr:rowOff>182873</xdr:rowOff>
    </xdr:to>
    <xdr:sp macro="" textlink="">
      <xdr:nvSpPr>
        <xdr:cNvPr id="11" name="Retângulo: Cantos Arredondados 10">
          <a:hlinkClick xmlns:r="http://schemas.openxmlformats.org/officeDocument/2006/relationships" r:id="rId7"/>
          <a:extLst>
            <a:ext uri="{FF2B5EF4-FFF2-40B4-BE49-F238E27FC236}">
              <a16:creationId xmlns:a16="http://schemas.microsoft.com/office/drawing/2014/main" id="{00000000-0008-0000-0000-00000B000000}"/>
            </a:ext>
          </a:extLst>
        </xdr:cNvPr>
        <xdr:cNvSpPr/>
      </xdr:nvSpPr>
      <xdr:spPr>
        <a:xfrm>
          <a:off x="3179777" y="1673786"/>
          <a:ext cx="1439848" cy="414087"/>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a:solidFill>
                <a:sysClr val="windowText" lastClr="000000"/>
              </a:solidFill>
              <a:latin typeface="Klavika Light" panose="02000506040000020004" pitchFamily="50" charset="0"/>
              <a:cs typeface="Poppins" panose="00000500000000000000" pitchFamily="2" charset="0"/>
            </a:rPr>
            <a:t>Balanço - </a:t>
          </a:r>
          <a:r>
            <a:rPr lang="pt-BR" sz="900" b="0" i="0">
              <a:solidFill>
                <a:sysClr val="windowText" lastClr="000000"/>
              </a:solidFill>
              <a:latin typeface="Klavika Light" panose="02000506040000020004" pitchFamily="50" charset="0"/>
              <a:cs typeface="Poppins" panose="00000500000000000000" pitchFamily="2" charset="0"/>
            </a:rPr>
            <a:t>Proforma</a:t>
          </a:r>
        </a:p>
        <a:p>
          <a:pPr algn="ctr"/>
          <a:r>
            <a:rPr lang="pt-BR" sz="900" b="0" i="0">
              <a:solidFill>
                <a:sysClr val="windowText" lastClr="000000"/>
              </a:solidFill>
              <a:latin typeface="Klavika Light" panose="02000506040000020004" pitchFamily="50" charset="0"/>
              <a:cs typeface="Poppins" panose="00000500000000000000" pitchFamily="2" charset="0"/>
            </a:rPr>
            <a:t>Balance Sheet - Proforma</a:t>
          </a:r>
        </a:p>
      </xdr:txBody>
    </xdr:sp>
    <xdr:clientData/>
  </xdr:twoCellAnchor>
  <xdr:twoCellAnchor>
    <xdr:from>
      <xdr:col>5</xdr:col>
      <xdr:colOff>131777</xdr:colOff>
      <xdr:row>12</xdr:row>
      <xdr:rowOff>84943</xdr:rowOff>
    </xdr:from>
    <xdr:to>
      <xdr:col>7</xdr:col>
      <xdr:colOff>352425</xdr:colOff>
      <xdr:row>14</xdr:row>
      <xdr:rowOff>118030</xdr:rowOff>
    </xdr:to>
    <xdr:sp macro="" textlink="">
      <xdr:nvSpPr>
        <xdr:cNvPr id="12" name="Retângulo: Cantos Arredondados 11">
          <a:hlinkClick xmlns:r="http://schemas.openxmlformats.org/officeDocument/2006/relationships" r:id="rId8"/>
          <a:extLst>
            <a:ext uri="{FF2B5EF4-FFF2-40B4-BE49-F238E27FC236}">
              <a16:creationId xmlns:a16="http://schemas.microsoft.com/office/drawing/2014/main" id="{00000000-0008-0000-0000-00000C000000}"/>
            </a:ext>
          </a:extLst>
        </xdr:cNvPr>
        <xdr:cNvSpPr/>
      </xdr:nvSpPr>
      <xdr:spPr>
        <a:xfrm>
          <a:off x="3179777" y="2370943"/>
          <a:ext cx="1439848" cy="414087"/>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a:solidFill>
                <a:sysClr val="windowText" lastClr="000000"/>
              </a:solidFill>
              <a:latin typeface="Klavika Light" panose="02000506040000020004" pitchFamily="50" charset="0"/>
              <a:cs typeface="Poppins" panose="00000500000000000000" pitchFamily="2" charset="0"/>
            </a:rPr>
            <a:t>Portfólio</a:t>
          </a:r>
          <a:endParaRPr lang="pt-BR" sz="9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xdr:from>
      <xdr:col>1</xdr:col>
      <xdr:colOff>234356</xdr:colOff>
      <xdr:row>15</xdr:row>
      <xdr:rowOff>183387</xdr:rowOff>
    </xdr:from>
    <xdr:to>
      <xdr:col>3</xdr:col>
      <xdr:colOff>455004</xdr:colOff>
      <xdr:row>18</xdr:row>
      <xdr:rowOff>27349</xdr:rowOff>
    </xdr:to>
    <xdr:sp macro="" textlink="">
      <xdr:nvSpPr>
        <xdr:cNvPr id="13" name="Retângulo: Cantos Arredondados 12">
          <a:hlinkClick xmlns:r="http://schemas.openxmlformats.org/officeDocument/2006/relationships" r:id="rId9"/>
          <a:extLst>
            <a:ext uri="{FF2B5EF4-FFF2-40B4-BE49-F238E27FC236}">
              <a16:creationId xmlns:a16="http://schemas.microsoft.com/office/drawing/2014/main" id="{00000000-0008-0000-0000-00000D000000}"/>
            </a:ext>
          </a:extLst>
        </xdr:cNvPr>
        <xdr:cNvSpPr/>
      </xdr:nvSpPr>
      <xdr:spPr>
        <a:xfrm>
          <a:off x="843956" y="3040887"/>
          <a:ext cx="1439848" cy="415462"/>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Consolidação IFRS</a:t>
          </a:r>
        </a:p>
        <a:p>
          <a:pPr algn="ctr"/>
          <a:r>
            <a:rPr lang="pt-BR" sz="900" b="0" i="0">
              <a:solidFill>
                <a:sysClr val="windowText" lastClr="000000"/>
              </a:solidFill>
              <a:latin typeface="Klavika Light" panose="02000506040000020004" pitchFamily="50" charset="0"/>
              <a:cs typeface="Poppins" panose="00000500000000000000" pitchFamily="2" charset="0"/>
            </a:rPr>
            <a:t>IFRS</a:t>
          </a:r>
          <a:r>
            <a:rPr lang="pt-BR" sz="900" b="0" i="0" baseline="0">
              <a:solidFill>
                <a:sysClr val="windowText" lastClr="000000"/>
              </a:solidFill>
              <a:latin typeface="Klavika Light" panose="02000506040000020004" pitchFamily="50" charset="0"/>
              <a:cs typeface="Poppins" panose="00000500000000000000" pitchFamily="2" charset="0"/>
            </a:rPr>
            <a:t> Consolidation</a:t>
          </a:r>
          <a:endParaRPr lang="pt-BR" sz="900" b="0" i="0">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xdr:from>
      <xdr:col>5</xdr:col>
      <xdr:colOff>131777</xdr:colOff>
      <xdr:row>16</xdr:row>
      <xdr:rowOff>20101</xdr:rowOff>
    </xdr:from>
    <xdr:to>
      <xdr:col>7</xdr:col>
      <xdr:colOff>352425</xdr:colOff>
      <xdr:row>18</xdr:row>
      <xdr:rowOff>54563</xdr:rowOff>
    </xdr:to>
    <xdr:sp macro="" textlink="">
      <xdr:nvSpPr>
        <xdr:cNvPr id="14" name="Retângulo: Cantos Arredondados 13">
          <a:hlinkClick xmlns:r="http://schemas.openxmlformats.org/officeDocument/2006/relationships" r:id="rId10"/>
          <a:extLst>
            <a:ext uri="{FF2B5EF4-FFF2-40B4-BE49-F238E27FC236}">
              <a16:creationId xmlns:a16="http://schemas.microsoft.com/office/drawing/2014/main" id="{00000000-0008-0000-0000-00000E000000}"/>
            </a:ext>
          </a:extLst>
        </xdr:cNvPr>
        <xdr:cNvSpPr/>
      </xdr:nvSpPr>
      <xdr:spPr>
        <a:xfrm>
          <a:off x="3306777" y="2966501"/>
          <a:ext cx="1490648" cy="402762"/>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900" b="0" i="0">
              <a:solidFill>
                <a:sysClr val="windowText" lastClr="000000"/>
              </a:solidFill>
              <a:latin typeface="Klavika Light" panose="02000506040000020004" pitchFamily="50" charset="0"/>
              <a:cs typeface="Poppins" panose="00000500000000000000" pitchFamily="2" charset="0"/>
            </a:rPr>
            <a:t>Vacância</a:t>
          </a:r>
        </a:p>
        <a:p>
          <a:pPr algn="ctr"/>
          <a:r>
            <a:rPr lang="pt-BR" sz="900" b="0" i="0">
              <a:solidFill>
                <a:sysClr val="windowText" lastClr="000000"/>
              </a:solidFill>
              <a:latin typeface="Klavika Light" panose="02000506040000020004" pitchFamily="50" charset="0"/>
              <a:cs typeface="Poppins" panose="00000500000000000000" pitchFamily="2" charset="0"/>
            </a:rPr>
            <a:t>Vacancy</a:t>
          </a:r>
        </a:p>
      </xdr:txBody>
    </xdr:sp>
    <xdr:clientData/>
  </xdr:twoCellAnchor>
  <mc:AlternateContent xmlns:mc="http://schemas.openxmlformats.org/markup-compatibility/2006">
    <mc:Choice xmlns:a14="http://schemas.microsoft.com/office/drawing/2010/main" Requires="a14">
      <xdr:twoCellAnchor editAs="oneCell">
        <xdr:from>
          <xdr:col>5</xdr:col>
          <xdr:colOff>60960</xdr:colOff>
          <xdr:row>0</xdr:row>
          <xdr:rowOff>7620</xdr:rowOff>
        </xdr:from>
        <xdr:to>
          <xdr:col>6</xdr:col>
          <xdr:colOff>350520</xdr:colOff>
          <xdr:row>1</xdr:row>
          <xdr:rowOff>30480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t-BR" sz="800" b="0" i="0" u="none" strike="noStrike" baseline="0">
                  <a:solidFill>
                    <a:srgbClr val="000000"/>
                  </a:solidFill>
                  <a:latin typeface="Segoe UI"/>
                  <a:cs typeface="Segoe UI"/>
                </a:rPr>
                <a:t>Português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xdr:colOff>
          <xdr:row>1</xdr:row>
          <xdr:rowOff>53340</xdr:rowOff>
        </xdr:from>
        <xdr:to>
          <xdr:col>6</xdr:col>
          <xdr:colOff>327660</xdr:colOff>
          <xdr:row>2</xdr:row>
          <xdr:rowOff>83820</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t-BR" sz="800" b="0" i="0" u="none" strike="noStrike" baseline="0">
                  <a:solidFill>
                    <a:srgbClr val="000000"/>
                  </a:solidFill>
                  <a:latin typeface="Segoe UI"/>
                  <a:cs typeface="Segoe UI"/>
                </a:rPr>
                <a:t>English</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1759131</xdr:colOff>
      <xdr:row>0</xdr:row>
      <xdr:rowOff>0</xdr:rowOff>
    </xdr:from>
    <xdr:to>
      <xdr:col>1</xdr:col>
      <xdr:colOff>1237385</xdr:colOff>
      <xdr:row>2</xdr:row>
      <xdr:rowOff>49113</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31885" b="25142"/>
        <a:stretch/>
      </xdr:blipFill>
      <xdr:spPr>
        <a:xfrm>
          <a:off x="1759131" y="0"/>
          <a:ext cx="1206509" cy="414873"/>
        </a:xfrm>
        <a:prstGeom prst="rect">
          <a:avLst/>
        </a:prstGeom>
      </xdr:spPr>
    </xdr:pic>
    <xdr:clientData/>
  </xdr:twoCellAnchor>
  <xdr:twoCellAnchor>
    <xdr:from>
      <xdr:col>1</xdr:col>
      <xdr:colOff>2398059</xdr:colOff>
      <xdr:row>0</xdr:row>
      <xdr:rowOff>89647</xdr:rowOff>
    </xdr:from>
    <xdr:to>
      <xdr:col>1</xdr:col>
      <xdr:colOff>3837907</xdr:colOff>
      <xdr:row>2</xdr:row>
      <xdr:rowOff>124110</xdr:rowOff>
    </xdr:to>
    <xdr:sp macro="" textlink="">
      <xdr:nvSpPr>
        <xdr:cNvPr id="3" name="Retângulo: Cantos Arredondados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2398059" y="89647"/>
          <a:ext cx="1439848" cy="40022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1949824</xdr:colOff>
      <xdr:row>0</xdr:row>
      <xdr:rowOff>112059</xdr:rowOff>
    </xdr:from>
    <xdr:to>
      <xdr:col>1</xdr:col>
      <xdr:colOff>3389672</xdr:colOff>
      <xdr:row>2</xdr:row>
      <xdr:rowOff>146522</xdr:rowOff>
    </xdr:to>
    <xdr:sp macro="" textlink="">
      <xdr:nvSpPr>
        <xdr:cNvPr id="3" name="Retângulo: Cantos Arredondados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949824" y="112059"/>
          <a:ext cx="1439848" cy="4027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22860</xdr:colOff>
      <xdr:row>0</xdr:row>
      <xdr:rowOff>0</xdr:rowOff>
    </xdr:from>
    <xdr:to>
      <xdr:col>1</xdr:col>
      <xdr:colOff>1228700</xdr:colOff>
      <xdr:row>2</xdr:row>
      <xdr:rowOff>46768</xdr:rowOff>
    </xdr:to>
    <xdr:pic>
      <xdr:nvPicPr>
        <xdr:cNvPr id="4" name="Imagem 3">
          <a:extLst>
            <a:ext uri="{FF2B5EF4-FFF2-40B4-BE49-F238E27FC236}">
              <a16:creationId xmlns:a16="http://schemas.microsoft.com/office/drawing/2014/main" id="{5C2357F9-FB43-4047-B790-7E4C87BC2088}"/>
            </a:ext>
          </a:extLst>
        </xdr:cNvPr>
        <xdr:cNvPicPr>
          <a:picLocks noChangeAspect="1"/>
        </xdr:cNvPicPr>
      </xdr:nvPicPr>
      <xdr:blipFill rotWithShape="1">
        <a:blip xmlns:r="http://schemas.openxmlformats.org/officeDocument/2006/relationships" r:embed="rId2"/>
        <a:srcRect l="31885" b="25142"/>
        <a:stretch/>
      </xdr:blipFill>
      <xdr:spPr>
        <a:xfrm>
          <a:off x="1584960" y="0"/>
          <a:ext cx="1205840" cy="4125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1725707</xdr:colOff>
      <xdr:row>0</xdr:row>
      <xdr:rowOff>156883</xdr:rowOff>
    </xdr:from>
    <xdr:to>
      <xdr:col>2</xdr:col>
      <xdr:colOff>195996</xdr:colOff>
      <xdr:row>3</xdr:row>
      <xdr:rowOff>846</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a:off x="1725707" y="156883"/>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0</xdr:colOff>
      <xdr:row>0</xdr:row>
      <xdr:rowOff>0</xdr:rowOff>
    </xdr:from>
    <xdr:to>
      <xdr:col>1</xdr:col>
      <xdr:colOff>1205840</xdr:colOff>
      <xdr:row>2</xdr:row>
      <xdr:rowOff>46768</xdr:rowOff>
    </xdr:to>
    <xdr:pic>
      <xdr:nvPicPr>
        <xdr:cNvPr id="2" name="Imagem 1">
          <a:extLst>
            <a:ext uri="{FF2B5EF4-FFF2-40B4-BE49-F238E27FC236}">
              <a16:creationId xmlns:a16="http://schemas.microsoft.com/office/drawing/2014/main" id="{7BB4391D-98A3-4460-B910-8CD6F42FF64D}"/>
            </a:ext>
          </a:extLst>
        </xdr:cNvPr>
        <xdr:cNvPicPr>
          <a:picLocks noChangeAspect="1"/>
        </xdr:cNvPicPr>
      </xdr:nvPicPr>
      <xdr:blipFill rotWithShape="1">
        <a:blip xmlns:r="http://schemas.openxmlformats.org/officeDocument/2006/relationships" r:embed="rId2"/>
        <a:srcRect l="31885" b="25142"/>
        <a:stretch/>
      </xdr:blipFill>
      <xdr:spPr>
        <a:xfrm>
          <a:off x="2255520" y="0"/>
          <a:ext cx="1205840" cy="4125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2084294</xdr:colOff>
      <xdr:row>0</xdr:row>
      <xdr:rowOff>89647</xdr:rowOff>
    </xdr:from>
    <xdr:to>
      <xdr:col>1</xdr:col>
      <xdr:colOff>3524142</xdr:colOff>
      <xdr:row>2</xdr:row>
      <xdr:rowOff>124110</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2084294" y="89647"/>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0</xdr:colOff>
      <xdr:row>0</xdr:row>
      <xdr:rowOff>0</xdr:rowOff>
    </xdr:from>
    <xdr:to>
      <xdr:col>1</xdr:col>
      <xdr:colOff>1205840</xdr:colOff>
      <xdr:row>2</xdr:row>
      <xdr:rowOff>46768</xdr:rowOff>
    </xdr:to>
    <xdr:pic>
      <xdr:nvPicPr>
        <xdr:cNvPr id="3" name="Imagem 2">
          <a:extLst>
            <a:ext uri="{FF2B5EF4-FFF2-40B4-BE49-F238E27FC236}">
              <a16:creationId xmlns:a16="http://schemas.microsoft.com/office/drawing/2014/main" id="{7E64C775-78D7-49FB-837F-9FE3AEF2C48F}"/>
            </a:ext>
          </a:extLst>
        </xdr:cNvPr>
        <xdr:cNvPicPr>
          <a:picLocks noChangeAspect="1"/>
        </xdr:cNvPicPr>
      </xdr:nvPicPr>
      <xdr:blipFill rotWithShape="1">
        <a:blip xmlns:r="http://schemas.openxmlformats.org/officeDocument/2006/relationships" r:embed="rId2"/>
        <a:srcRect l="31885" b="25142"/>
        <a:stretch/>
      </xdr:blipFill>
      <xdr:spPr>
        <a:xfrm>
          <a:off x="2499360" y="0"/>
          <a:ext cx="1205840" cy="4125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2129117</xdr:colOff>
      <xdr:row>0</xdr:row>
      <xdr:rowOff>67235</xdr:rowOff>
    </xdr:from>
    <xdr:to>
      <xdr:col>1</xdr:col>
      <xdr:colOff>3568965</xdr:colOff>
      <xdr:row>2</xdr:row>
      <xdr:rowOff>101698</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a:off x="2129117" y="67235"/>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0</xdr:colOff>
      <xdr:row>0</xdr:row>
      <xdr:rowOff>0</xdr:rowOff>
    </xdr:from>
    <xdr:to>
      <xdr:col>1</xdr:col>
      <xdr:colOff>1205840</xdr:colOff>
      <xdr:row>2</xdr:row>
      <xdr:rowOff>47403</xdr:rowOff>
    </xdr:to>
    <xdr:pic>
      <xdr:nvPicPr>
        <xdr:cNvPr id="2" name="Imagem 1">
          <a:extLst>
            <a:ext uri="{FF2B5EF4-FFF2-40B4-BE49-F238E27FC236}">
              <a16:creationId xmlns:a16="http://schemas.microsoft.com/office/drawing/2014/main" id="{DC15FF3A-08EC-48BA-B2E2-B820AF9E6E4A}"/>
            </a:ext>
          </a:extLst>
        </xdr:cNvPr>
        <xdr:cNvPicPr>
          <a:picLocks noChangeAspect="1"/>
        </xdr:cNvPicPr>
      </xdr:nvPicPr>
      <xdr:blipFill rotWithShape="1">
        <a:blip xmlns:r="http://schemas.openxmlformats.org/officeDocument/2006/relationships" r:embed="rId2"/>
        <a:srcRect l="31885" b="25142"/>
        <a:stretch/>
      </xdr:blipFill>
      <xdr:spPr>
        <a:xfrm>
          <a:off x="730250" y="0"/>
          <a:ext cx="1205840" cy="4125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1205840</xdr:colOff>
      <xdr:row>2</xdr:row>
      <xdr:rowOff>46768</xdr:rowOff>
    </xdr:to>
    <xdr:pic>
      <xdr:nvPicPr>
        <xdr:cNvPr id="2" name="Imagem 1">
          <a:extLst>
            <a:ext uri="{FF2B5EF4-FFF2-40B4-BE49-F238E27FC236}">
              <a16:creationId xmlns:a16="http://schemas.microsoft.com/office/drawing/2014/main" id="{D9B71680-96A0-4035-A9F3-9B736F1D1618}"/>
            </a:ext>
          </a:extLst>
        </xdr:cNvPr>
        <xdr:cNvPicPr>
          <a:picLocks noChangeAspect="1"/>
        </xdr:cNvPicPr>
      </xdr:nvPicPr>
      <xdr:blipFill rotWithShape="1">
        <a:blip xmlns:r="http://schemas.openxmlformats.org/officeDocument/2006/relationships" r:embed="rId1"/>
        <a:srcRect l="31885" b="25142"/>
        <a:stretch/>
      </xdr:blipFill>
      <xdr:spPr>
        <a:xfrm>
          <a:off x="1607820" y="0"/>
          <a:ext cx="1205840" cy="412528"/>
        </a:xfrm>
        <a:prstGeom prst="rect">
          <a:avLst/>
        </a:prstGeom>
      </xdr:spPr>
    </xdr:pic>
    <xdr:clientData/>
  </xdr:twoCellAnchor>
  <xdr:twoCellAnchor>
    <xdr:from>
      <xdr:col>1</xdr:col>
      <xdr:colOff>1363980</xdr:colOff>
      <xdr:row>0</xdr:row>
      <xdr:rowOff>114300</xdr:rowOff>
    </xdr:from>
    <xdr:to>
      <xdr:col>1</xdr:col>
      <xdr:colOff>2803828</xdr:colOff>
      <xdr:row>2</xdr:row>
      <xdr:rowOff>148763</xdr:rowOff>
    </xdr:to>
    <xdr:sp macro="" textlink="">
      <xdr:nvSpPr>
        <xdr:cNvPr id="5" name="Retângulo: Cantos Arredondados 4">
          <a:hlinkClick xmlns:r="http://schemas.openxmlformats.org/officeDocument/2006/relationships" r:id="rId2"/>
          <a:extLst>
            <a:ext uri="{FF2B5EF4-FFF2-40B4-BE49-F238E27FC236}">
              <a16:creationId xmlns:a16="http://schemas.microsoft.com/office/drawing/2014/main" id="{56D09FC1-C64D-41B2-823B-499302439D01}"/>
            </a:ext>
          </a:extLst>
        </xdr:cNvPr>
        <xdr:cNvSpPr/>
      </xdr:nvSpPr>
      <xdr:spPr>
        <a:xfrm>
          <a:off x="1363980" y="114300"/>
          <a:ext cx="1439848" cy="40022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1792941</xdr:colOff>
      <xdr:row>0</xdr:row>
      <xdr:rowOff>134470</xdr:rowOff>
    </xdr:from>
    <xdr:to>
      <xdr:col>1</xdr:col>
      <xdr:colOff>3232789</xdr:colOff>
      <xdr:row>2</xdr:row>
      <xdr:rowOff>168933</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1792941" y="134470"/>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1</xdr:col>
      <xdr:colOff>0</xdr:colOff>
      <xdr:row>0</xdr:row>
      <xdr:rowOff>0</xdr:rowOff>
    </xdr:from>
    <xdr:to>
      <xdr:col>1</xdr:col>
      <xdr:colOff>1205840</xdr:colOff>
      <xdr:row>2</xdr:row>
      <xdr:rowOff>46768</xdr:rowOff>
    </xdr:to>
    <xdr:pic>
      <xdr:nvPicPr>
        <xdr:cNvPr id="2" name="Imagem 1">
          <a:extLst>
            <a:ext uri="{FF2B5EF4-FFF2-40B4-BE49-F238E27FC236}">
              <a16:creationId xmlns:a16="http://schemas.microsoft.com/office/drawing/2014/main" id="{220921CC-8EF7-48F5-A92D-2F0B4D320B2A}"/>
            </a:ext>
          </a:extLst>
        </xdr:cNvPr>
        <xdr:cNvPicPr>
          <a:picLocks noChangeAspect="1"/>
        </xdr:cNvPicPr>
      </xdr:nvPicPr>
      <xdr:blipFill rotWithShape="1">
        <a:blip xmlns:r="http://schemas.openxmlformats.org/officeDocument/2006/relationships" r:embed="rId2"/>
        <a:srcRect l="31885" b="25142"/>
        <a:stretch/>
      </xdr:blipFill>
      <xdr:spPr>
        <a:xfrm>
          <a:off x="571500" y="0"/>
          <a:ext cx="1205840" cy="4125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1972236</xdr:colOff>
      <xdr:row>0</xdr:row>
      <xdr:rowOff>134470</xdr:rowOff>
    </xdr:from>
    <xdr:to>
      <xdr:col>2</xdr:col>
      <xdr:colOff>621819</xdr:colOff>
      <xdr:row>2</xdr:row>
      <xdr:rowOff>168933</xdr:rowOff>
    </xdr:to>
    <xdr:sp macro="" textlink="">
      <xdr:nvSpPr>
        <xdr:cNvPr id="5" name="Retângulo: Cantos Arredondados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972236" y="134470"/>
          <a:ext cx="1439848" cy="415463"/>
        </a:xfrm>
        <a:prstGeom prst="roundRect">
          <a:avLst/>
        </a:prstGeom>
        <a:solidFill>
          <a:srgbClr val="F2F2F2">
            <a:alpha val="50196"/>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lang="pt-BR" sz="1200" b="0">
              <a:solidFill>
                <a:sysClr val="windowText" lastClr="000000"/>
              </a:solidFill>
              <a:latin typeface="Klavika Light" panose="02000506040000020004" pitchFamily="50" charset="0"/>
              <a:cs typeface="Poppins" panose="00000500000000000000" pitchFamily="2" charset="0"/>
            </a:rPr>
            <a:t>Sumário | Summary</a:t>
          </a:r>
          <a:endParaRPr lang="pt-BR" sz="1200" b="0" i="1">
            <a:solidFill>
              <a:sysClr val="windowText" lastClr="000000"/>
            </a:solidFill>
            <a:latin typeface="Klavika Light" panose="02000506040000020004" pitchFamily="50" charset="0"/>
            <a:cs typeface="Poppins" panose="00000500000000000000" pitchFamily="2" charset="0"/>
          </a:endParaRPr>
        </a:p>
      </xdr:txBody>
    </xdr:sp>
    <xdr:clientData/>
  </xdr:twoCellAnchor>
  <xdr:twoCellAnchor editAs="oneCell">
    <xdr:from>
      <xdr:col>0</xdr:col>
      <xdr:colOff>0</xdr:colOff>
      <xdr:row>0</xdr:row>
      <xdr:rowOff>0</xdr:rowOff>
    </xdr:from>
    <xdr:to>
      <xdr:col>1</xdr:col>
      <xdr:colOff>1205840</xdr:colOff>
      <xdr:row>2</xdr:row>
      <xdr:rowOff>50578</xdr:rowOff>
    </xdr:to>
    <xdr:pic>
      <xdr:nvPicPr>
        <xdr:cNvPr id="2" name="Imagem 1">
          <a:extLst>
            <a:ext uri="{FF2B5EF4-FFF2-40B4-BE49-F238E27FC236}">
              <a16:creationId xmlns:a16="http://schemas.microsoft.com/office/drawing/2014/main" id="{24147AB4-ADC7-42D6-8235-832EE2EAC0EB}"/>
            </a:ext>
          </a:extLst>
        </xdr:cNvPr>
        <xdr:cNvPicPr>
          <a:picLocks noChangeAspect="1"/>
        </xdr:cNvPicPr>
      </xdr:nvPicPr>
      <xdr:blipFill rotWithShape="1">
        <a:blip xmlns:r="http://schemas.openxmlformats.org/officeDocument/2006/relationships" r:embed="rId2"/>
        <a:srcRect l="31885" b="25142"/>
        <a:stretch/>
      </xdr:blipFill>
      <xdr:spPr>
        <a:xfrm>
          <a:off x="0" y="0"/>
          <a:ext cx="1205840" cy="412528"/>
        </a:xfrm>
        <a:prstGeom prst="rect">
          <a:avLst/>
        </a:prstGeom>
      </xdr:spPr>
    </xdr:pic>
    <xdr:clientData/>
  </xdr:twoCellAnchor>
</xdr:wsDr>
</file>

<file path=xl/theme/theme1.xml><?xml version="1.0" encoding="utf-8"?>
<a:theme xmlns:a="http://schemas.openxmlformats.org/drawingml/2006/main" name="Tema do Office">
  <a:themeElements>
    <a:clrScheme name="ccp">
      <a:dk1>
        <a:srgbClr val="000000"/>
      </a:dk1>
      <a:lt1>
        <a:srgbClr val="FFFFFF"/>
      </a:lt1>
      <a:dk2>
        <a:srgbClr val="279C99"/>
      </a:dk2>
      <a:lt2>
        <a:srgbClr val="25564D"/>
      </a:lt2>
      <a:accent1>
        <a:srgbClr val="6A7F79"/>
      </a:accent1>
      <a:accent2>
        <a:srgbClr val="BCB4A1"/>
      </a:accent2>
      <a:accent3>
        <a:srgbClr val="969696"/>
      </a:accent3>
      <a:accent4>
        <a:srgbClr val="72876E"/>
      </a:accent4>
      <a:accent5>
        <a:srgbClr val="B0D3C1"/>
      </a:accent5>
      <a:accent6>
        <a:srgbClr val="EAEAEA"/>
      </a:accent6>
      <a:hlink>
        <a:srgbClr val="AD8957"/>
      </a:hlink>
      <a:folHlink>
        <a:srgbClr val="C0C0C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165DB-2734-4416-89AB-C14F6213A7CF}">
  <sheetPr codeName="Planilha1"/>
  <dimension ref="A1:P21"/>
  <sheetViews>
    <sheetView showGridLines="0" showRowColHeaders="0" tabSelected="1" view="pageBreakPreview" zoomScale="130" zoomScaleNormal="70" zoomScaleSheetLayoutView="130" workbookViewId="0"/>
  </sheetViews>
  <sheetFormatPr defaultColWidth="0" defaultRowHeight="14.4" zeroHeight="1"/>
  <cols>
    <col min="1" max="10" width="9.109375" customWidth="1"/>
    <col min="11" max="16384" width="9.109375" hidden="1"/>
  </cols>
  <sheetData>
    <row r="1" spans="16:16">
      <c r="P1">
        <v>1</v>
      </c>
    </row>
    <row r="2" spans="16:16"/>
    <row r="3" spans="16:16"/>
    <row r="4" spans="16:16"/>
    <row r="5" spans="16:16"/>
    <row r="6" spans="16:16"/>
    <row r="7" spans="16:16"/>
    <row r="8" spans="16:16"/>
    <row r="9" spans="16:16"/>
    <row r="10" spans="16:16"/>
    <row r="11" spans="16:16"/>
    <row r="12" spans="16:16"/>
    <row r="13" spans="16:16"/>
    <row r="14" spans="16:16"/>
    <row r="15" spans="16:16"/>
    <row r="16" spans="16:16"/>
    <row r="17"/>
    <row r="18"/>
    <row r="19"/>
    <row r="20"/>
    <row r="21"/>
  </sheetData>
  <pageMargins left="0.511811024" right="0.511811024" top="0.78740157499999996" bottom="0.78740157499999996" header="0.31496062000000002" footer="0.31496062000000002"/>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5</xdr:col>
                    <xdr:colOff>60960</xdr:colOff>
                    <xdr:row>0</xdr:row>
                    <xdr:rowOff>7620</xdr:rowOff>
                  </from>
                  <to>
                    <xdr:col>6</xdr:col>
                    <xdr:colOff>350520</xdr:colOff>
                    <xdr:row>1</xdr:row>
                    <xdr:rowOff>30480</xdr:rowOff>
                  </to>
                </anchor>
              </controlPr>
            </control>
          </mc:Choice>
        </mc:AlternateContent>
        <mc:AlternateContent xmlns:mc="http://schemas.openxmlformats.org/markup-compatibility/2006">
          <mc:Choice Requires="x14">
            <control shapeId="1031" r:id="rId5" name="Option Button 7">
              <controlPr defaultSize="0" autoFill="0" autoLine="0" autoPict="0">
                <anchor moveWithCells="1">
                  <from>
                    <xdr:col>5</xdr:col>
                    <xdr:colOff>60960</xdr:colOff>
                    <xdr:row>1</xdr:row>
                    <xdr:rowOff>53340</xdr:rowOff>
                  </from>
                  <to>
                    <xdr:col>6</xdr:col>
                    <xdr:colOff>327660</xdr:colOff>
                    <xdr:row>2</xdr:row>
                    <xdr:rowOff>83820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6053E-B287-4045-ACB0-E24E0710D454}">
  <dimension ref="A1:BV73"/>
  <sheetViews>
    <sheetView showGridLines="0" showRowColHeaders="0" zoomScaleNormal="100" workbookViewId="0">
      <pane xSplit="26" topLeftCell="BN1" activePane="topRight" state="frozen"/>
      <selection activeCell="B1" sqref="B1"/>
      <selection pane="topRight" activeCell="B1" sqref="B1"/>
    </sheetView>
  </sheetViews>
  <sheetFormatPr defaultRowHeight="14.4" outlineLevelCol="1"/>
  <cols>
    <col min="1" max="1" width="25.6640625" hidden="1" customWidth="1"/>
    <col min="2" max="2" width="61" bestFit="1" customWidth="1"/>
    <col min="3" max="6" width="15.109375" hidden="1" customWidth="1"/>
    <col min="7" max="7" width="15.109375" hidden="1" customWidth="1" outlineLevel="1" collapsed="1"/>
    <col min="8" max="11" width="15.109375" hidden="1" customWidth="1" outlineLevel="1"/>
    <col min="12" max="12" width="15.109375" hidden="1" customWidth="1" outlineLevel="1" collapsed="1"/>
    <col min="13" max="16" width="15.109375" hidden="1" customWidth="1" outlineLevel="1"/>
    <col min="17" max="17" width="15.109375" hidden="1" customWidth="1" outlineLevel="1" collapsed="1"/>
    <col min="18" max="21" width="15.109375" hidden="1" customWidth="1" outlineLevel="1"/>
    <col min="22" max="22" width="15.109375" hidden="1" customWidth="1" outlineLevel="1" collapsed="1"/>
    <col min="23" max="26" width="15.109375" hidden="1" customWidth="1" outlineLevel="1"/>
    <col min="27" max="27" width="15.109375" customWidth="1" collapsed="1"/>
    <col min="28" max="28" width="15.109375" hidden="1" customWidth="1" outlineLevel="1" collapsed="1"/>
    <col min="29" max="30" width="15.109375" hidden="1" customWidth="1" outlineLevel="1"/>
    <col min="31" max="31" width="8" hidden="1" customWidth="1" outlineLevel="1"/>
    <col min="32" max="32" width="15.109375" customWidth="1" collapsed="1"/>
    <col min="33" max="36" width="15.109375" hidden="1" customWidth="1" outlineLevel="1"/>
    <col min="37" max="37" width="15.109375" customWidth="1" collapsed="1"/>
    <col min="38" max="41" width="15.109375" hidden="1" customWidth="1" outlineLevel="1"/>
    <col min="42" max="42" width="15.109375" customWidth="1" collapsed="1"/>
    <col min="43" max="46" width="15.109375" hidden="1" customWidth="1" outlineLevel="1"/>
    <col min="47" max="47" width="15.109375" customWidth="1" collapsed="1"/>
    <col min="48" max="50" width="15.109375" hidden="1" customWidth="1" outlineLevel="1"/>
    <col min="51" max="51" width="15.109375" style="153" hidden="1" customWidth="1" outlineLevel="1"/>
    <col min="52" max="52" width="15.109375" customWidth="1" collapsed="1"/>
    <col min="53" max="53" width="15.109375" style="153" hidden="1" customWidth="1" outlineLevel="1"/>
    <col min="54" max="54" width="17.6640625" style="153" hidden="1" customWidth="1" outlineLevel="1"/>
    <col min="55" max="56" width="15.109375" style="153" hidden="1" customWidth="1" outlineLevel="1"/>
    <col min="57" max="57" width="15.109375" style="153" customWidth="1" collapsed="1"/>
    <col min="58" max="61" width="15.109375" style="153" customWidth="1"/>
    <col min="62" max="62" width="11.5546875" style="153" bestFit="1" customWidth="1"/>
    <col min="63" max="71" width="15.109375" style="153" customWidth="1"/>
    <col min="72" max="72" width="11.6640625" style="153" customWidth="1"/>
    <col min="73" max="74" width="15.109375" style="153" customWidth="1"/>
  </cols>
  <sheetData>
    <row r="1" spans="1:74">
      <c r="B1" t="s">
        <v>42</v>
      </c>
      <c r="AL1" s="221"/>
      <c r="AM1" s="221"/>
      <c r="AN1" s="221"/>
      <c r="AO1" s="221"/>
      <c r="AQ1" s="221"/>
      <c r="AR1" s="221"/>
      <c r="AS1" s="221"/>
      <c r="AT1" s="221"/>
      <c r="AU1" s="221"/>
      <c r="AV1" s="221"/>
      <c r="AW1" s="221"/>
      <c r="AX1" s="221"/>
      <c r="AY1" s="221"/>
      <c r="BA1" s="221"/>
      <c r="BB1" s="221"/>
      <c r="BC1" s="221"/>
      <c r="BD1" s="221"/>
      <c r="BE1" s="221"/>
      <c r="BF1" s="221"/>
      <c r="BG1" s="221"/>
      <c r="BH1" s="221"/>
      <c r="BI1" s="221"/>
      <c r="BK1" s="221"/>
      <c r="BL1" s="221"/>
      <c r="BM1" s="221"/>
      <c r="BN1" s="221"/>
      <c r="BO1" s="221"/>
      <c r="BP1" s="221"/>
      <c r="BQ1" s="221"/>
      <c r="BR1" s="221"/>
      <c r="BS1" s="221"/>
      <c r="BT1" s="221"/>
      <c r="BU1" s="221"/>
      <c r="BV1" s="221"/>
    </row>
    <row r="2" spans="1:74">
      <c r="AL2" s="221"/>
      <c r="AM2" s="221"/>
      <c r="AN2" s="221"/>
      <c r="AO2" s="221"/>
      <c r="AQ2" s="221"/>
      <c r="AR2" s="221"/>
      <c r="AS2" s="221"/>
      <c r="AT2" s="221"/>
      <c r="AU2" s="221"/>
      <c r="AV2" s="221"/>
      <c r="AW2" s="221"/>
      <c r="AX2" s="221"/>
      <c r="AY2" s="221"/>
      <c r="BA2" s="221"/>
      <c r="BB2" s="221"/>
      <c r="BC2" s="221"/>
      <c r="BD2" s="221"/>
      <c r="BE2" s="221"/>
      <c r="BF2" s="221"/>
      <c r="BG2" s="221"/>
      <c r="BH2" s="221"/>
      <c r="BI2" s="221"/>
      <c r="BK2" s="221"/>
      <c r="BL2" s="221"/>
      <c r="BM2" s="221"/>
      <c r="BN2" s="221"/>
      <c r="BO2" s="221"/>
      <c r="BP2" s="221"/>
      <c r="BQ2" s="221"/>
      <c r="BR2" s="221"/>
      <c r="BS2" s="221"/>
      <c r="BT2" s="221"/>
      <c r="BU2" s="221"/>
      <c r="BV2" s="221"/>
    </row>
    <row r="3" spans="1:74" s="223" customFormat="1">
      <c r="AL3" s="222"/>
      <c r="AM3" s="222"/>
      <c r="AN3" s="222"/>
      <c r="AO3" s="222"/>
      <c r="AQ3" s="222"/>
      <c r="AR3" s="222"/>
      <c r="AS3" s="222"/>
      <c r="AT3" s="222"/>
      <c r="AU3" s="222"/>
      <c r="AV3" s="222"/>
      <c r="AW3" s="222"/>
      <c r="AX3" s="222"/>
      <c r="AY3" s="222"/>
      <c r="BA3" s="222"/>
      <c r="BB3" s="222"/>
      <c r="BC3" s="222"/>
      <c r="BD3" s="222"/>
      <c r="BE3" s="222"/>
      <c r="BF3" s="222"/>
      <c r="BG3" s="222"/>
      <c r="BH3" s="222"/>
      <c r="BI3" s="222"/>
      <c r="BJ3" s="222"/>
      <c r="BK3" s="222"/>
      <c r="BL3" s="222"/>
      <c r="BM3" s="222"/>
      <c r="BN3" s="222"/>
      <c r="BO3" s="222"/>
      <c r="BP3" s="222"/>
      <c r="BQ3" s="222"/>
      <c r="BR3" s="222"/>
      <c r="BS3" s="222"/>
      <c r="BT3" s="222"/>
      <c r="BU3" s="222"/>
      <c r="BV3" s="222"/>
    </row>
    <row r="4" spans="1:74" ht="3"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Q4" s="12"/>
      <c r="AR4" s="12"/>
      <c r="AS4" s="12"/>
      <c r="AT4" s="12"/>
      <c r="AV4" s="12"/>
      <c r="AW4" s="12"/>
      <c r="AX4" s="12"/>
      <c r="AY4" s="154"/>
      <c r="AZ4" s="12"/>
      <c r="BA4" s="154"/>
      <c r="BB4" s="154"/>
      <c r="BC4" s="154"/>
      <c r="BD4" s="154"/>
      <c r="BE4" s="154"/>
      <c r="BF4" s="154"/>
      <c r="BG4" s="154"/>
      <c r="BH4" s="154"/>
      <c r="BI4" s="154"/>
      <c r="BJ4" s="154"/>
      <c r="BK4" s="154"/>
      <c r="BL4" s="154"/>
      <c r="BM4" s="154"/>
      <c r="BN4" s="154"/>
      <c r="BO4" s="154"/>
      <c r="BP4" s="154"/>
      <c r="BQ4" s="154"/>
      <c r="BR4" s="154"/>
      <c r="BS4" s="154"/>
      <c r="BT4" s="154"/>
      <c r="BU4" s="154"/>
      <c r="BV4" s="154"/>
    </row>
    <row r="5" spans="1:74" s="7" customFormat="1" ht="18.75" customHeight="1">
      <c r="B5" s="183" t="str">
        <f>IF('Sumário | Summary'!P1=1,"Demonstração de Resultados - IFRS (R$ MM)","Income Statement - IFRS (R$ million)")</f>
        <v>Demonstração de Resultados - IFRS (R$ MM)</v>
      </c>
      <c r="C5" s="184" t="s">
        <v>78</v>
      </c>
      <c r="D5" s="184" t="s">
        <v>79</v>
      </c>
      <c r="E5" s="184" t="s">
        <v>80</v>
      </c>
      <c r="F5" s="184" t="s">
        <v>81</v>
      </c>
      <c r="G5" s="184">
        <v>2012</v>
      </c>
      <c r="H5" s="184" t="s">
        <v>77</v>
      </c>
      <c r="I5" s="184" t="s">
        <v>76</v>
      </c>
      <c r="J5" s="184" t="s">
        <v>75</v>
      </c>
      <c r="K5" s="184" t="s">
        <v>74</v>
      </c>
      <c r="L5" s="184">
        <v>2013</v>
      </c>
      <c r="M5" s="184" t="s">
        <v>73</v>
      </c>
      <c r="N5" s="184" t="s">
        <v>72</v>
      </c>
      <c r="O5" s="184" t="s">
        <v>71</v>
      </c>
      <c r="P5" s="184" t="s">
        <v>70</v>
      </c>
      <c r="Q5" s="184">
        <v>2014</v>
      </c>
      <c r="R5" s="184" t="s">
        <v>69</v>
      </c>
      <c r="S5" s="184" t="s">
        <v>68</v>
      </c>
      <c r="T5" s="184" t="s">
        <v>67</v>
      </c>
      <c r="U5" s="184" t="s">
        <v>66</v>
      </c>
      <c r="V5" s="184">
        <v>2015</v>
      </c>
      <c r="W5" s="184" t="s">
        <v>59</v>
      </c>
      <c r="X5" s="184" t="s">
        <v>60</v>
      </c>
      <c r="Y5" s="184" t="s">
        <v>61</v>
      </c>
      <c r="Z5" s="182" t="s">
        <v>62</v>
      </c>
      <c r="AA5" s="184">
        <v>2016</v>
      </c>
      <c r="AB5" s="182" t="s">
        <v>55</v>
      </c>
      <c r="AC5" s="182" t="s">
        <v>56</v>
      </c>
      <c r="AD5" s="182" t="s">
        <v>57</v>
      </c>
      <c r="AE5" s="182" t="s">
        <v>58</v>
      </c>
      <c r="AF5" s="182">
        <v>2017</v>
      </c>
      <c r="AG5" s="182" t="s">
        <v>54</v>
      </c>
      <c r="AH5" s="182" t="s">
        <v>53</v>
      </c>
      <c r="AI5" s="182" t="s">
        <v>52</v>
      </c>
      <c r="AJ5" s="182" t="s">
        <v>51</v>
      </c>
      <c r="AK5" s="182">
        <v>2018</v>
      </c>
      <c r="AL5" s="182" t="s">
        <v>43</v>
      </c>
      <c r="AM5" s="182" t="s">
        <v>44</v>
      </c>
      <c r="AN5" s="182" t="s">
        <v>46</v>
      </c>
      <c r="AO5" s="182" t="s">
        <v>47</v>
      </c>
      <c r="AP5" s="182">
        <v>2019</v>
      </c>
      <c r="AQ5" s="182" t="s">
        <v>50</v>
      </c>
      <c r="AR5" s="182" t="s">
        <v>63</v>
      </c>
      <c r="AS5" s="182" t="s">
        <v>64</v>
      </c>
      <c r="AT5" s="182" t="s">
        <v>65</v>
      </c>
      <c r="AU5" s="194" t="s">
        <v>280</v>
      </c>
      <c r="AV5" s="182" t="s">
        <v>98</v>
      </c>
      <c r="AW5" s="182" t="s">
        <v>99</v>
      </c>
      <c r="AX5" s="182" t="s">
        <v>113</v>
      </c>
      <c r="AY5" s="185" t="s">
        <v>114</v>
      </c>
      <c r="AZ5" s="182">
        <v>2021</v>
      </c>
      <c r="BA5" s="185" t="s">
        <v>125</v>
      </c>
      <c r="BB5" s="185" t="s">
        <v>264</v>
      </c>
      <c r="BC5" s="185" t="s">
        <v>265</v>
      </c>
      <c r="BD5" s="185" t="s">
        <v>271</v>
      </c>
      <c r="BE5" s="194" t="s">
        <v>272</v>
      </c>
      <c r="BF5" s="194" t="s">
        <v>283</v>
      </c>
      <c r="BG5" s="194" t="s">
        <v>286</v>
      </c>
      <c r="BH5" s="194" t="s">
        <v>288</v>
      </c>
      <c r="BI5" s="194" t="s">
        <v>312</v>
      </c>
      <c r="BJ5" s="194" t="s">
        <v>313</v>
      </c>
      <c r="BK5" s="194" t="s">
        <v>318</v>
      </c>
      <c r="BL5" s="194" t="s">
        <v>320</v>
      </c>
      <c r="BM5" s="194" t="s">
        <v>328</v>
      </c>
      <c r="BN5" s="194" t="s">
        <v>330</v>
      </c>
      <c r="BO5" s="194">
        <v>2024</v>
      </c>
      <c r="BP5" s="194" t="s">
        <v>332</v>
      </c>
      <c r="BQ5" s="194" t="s">
        <v>333</v>
      </c>
      <c r="BR5" s="194" t="s">
        <v>334</v>
      </c>
      <c r="BS5" s="194" t="s">
        <v>335</v>
      </c>
      <c r="BT5" s="194">
        <v>2025</v>
      </c>
      <c r="BU5" s="194" t="s">
        <v>336</v>
      </c>
      <c r="BV5" s="194" t="s">
        <v>337</v>
      </c>
    </row>
    <row r="6" spans="1:74" s="1" customFormat="1" ht="15" customHeight="1">
      <c r="A6" s="88" t="s">
        <v>126</v>
      </c>
      <c r="B6" s="8" t="str">
        <f>IF('Sumário | Summary'!P1=1,"Receita Bruta ","Gross Revenues")</f>
        <v xml:space="preserve">Receita Bruta </v>
      </c>
      <c r="C6" s="3">
        <v>51.412999999999997</v>
      </c>
      <c r="D6" s="3">
        <v>95.260668163717298</v>
      </c>
      <c r="E6" s="3">
        <v>61.805000000000007</v>
      </c>
      <c r="F6" s="3">
        <v>176.71537758555311</v>
      </c>
      <c r="G6" s="3">
        <v>385.1940457492704</v>
      </c>
      <c r="H6" s="3">
        <v>72.182000000000002</v>
      </c>
      <c r="I6" s="3">
        <v>92.830000000000013</v>
      </c>
      <c r="J6" s="3">
        <v>86.338000000000008</v>
      </c>
      <c r="K6" s="3">
        <v>83.233590599999999</v>
      </c>
      <c r="L6" s="3">
        <v>334.58359059999998</v>
      </c>
      <c r="M6" s="3">
        <v>97.687000000000012</v>
      </c>
      <c r="N6" s="3">
        <v>86.736000000000004</v>
      </c>
      <c r="O6" s="3">
        <v>120.82400000000001</v>
      </c>
      <c r="P6" s="3">
        <v>95.582999999999998</v>
      </c>
      <c r="Q6" s="3">
        <v>400.83</v>
      </c>
      <c r="R6" s="3">
        <v>87.722999999999999</v>
      </c>
      <c r="S6" s="3">
        <v>95.331999999999994</v>
      </c>
      <c r="T6" s="3">
        <v>114.43</v>
      </c>
      <c r="U6" s="3">
        <v>111.01270880300001</v>
      </c>
      <c r="V6" s="3">
        <v>408.49770880299997</v>
      </c>
      <c r="W6" s="3">
        <v>99.500907622903796</v>
      </c>
      <c r="X6" s="46">
        <v>96.757999999999981</v>
      </c>
      <c r="Y6" s="46">
        <v>131.274</v>
      </c>
      <c r="Z6" s="46">
        <v>121.82299999999999</v>
      </c>
      <c r="AA6" s="3">
        <v>449.35590762290383</v>
      </c>
      <c r="AB6" s="3">
        <v>103.931</v>
      </c>
      <c r="AC6" s="3">
        <v>114.249</v>
      </c>
      <c r="AD6" s="3">
        <v>138.06</v>
      </c>
      <c r="AE6" s="3">
        <v>118.57066837000002</v>
      </c>
      <c r="AF6" s="3">
        <v>474.81146158220872</v>
      </c>
      <c r="AG6" s="3">
        <v>110.6821831</v>
      </c>
      <c r="AH6" s="3">
        <v>174.34744369999999</v>
      </c>
      <c r="AI6" s="3">
        <v>118.29493011000002</v>
      </c>
      <c r="AJ6" s="3">
        <v>121.24484946000001</v>
      </c>
      <c r="AK6" s="3">
        <v>524.56940637000002</v>
      </c>
      <c r="AL6" s="35">
        <v>117.68633080000001</v>
      </c>
      <c r="AM6" s="35">
        <v>122.07761378000001</v>
      </c>
      <c r="AN6" s="35">
        <v>123.39279361999999</v>
      </c>
      <c r="AO6" s="35">
        <v>136.61400153</v>
      </c>
      <c r="AP6" s="35">
        <v>499.77073973</v>
      </c>
      <c r="AQ6" s="35">
        <v>136.57448825</v>
      </c>
      <c r="AR6" s="35">
        <v>102.82825524157074</v>
      </c>
      <c r="AS6" s="35">
        <v>152.62140886842926</v>
      </c>
      <c r="AT6" s="35">
        <v>137.19940855668673</v>
      </c>
      <c r="AU6" s="35">
        <v>529.22356091668678</v>
      </c>
      <c r="AV6" s="35">
        <v>131.89957053000001</v>
      </c>
      <c r="AW6" s="35">
        <v>132.16204399</v>
      </c>
      <c r="AX6" s="35">
        <v>140.05603486999996</v>
      </c>
      <c r="AY6" s="35">
        <v>2037.2580342724366</v>
      </c>
      <c r="AZ6" s="35">
        <v>2441.3756836624366</v>
      </c>
      <c r="BA6" s="35">
        <v>176.382619934448</v>
      </c>
      <c r="BB6" s="35">
        <v>128.15373717114201</v>
      </c>
      <c r="BC6" s="35">
        <v>128.46111733990995</v>
      </c>
      <c r="BD6" s="35">
        <v>142.79957443843904</v>
      </c>
      <c r="BE6" s="35">
        <v>575.79704888393906</v>
      </c>
      <c r="BF6" s="35">
        <v>118.78759779005199</v>
      </c>
      <c r="BG6" s="35">
        <v>119.25834112362799</v>
      </c>
      <c r="BH6" s="35">
        <v>120.69867275588</v>
      </c>
      <c r="BI6" s="35">
        <v>129.97936749409902</v>
      </c>
      <c r="BJ6" s="126">
        <v>488.72397916365895</v>
      </c>
      <c r="BK6" s="35">
        <v>123.03208470002801</v>
      </c>
      <c r="BL6" s="35">
        <v>1132.5772003320121</v>
      </c>
      <c r="BM6" s="35">
        <v>95.00051311635994</v>
      </c>
      <c r="BN6" s="35">
        <v>84.238385222507873</v>
      </c>
      <c r="BO6" s="35">
        <v>1434.8481833709079</v>
      </c>
      <c r="BP6" s="35">
        <v>91.218237244408002</v>
      </c>
      <c r="BQ6" s="35">
        <v>79.314583290422021</v>
      </c>
      <c r="BR6" s="35">
        <v>94.866246353829951</v>
      </c>
      <c r="BS6" s="35">
        <v>89.023542404473929</v>
      </c>
      <c r="BT6" s="126">
        <v>354.42260929313386</v>
      </c>
      <c r="BU6" s="35">
        <v>87.500609200555985</v>
      </c>
      <c r="BV6" s="35">
        <v>87.280470212563998</v>
      </c>
    </row>
    <row r="7" spans="1:74" s="1" customFormat="1" ht="15" customHeight="1">
      <c r="A7" t="s">
        <v>266</v>
      </c>
      <c r="B7" s="9" t="str">
        <f>IF('Sumário | Summary'!P1=1,"Locação de Edifícios Corporativos","Leases from Corporate Buildings")</f>
        <v>Locação de Edifícios Corporativos</v>
      </c>
      <c r="C7" s="4">
        <v>26.382999999999999</v>
      </c>
      <c r="D7" s="4">
        <v>27.302426239999999</v>
      </c>
      <c r="E7" s="4">
        <v>27.082000000000001</v>
      </c>
      <c r="F7" s="4">
        <v>30.759164299999998</v>
      </c>
      <c r="G7" s="4">
        <v>111.52659053999999</v>
      </c>
      <c r="H7" s="4">
        <v>30.245000000000001</v>
      </c>
      <c r="I7" s="4">
        <v>29.6</v>
      </c>
      <c r="J7" s="4">
        <v>29.902000000000001</v>
      </c>
      <c r="K7" s="4">
        <v>30.084236959999998</v>
      </c>
      <c r="L7" s="4">
        <v>119.83123696</v>
      </c>
      <c r="M7" s="4">
        <v>29.946999999999999</v>
      </c>
      <c r="N7" s="4">
        <v>29.888000000000002</v>
      </c>
      <c r="O7" s="4">
        <v>31.995000000000001</v>
      </c>
      <c r="P7" s="4">
        <v>31.196999999999999</v>
      </c>
      <c r="Q7" s="4">
        <v>123.027</v>
      </c>
      <c r="R7" s="4">
        <v>29.53</v>
      </c>
      <c r="S7" s="4">
        <v>29.846</v>
      </c>
      <c r="T7" s="4">
        <v>29.2</v>
      </c>
      <c r="U7" s="32">
        <v>29.883326649999987</v>
      </c>
      <c r="V7" s="4">
        <v>118.45932664999999</v>
      </c>
      <c r="W7" s="32">
        <v>29.55230955</v>
      </c>
      <c r="X7" s="32">
        <v>26.704999999999998</v>
      </c>
      <c r="Y7" s="51">
        <v>27.02</v>
      </c>
      <c r="Z7" s="36">
        <v>26.108000000000001</v>
      </c>
      <c r="AA7" s="4">
        <v>109.38530955</v>
      </c>
      <c r="AB7" s="32">
        <v>30.535</v>
      </c>
      <c r="AC7" s="32">
        <v>35.770000000000003</v>
      </c>
      <c r="AD7" s="32">
        <v>34.381999999999998</v>
      </c>
      <c r="AE7" s="32">
        <v>34.353082330000007</v>
      </c>
      <c r="AF7" s="32">
        <v>135.04063847292528</v>
      </c>
      <c r="AG7" s="32">
        <v>32.633711990000002</v>
      </c>
      <c r="AH7" s="32">
        <v>34.556175169999996</v>
      </c>
      <c r="AI7" s="32">
        <v>35.079223250000005</v>
      </c>
      <c r="AJ7" s="32">
        <v>34.538882860000001</v>
      </c>
      <c r="AK7" s="32">
        <v>136.80799326999997</v>
      </c>
      <c r="AL7" s="87">
        <v>35.618955540000002</v>
      </c>
      <c r="AM7" s="87">
        <v>35.509907179999992</v>
      </c>
      <c r="AN7" s="87">
        <v>36.923699749999997</v>
      </c>
      <c r="AO7" s="87">
        <v>36.880619779999996</v>
      </c>
      <c r="AP7" s="87">
        <v>144.93318225000002</v>
      </c>
      <c r="AQ7" s="87">
        <v>50.516973110000002</v>
      </c>
      <c r="AR7" s="87">
        <v>52.087722199999995</v>
      </c>
      <c r="AS7" s="87">
        <v>55.036615670000003</v>
      </c>
      <c r="AT7" s="87">
        <v>53.564904319999997</v>
      </c>
      <c r="AU7" s="87">
        <v>211.2062153</v>
      </c>
      <c r="AV7" s="87">
        <v>62.685896440000015</v>
      </c>
      <c r="AW7" s="87">
        <v>55.920591590000008</v>
      </c>
      <c r="AX7" s="87">
        <v>57.158231209999997</v>
      </c>
      <c r="AY7" s="87">
        <v>25.7843824115904</v>
      </c>
      <c r="AZ7" s="87">
        <v>201.54910165159041</v>
      </c>
      <c r="BA7" s="87">
        <v>23.863594190000001</v>
      </c>
      <c r="BB7" s="87">
        <v>24.258934119999999</v>
      </c>
      <c r="BC7" s="87">
        <v>22.849560320000005</v>
      </c>
      <c r="BD7" s="87">
        <v>25.415611590000001</v>
      </c>
      <c r="BE7" s="87">
        <v>96.387700219999999</v>
      </c>
      <c r="BF7" s="87">
        <v>23.63304144</v>
      </c>
      <c r="BG7" s="87">
        <v>24.52196691999999</v>
      </c>
      <c r="BH7" s="87">
        <v>25.144985500000011</v>
      </c>
      <c r="BI7" s="87">
        <v>25.128186539999994</v>
      </c>
      <c r="BJ7" s="87">
        <v>98.428180400000002</v>
      </c>
      <c r="BK7" s="87">
        <v>25.532983339999998</v>
      </c>
      <c r="BL7" s="87">
        <v>24.359518120000001</v>
      </c>
      <c r="BM7" s="87">
        <v>25.700778870000008</v>
      </c>
      <c r="BN7" s="87">
        <v>26.137489049999989</v>
      </c>
      <c r="BO7" s="87">
        <v>101.73076937999998</v>
      </c>
      <c r="BP7" s="87">
        <v>26.874882019999998</v>
      </c>
      <c r="BQ7" s="87">
        <v>32.282644179999991</v>
      </c>
      <c r="BR7" s="87">
        <v>32.91288738999998</v>
      </c>
      <c r="BS7" s="87">
        <v>31.808250950000001</v>
      </c>
      <c r="BT7" s="87">
        <v>123.87866453999997</v>
      </c>
      <c r="BU7" s="87">
        <v>33.358144899999999</v>
      </c>
      <c r="BV7" s="87">
        <v>33.600233560000007</v>
      </c>
    </row>
    <row r="8" spans="1:74" s="1" customFormat="1" ht="15" customHeight="1">
      <c r="A8" t="s">
        <v>267</v>
      </c>
      <c r="B8" s="9" t="str">
        <f>IF('Sumário | Summary'!P1=1,"Shopping Centers","Leases from Shopping Centers")</f>
        <v>Shopping Centers</v>
      </c>
      <c r="C8" s="4">
        <v>10.435</v>
      </c>
      <c r="D8" s="4">
        <v>10.702166399999999</v>
      </c>
      <c r="E8" s="4">
        <v>10.6</v>
      </c>
      <c r="F8" s="4">
        <v>17.498571519999999</v>
      </c>
      <c r="G8" s="4">
        <v>49.235737919999998</v>
      </c>
      <c r="H8" s="4">
        <v>15.218999999999999</v>
      </c>
      <c r="I8" s="4">
        <v>15.419</v>
      </c>
      <c r="J8" s="4">
        <v>15.569000000000001</v>
      </c>
      <c r="K8" s="4">
        <v>19.220350639999999</v>
      </c>
      <c r="L8" s="4">
        <v>65.42735064</v>
      </c>
      <c r="M8" s="4">
        <v>28.587</v>
      </c>
      <c r="N8" s="4">
        <v>28.565000000000001</v>
      </c>
      <c r="O8" s="4">
        <v>29.74</v>
      </c>
      <c r="P8" s="4">
        <v>38.593000000000004</v>
      </c>
      <c r="Q8" s="4">
        <v>125.485</v>
      </c>
      <c r="R8" s="4">
        <v>31.17</v>
      </c>
      <c r="S8" s="4">
        <v>40.884999999999998</v>
      </c>
      <c r="T8" s="4">
        <v>43.5</v>
      </c>
      <c r="U8" s="32">
        <v>53.060700970000028</v>
      </c>
      <c r="V8" s="4">
        <v>168.61570097000003</v>
      </c>
      <c r="W8" s="32">
        <v>45.858123522903803</v>
      </c>
      <c r="X8" s="32">
        <v>46.692</v>
      </c>
      <c r="Y8" s="51">
        <v>48.517000000000003</v>
      </c>
      <c r="Z8" s="36">
        <v>41.338000000000001</v>
      </c>
      <c r="AA8" s="4">
        <v>182.40512352290381</v>
      </c>
      <c r="AB8" s="32">
        <v>52.322000000000003</v>
      </c>
      <c r="AC8" s="32">
        <v>56.216999999999999</v>
      </c>
      <c r="AD8" s="32">
        <v>51.835000000000001</v>
      </c>
      <c r="AE8" s="32">
        <v>58.730586040000027</v>
      </c>
      <c r="AF8" s="32">
        <v>219.10479174928344</v>
      </c>
      <c r="AG8" s="32">
        <v>55.154471109999996</v>
      </c>
      <c r="AH8" s="32">
        <v>54.810268529999995</v>
      </c>
      <c r="AI8" s="32">
        <v>60.166706860000005</v>
      </c>
      <c r="AJ8" s="32">
        <v>60.758966600000001</v>
      </c>
      <c r="AK8" s="32">
        <v>230.89041310000002</v>
      </c>
      <c r="AL8" s="87">
        <v>57.804375260000008</v>
      </c>
      <c r="AM8" s="87">
        <v>60.858706600000005</v>
      </c>
      <c r="AN8" s="87">
        <v>60.190093869999991</v>
      </c>
      <c r="AO8" s="87">
        <v>62.332381750000003</v>
      </c>
      <c r="AP8" s="87">
        <v>241.18555748</v>
      </c>
      <c r="AQ8" s="87">
        <v>61.143515139999998</v>
      </c>
      <c r="AR8" s="87">
        <v>43.117533041570738</v>
      </c>
      <c r="AS8" s="87">
        <v>46.866793198429264</v>
      </c>
      <c r="AT8" s="87">
        <v>60.236504236686727</v>
      </c>
      <c r="AU8" s="87">
        <v>211.36434561668673</v>
      </c>
      <c r="AV8" s="87">
        <v>53.50367408999999</v>
      </c>
      <c r="AW8" s="87">
        <v>58.534452399999999</v>
      </c>
      <c r="AX8" s="87">
        <v>60.653803659999973</v>
      </c>
      <c r="AY8" s="87">
        <v>77.687804762500022</v>
      </c>
      <c r="AZ8" s="87">
        <v>250.3797349125</v>
      </c>
      <c r="BA8" s="87">
        <v>71.022235190000018</v>
      </c>
      <c r="BB8" s="87">
        <v>73.140213720000006</v>
      </c>
      <c r="BC8" s="87">
        <v>73.866223729999945</v>
      </c>
      <c r="BD8" s="87">
        <v>82.480462169999981</v>
      </c>
      <c r="BE8" s="87">
        <v>300.50913480999998</v>
      </c>
      <c r="BF8" s="87">
        <v>63.972125999999996</v>
      </c>
      <c r="BG8" s="87">
        <v>62.989022099999993</v>
      </c>
      <c r="BH8" s="87">
        <v>62.403244310000012</v>
      </c>
      <c r="BI8" s="87">
        <v>67.262773630000012</v>
      </c>
      <c r="BJ8" s="87">
        <v>256.62716604000002</v>
      </c>
      <c r="BK8" s="87">
        <v>63.540088699999991</v>
      </c>
      <c r="BL8" s="87">
        <v>55.370998499999999</v>
      </c>
      <c r="BM8" s="87">
        <v>41.235827089999994</v>
      </c>
      <c r="BN8" s="87">
        <v>10.379032119504933</v>
      </c>
      <c r="BO8" s="87">
        <v>170.52594640950491</v>
      </c>
      <c r="BP8" s="87">
        <v>26.154523499999996</v>
      </c>
      <c r="BQ8" s="87">
        <v>11.330179191249995</v>
      </c>
      <c r="BR8" s="87">
        <v>27.214880901249998</v>
      </c>
      <c r="BS8" s="87">
        <v>19.424831579999999</v>
      </c>
      <c r="BT8" s="87">
        <v>84.124415172499994</v>
      </c>
      <c r="BU8" s="87">
        <v>19.227031849999999</v>
      </c>
      <c r="BV8" s="87">
        <v>19.312677179999998</v>
      </c>
    </row>
    <row r="9" spans="1:74" s="1" customFormat="1" ht="15" customHeight="1">
      <c r="A9" t="s">
        <v>268</v>
      </c>
      <c r="B9" s="9" t="str">
        <f>IF('Sumário | Summary'!P1=1,"Locação de Centros de Distribuição","Leases from Distribution Centers")</f>
        <v>Locação de Centros de Distribuição</v>
      </c>
      <c r="C9" s="4">
        <v>2.2149999999999999</v>
      </c>
      <c r="D9" s="4">
        <v>2.3616230200000001</v>
      </c>
      <c r="E9" s="4">
        <v>2.2799999999999998</v>
      </c>
      <c r="F9" s="4">
        <v>2.3496207</v>
      </c>
      <c r="G9" s="4">
        <v>9.2062437199999998</v>
      </c>
      <c r="H9" s="4">
        <v>2.35</v>
      </c>
      <c r="I9" s="4">
        <v>2.3889999999999998</v>
      </c>
      <c r="J9" s="4">
        <v>2.46</v>
      </c>
      <c r="K9" s="4">
        <v>1.9824471400000001</v>
      </c>
      <c r="L9" s="4">
        <v>9.1814471399999995</v>
      </c>
      <c r="M9" s="4">
        <v>2.3210000000000002</v>
      </c>
      <c r="N9" s="4">
        <v>2.6040000000000001</v>
      </c>
      <c r="O9" s="4">
        <v>2.2330000000000001</v>
      </c>
      <c r="P9" s="4">
        <v>2.6930000000000001</v>
      </c>
      <c r="Q9" s="4">
        <v>9.8510000000000009</v>
      </c>
      <c r="R9" s="4">
        <v>2.6739999999999999</v>
      </c>
      <c r="S9" s="4">
        <v>1.6759999999999999</v>
      </c>
      <c r="T9" s="4">
        <v>1.7</v>
      </c>
      <c r="U9" s="32">
        <v>1.7645618100000007</v>
      </c>
      <c r="V9" s="4">
        <v>7.8145618100000007</v>
      </c>
      <c r="W9" s="32">
        <v>2.0792359899999999</v>
      </c>
      <c r="X9" s="32">
        <v>1.4339999999999999</v>
      </c>
      <c r="Y9" s="51">
        <v>0.08</v>
      </c>
      <c r="Z9" s="36">
        <v>0.74099999999999999</v>
      </c>
      <c r="AA9" s="4">
        <v>4.3342359899999998</v>
      </c>
      <c r="AB9" s="32">
        <v>0.755</v>
      </c>
      <c r="AC9" s="32">
        <v>0.78300000000000003</v>
      </c>
      <c r="AD9" s="32">
        <v>-0.80400000000000005</v>
      </c>
      <c r="AE9" s="32">
        <v>0</v>
      </c>
      <c r="AF9" s="32">
        <v>0.73403136000000024</v>
      </c>
      <c r="AG9" s="32">
        <v>0</v>
      </c>
      <c r="AH9" s="32">
        <v>0</v>
      </c>
      <c r="AI9" s="32">
        <v>0</v>
      </c>
      <c r="AJ9" s="32">
        <v>0</v>
      </c>
      <c r="AK9" s="32">
        <v>0</v>
      </c>
      <c r="AL9" s="87">
        <v>0</v>
      </c>
      <c r="AM9" s="87">
        <v>0</v>
      </c>
      <c r="AN9" s="87">
        <v>0</v>
      </c>
      <c r="AO9" s="87">
        <v>0</v>
      </c>
      <c r="AP9" s="87">
        <v>0</v>
      </c>
      <c r="AQ9" s="87">
        <v>0</v>
      </c>
      <c r="AR9" s="87">
        <v>0</v>
      </c>
      <c r="AS9" s="87">
        <v>0</v>
      </c>
      <c r="AT9" s="87">
        <v>0</v>
      </c>
      <c r="AU9" s="87">
        <v>0</v>
      </c>
      <c r="AV9" s="87">
        <v>0</v>
      </c>
      <c r="AW9" s="87">
        <v>0</v>
      </c>
      <c r="AX9" s="87">
        <v>0</v>
      </c>
      <c r="AY9" s="87">
        <v>0</v>
      </c>
      <c r="AZ9" s="87">
        <v>0</v>
      </c>
      <c r="BA9" s="87">
        <v>0</v>
      </c>
      <c r="BB9" s="87">
        <v>0</v>
      </c>
      <c r="BC9" s="87">
        <v>0</v>
      </c>
      <c r="BD9" s="87">
        <v>0</v>
      </c>
      <c r="BE9" s="87">
        <v>0</v>
      </c>
      <c r="BF9" s="87">
        <v>0</v>
      </c>
      <c r="BG9" s="87">
        <v>0</v>
      </c>
      <c r="BH9" s="87">
        <v>0</v>
      </c>
      <c r="BI9" s="87">
        <v>0</v>
      </c>
      <c r="BJ9" s="87">
        <v>0</v>
      </c>
      <c r="BK9" s="87">
        <v>0</v>
      </c>
      <c r="BL9" s="87">
        <v>0</v>
      </c>
      <c r="BM9" s="87">
        <v>0</v>
      </c>
      <c r="BN9" s="87">
        <v>0</v>
      </c>
      <c r="BO9" s="87">
        <v>0</v>
      </c>
      <c r="BP9" s="87">
        <v>0</v>
      </c>
      <c r="BQ9" s="87">
        <v>0</v>
      </c>
      <c r="BR9" s="87">
        <v>0</v>
      </c>
      <c r="BS9" s="87">
        <v>0</v>
      </c>
      <c r="BT9" s="87">
        <v>0</v>
      </c>
      <c r="BU9" s="87">
        <v>0</v>
      </c>
      <c r="BV9" s="87">
        <v>0</v>
      </c>
    </row>
    <row r="10" spans="1:74" s="1" customFormat="1" ht="15" customHeight="1">
      <c r="A10" t="s">
        <v>269</v>
      </c>
      <c r="B10" s="9" t="str">
        <f>IF('Sumário | Summary'!P1=1,"Locação de outros empreendimentos","Leases of other projects")</f>
        <v>Locação de outros empreendimentos</v>
      </c>
      <c r="C10" s="4">
        <v>2.6080000000000001</v>
      </c>
      <c r="D10" s="4">
        <v>2.6538310093173099</v>
      </c>
      <c r="E10" s="4">
        <v>2.7</v>
      </c>
      <c r="F10" s="4">
        <v>2.8278985055531201</v>
      </c>
      <c r="G10" s="4">
        <v>10.78972951487043</v>
      </c>
      <c r="H10" s="4">
        <v>3.7850000000000001</v>
      </c>
      <c r="I10" s="4">
        <v>3.9849999999999999</v>
      </c>
      <c r="J10" s="4">
        <v>3.927</v>
      </c>
      <c r="K10" s="4">
        <v>3.7645500699999999</v>
      </c>
      <c r="L10" s="4">
        <v>15.461550069999999</v>
      </c>
      <c r="M10" s="4">
        <v>3.9540000000000002</v>
      </c>
      <c r="N10" s="4">
        <v>3.9790000000000001</v>
      </c>
      <c r="O10" s="4">
        <v>4.008</v>
      </c>
      <c r="P10" s="4">
        <v>4.0380000000000003</v>
      </c>
      <c r="Q10" s="4">
        <v>15.978999999999999</v>
      </c>
      <c r="R10" s="4">
        <v>4.1059999999999999</v>
      </c>
      <c r="S10" s="4">
        <v>4.1840000000000002</v>
      </c>
      <c r="T10" s="4">
        <v>4</v>
      </c>
      <c r="U10" s="32">
        <v>3.8624320200000017</v>
      </c>
      <c r="V10" s="4">
        <v>16.152432019999999</v>
      </c>
      <c r="W10" s="32">
        <v>4.3297807800000001</v>
      </c>
      <c r="X10" s="32">
        <v>4.3220000000000001</v>
      </c>
      <c r="Y10" s="51">
        <v>4.2889999999999997</v>
      </c>
      <c r="Z10" s="36">
        <v>4.3220000000000001</v>
      </c>
      <c r="AA10" s="4">
        <v>17.26278078</v>
      </c>
      <c r="AB10" s="32">
        <v>0</v>
      </c>
      <c r="AC10" s="32">
        <v>0</v>
      </c>
      <c r="AD10" s="32">
        <v>0</v>
      </c>
      <c r="AE10" s="32">
        <v>0</v>
      </c>
      <c r="AF10" s="32">
        <v>0</v>
      </c>
      <c r="AG10" s="32">
        <v>0</v>
      </c>
      <c r="AH10" s="32">
        <v>0</v>
      </c>
      <c r="AI10" s="32">
        <v>0</v>
      </c>
      <c r="AJ10" s="32">
        <v>0</v>
      </c>
      <c r="AK10" s="32">
        <v>0</v>
      </c>
      <c r="AL10" s="87">
        <v>0</v>
      </c>
      <c r="AM10" s="87">
        <v>0</v>
      </c>
      <c r="AN10" s="87">
        <v>0</v>
      </c>
      <c r="AO10" s="87">
        <v>0</v>
      </c>
      <c r="AP10" s="87">
        <v>0</v>
      </c>
      <c r="AQ10" s="87">
        <v>0</v>
      </c>
      <c r="AR10" s="87">
        <v>0</v>
      </c>
      <c r="AS10" s="87">
        <v>0</v>
      </c>
      <c r="AT10" s="87">
        <v>0</v>
      </c>
      <c r="AU10" s="87">
        <v>0</v>
      </c>
      <c r="AV10" s="87">
        <v>0</v>
      </c>
      <c r="AW10" s="87">
        <v>0</v>
      </c>
      <c r="AX10" s="87">
        <v>0</v>
      </c>
      <c r="AY10" s="87">
        <v>0</v>
      </c>
      <c r="AZ10" s="87">
        <v>0</v>
      </c>
      <c r="BA10" s="87">
        <v>0</v>
      </c>
      <c r="BB10" s="87">
        <v>0</v>
      </c>
      <c r="BC10" s="87">
        <v>0</v>
      </c>
      <c r="BD10" s="87">
        <v>0</v>
      </c>
      <c r="BE10" s="87">
        <v>0</v>
      </c>
      <c r="BF10" s="87">
        <v>0</v>
      </c>
      <c r="BG10" s="87">
        <v>0</v>
      </c>
      <c r="BH10" s="87">
        <v>0</v>
      </c>
      <c r="BI10" s="87">
        <v>0</v>
      </c>
      <c r="BJ10" s="87">
        <v>0</v>
      </c>
      <c r="BK10" s="87">
        <v>0</v>
      </c>
      <c r="BL10" s="87">
        <v>0</v>
      </c>
      <c r="BM10" s="87">
        <v>0</v>
      </c>
      <c r="BN10" s="87">
        <v>0</v>
      </c>
      <c r="BO10" s="87">
        <v>0</v>
      </c>
      <c r="BP10" s="87">
        <v>0</v>
      </c>
      <c r="BQ10" s="87">
        <v>0</v>
      </c>
      <c r="BR10" s="87">
        <v>0</v>
      </c>
      <c r="BS10" s="87">
        <v>0</v>
      </c>
      <c r="BT10" s="87">
        <v>0</v>
      </c>
      <c r="BU10" s="87">
        <v>0</v>
      </c>
      <c r="BV10" s="87">
        <v>0</v>
      </c>
    </row>
    <row r="11" spans="1:74" s="1" customFormat="1" ht="15" customHeight="1">
      <c r="A11" s="175" t="s">
        <v>127</v>
      </c>
      <c r="B11" s="13" t="str">
        <f>IF('Sumário | Summary'!P1=1,"Prestação de serviços de Administração","Services Revenues")</f>
        <v>Prestação de serviços de Administração</v>
      </c>
      <c r="C11" s="4">
        <v>4.5250000000000004</v>
      </c>
      <c r="D11" s="4">
        <v>3.4247072994000001</v>
      </c>
      <c r="E11" s="4">
        <v>3.8140000000000001</v>
      </c>
      <c r="F11" s="4">
        <v>4.2584271400000002</v>
      </c>
      <c r="G11" s="4">
        <v>16.022134439399998</v>
      </c>
      <c r="H11" s="4">
        <v>4.7089999999999996</v>
      </c>
      <c r="I11" s="4">
        <v>19.021000000000001</v>
      </c>
      <c r="J11" s="4">
        <v>13.25</v>
      </c>
      <c r="K11" s="4">
        <v>13.157181639999999</v>
      </c>
      <c r="L11" s="4">
        <v>50.137181640000001</v>
      </c>
      <c r="M11" s="4">
        <v>11.412000000000001</v>
      </c>
      <c r="N11" s="4">
        <v>15.69</v>
      </c>
      <c r="O11" s="4">
        <v>15.48</v>
      </c>
      <c r="P11" s="4">
        <v>16.913</v>
      </c>
      <c r="Q11" s="4">
        <v>59.495000000000005</v>
      </c>
      <c r="R11" s="4">
        <v>17.282</v>
      </c>
      <c r="S11" s="4">
        <v>17.11</v>
      </c>
      <c r="T11" s="4">
        <v>18.23</v>
      </c>
      <c r="U11" s="32">
        <v>21.779825692999992</v>
      </c>
      <c r="V11" s="4">
        <v>74.401825692999992</v>
      </c>
      <c r="W11" s="32">
        <v>18.24645778</v>
      </c>
      <c r="X11" s="32">
        <v>18.010999999999999</v>
      </c>
      <c r="Y11" s="32">
        <v>20.215</v>
      </c>
      <c r="Z11" s="36">
        <v>22.329000000000001</v>
      </c>
      <c r="AA11" s="4">
        <v>78.801457779999993</v>
      </c>
      <c r="AB11" s="32">
        <v>20.306999999999999</v>
      </c>
      <c r="AC11" s="32">
        <v>21.405000000000001</v>
      </c>
      <c r="AD11" s="32">
        <v>20.959</v>
      </c>
      <c r="AE11" s="32">
        <v>25.487000000000002</v>
      </c>
      <c r="AF11" s="32">
        <v>88.158000000000001</v>
      </c>
      <c r="AG11" s="32">
        <v>22.893999999999998</v>
      </c>
      <c r="AH11" s="32">
        <v>22.581</v>
      </c>
      <c r="AI11" s="32">
        <v>23.048999999999999</v>
      </c>
      <c r="AJ11" s="32">
        <v>25.946999999999999</v>
      </c>
      <c r="AK11" s="32">
        <v>94.471000000000004</v>
      </c>
      <c r="AL11" s="87">
        <v>24.2634571</v>
      </c>
      <c r="AM11" s="87">
        <v>25.708449660000003</v>
      </c>
      <c r="AN11" s="87">
        <v>26.278680207651998</v>
      </c>
      <c r="AO11" s="87">
        <v>37.401663731394997</v>
      </c>
      <c r="AP11" s="87">
        <v>113.652250699047</v>
      </c>
      <c r="AQ11" s="87">
        <v>24.913685358053005</v>
      </c>
      <c r="AR11" s="87">
        <v>7.6235903819470003</v>
      </c>
      <c r="AS11" s="87">
        <v>14.117867341330003</v>
      </c>
      <c r="AT11" s="87">
        <v>23.398292503408005</v>
      </c>
      <c r="AU11" s="87">
        <v>70.053435584738011</v>
      </c>
      <c r="AV11" s="87">
        <v>15.710153267005001</v>
      </c>
      <c r="AW11" s="87">
        <v>17.706799342275001</v>
      </c>
      <c r="AX11" s="87">
        <v>22.244363728284</v>
      </c>
      <c r="AY11" s="87">
        <v>31.395397948345995</v>
      </c>
      <c r="AZ11" s="87">
        <v>87.056714285910004</v>
      </c>
      <c r="BA11" s="87">
        <v>27.995314644447994</v>
      </c>
      <c r="BB11" s="87">
        <v>30.716807281142003</v>
      </c>
      <c r="BC11" s="87">
        <v>31.745333289910008</v>
      </c>
      <c r="BD11" s="87">
        <v>34.903500678438988</v>
      </c>
      <c r="BE11" s="87">
        <v>125.36095589393898</v>
      </c>
      <c r="BF11" s="87">
        <v>31.182430350051995</v>
      </c>
      <c r="BG11" s="87">
        <v>32.972435073627999</v>
      </c>
      <c r="BH11" s="87">
        <v>33.150442945879988</v>
      </c>
      <c r="BI11" s="87">
        <v>37.588407324098995</v>
      </c>
      <c r="BJ11" s="87">
        <v>134.89371569365898</v>
      </c>
      <c r="BK11" s="87">
        <v>33.959012660028002</v>
      </c>
      <c r="BL11" s="87">
        <v>33.898683712011994</v>
      </c>
      <c r="BM11" s="87">
        <v>34.843414926359998</v>
      </c>
      <c r="BN11" s="87">
        <v>40.160208173003006</v>
      </c>
      <c r="BO11" s="87">
        <v>142.86131947140299</v>
      </c>
      <c r="BP11" s="87">
        <v>34.520352014407997</v>
      </c>
      <c r="BQ11" s="87">
        <v>34.388298539171991</v>
      </c>
      <c r="BR11" s="87">
        <v>34.738478062580008</v>
      </c>
      <c r="BS11" s="87">
        <v>38.591861744473995</v>
      </c>
      <c r="BT11" s="87">
        <v>142.23899036063398</v>
      </c>
      <c r="BU11" s="87">
        <v>34.91543245055599</v>
      </c>
      <c r="BV11" s="87">
        <v>34.065579602564</v>
      </c>
    </row>
    <row r="12" spans="1:74" s="1" customFormat="1" ht="15" customHeight="1">
      <c r="A12" s="175" t="s">
        <v>128</v>
      </c>
      <c r="B12" s="9" t="str">
        <f>IF('Sumário | Summary'!P1=1,"Vendas de Propriedades e Incorporação Imobiliária","Revenues from the Sale of Real Estate Properties")</f>
        <v>Vendas de Propriedades e Incorporação Imobiliária</v>
      </c>
      <c r="C12" s="4">
        <v>5.2469999999999999</v>
      </c>
      <c r="D12" s="4">
        <v>48.815914194999998</v>
      </c>
      <c r="E12" s="4">
        <v>15.329000000000001</v>
      </c>
      <c r="F12" s="4">
        <v>119.02169542</v>
      </c>
      <c r="G12" s="4">
        <v>188.41360961499998</v>
      </c>
      <c r="H12" s="4">
        <v>15.874000000000001</v>
      </c>
      <c r="I12" s="4">
        <v>22.416</v>
      </c>
      <c r="J12" s="4">
        <v>21.23</v>
      </c>
      <c r="K12" s="4">
        <v>15.024824150000001</v>
      </c>
      <c r="L12" s="4">
        <v>74.544824149999997</v>
      </c>
      <c r="M12" s="4">
        <v>21.466000000000001</v>
      </c>
      <c r="N12" s="4">
        <v>6.01</v>
      </c>
      <c r="O12" s="4">
        <v>37.368000000000002</v>
      </c>
      <c r="P12" s="4">
        <v>2.149</v>
      </c>
      <c r="Q12" s="4">
        <v>66.992999999999995</v>
      </c>
      <c r="R12" s="4">
        <v>2.9609999999999999</v>
      </c>
      <c r="S12" s="4">
        <v>1.631</v>
      </c>
      <c r="T12" s="4">
        <v>17.8</v>
      </c>
      <c r="U12" s="32">
        <v>0.66186166000000046</v>
      </c>
      <c r="V12" s="4">
        <v>23.053861659999999</v>
      </c>
      <c r="W12" s="32">
        <v>-0.56499999999999995</v>
      </c>
      <c r="X12" s="32">
        <v>-0.40600000000000003</v>
      </c>
      <c r="Y12" s="32">
        <v>31.152999999999999</v>
      </c>
      <c r="Z12" s="36">
        <v>26.984999999999999</v>
      </c>
      <c r="AA12" s="4">
        <v>57.167000000000002</v>
      </c>
      <c r="AB12" s="32">
        <v>1.2E-2</v>
      </c>
      <c r="AC12" s="32">
        <v>7.3999999999999996E-2</v>
      </c>
      <c r="AD12" s="32">
        <v>31.687999999999999</v>
      </c>
      <c r="AE12" s="32">
        <v>0</v>
      </c>
      <c r="AF12" s="32">
        <v>31.774000000000001</v>
      </c>
      <c r="AG12" s="32">
        <v>0</v>
      </c>
      <c r="AH12" s="32">
        <v>62.4</v>
      </c>
      <c r="AI12" s="32">
        <v>0</v>
      </c>
      <c r="AJ12" s="32">
        <v>0</v>
      </c>
      <c r="AK12" s="32">
        <v>62.4</v>
      </c>
      <c r="AL12" s="87">
        <v>0</v>
      </c>
      <c r="AM12" s="87">
        <v>0</v>
      </c>
      <c r="AN12" s="87">
        <v>0</v>
      </c>
      <c r="AO12" s="87">
        <v>0</v>
      </c>
      <c r="AP12" s="87">
        <v>0</v>
      </c>
      <c r="AQ12" s="87">
        <v>0</v>
      </c>
      <c r="AR12" s="87">
        <v>0</v>
      </c>
      <c r="AS12" s="87">
        <v>36.6</v>
      </c>
      <c r="AT12" s="87">
        <v>0</v>
      </c>
      <c r="AU12" s="87">
        <v>36.6</v>
      </c>
      <c r="AV12" s="87">
        <v>0</v>
      </c>
      <c r="AW12" s="87">
        <v>0</v>
      </c>
      <c r="AX12" s="87">
        <v>0</v>
      </c>
      <c r="AY12" s="87">
        <v>1902.3904491500002</v>
      </c>
      <c r="AZ12" s="87">
        <v>1902.3904491500002</v>
      </c>
      <c r="BA12" s="87">
        <v>53.501475910000003</v>
      </c>
      <c r="BB12" s="87">
        <v>3.7782050000000005E-2</v>
      </c>
      <c r="BC12" s="87">
        <v>0</v>
      </c>
      <c r="BD12" s="87">
        <v>0</v>
      </c>
      <c r="BE12" s="87">
        <v>53.53925796</v>
      </c>
      <c r="BF12" s="87">
        <v>0</v>
      </c>
      <c r="BG12" s="87">
        <v>-1.2250829699999999</v>
      </c>
      <c r="BH12" s="87">
        <v>0</v>
      </c>
      <c r="BI12" s="87">
        <v>0</v>
      </c>
      <c r="BJ12" s="87">
        <v>-1.2250829699999999</v>
      </c>
      <c r="BK12" s="87">
        <v>0</v>
      </c>
      <c r="BL12" s="87">
        <v>1018.948</v>
      </c>
      <c r="BM12" s="87">
        <v>-6.7795077700000252</v>
      </c>
      <c r="BN12" s="87">
        <v>7.5616558800000933</v>
      </c>
      <c r="BO12" s="87">
        <v>1019.7301481100001</v>
      </c>
      <c r="BP12" s="87">
        <v>3.6684797100000006</v>
      </c>
      <c r="BQ12" s="87">
        <v>1.3134613800000001</v>
      </c>
      <c r="BR12" s="87">
        <v>0</v>
      </c>
      <c r="BS12" s="87">
        <v>-0.80140186999999974</v>
      </c>
      <c r="BT12" s="87">
        <v>4.1805392200000018</v>
      </c>
      <c r="BU12" s="87">
        <v>0</v>
      </c>
      <c r="BV12" s="87">
        <v>0.30197986999999998</v>
      </c>
    </row>
    <row r="13" spans="1:74" s="1" customFormat="1" ht="15" customHeight="1">
      <c r="A13" t="s">
        <v>129</v>
      </c>
      <c r="B13" s="9" t="str">
        <f>IF('Sumário | Summary'!P1=1,"Deduções da receita bruta","Deductions")</f>
        <v>Deduções da receita bruta</v>
      </c>
      <c r="C13" s="4">
        <v>-1.91</v>
      </c>
      <c r="D13" s="4">
        <v>-3.1405417299999998</v>
      </c>
      <c r="E13" s="4">
        <v>-1.679</v>
      </c>
      <c r="F13" s="4">
        <v>-5.6248449999999997</v>
      </c>
      <c r="G13" s="4">
        <v>-12.35438673</v>
      </c>
      <c r="H13" s="4">
        <v>-2.0009999999999999</v>
      </c>
      <c r="I13" s="4">
        <v>-4.29</v>
      </c>
      <c r="J13" s="4">
        <v>-3.0670000000000002</v>
      </c>
      <c r="K13" s="4">
        <v>-2.9318080000000002</v>
      </c>
      <c r="L13" s="4">
        <v>-12.289808000000001</v>
      </c>
      <c r="M13" s="4">
        <v>-3.3359999999999999</v>
      </c>
      <c r="N13" s="4">
        <v>-3.9940000000000002</v>
      </c>
      <c r="O13" s="4">
        <v>-5.3369999999999997</v>
      </c>
      <c r="P13" s="4">
        <v>-6.3019999999999996</v>
      </c>
      <c r="Q13" s="4">
        <v>-18.969000000000001</v>
      </c>
      <c r="R13" s="4">
        <v>-5.3550000000000004</v>
      </c>
      <c r="S13" s="4">
        <v>-4.4480000000000004</v>
      </c>
      <c r="T13" s="4">
        <v>-9.1</v>
      </c>
      <c r="U13" s="32">
        <v>-5.3129999999999997</v>
      </c>
      <c r="V13" s="4">
        <v>-24.215999999999998</v>
      </c>
      <c r="W13" s="32">
        <v>-6.72</v>
      </c>
      <c r="X13" s="32">
        <v>-6.4859999999999998</v>
      </c>
      <c r="Y13" s="32">
        <v>-7.36</v>
      </c>
      <c r="Z13" s="36">
        <v>-7.5380000000000003</v>
      </c>
      <c r="AA13" s="4">
        <v>-28.103999999999999</v>
      </c>
      <c r="AB13" s="51">
        <v>-5.8529999999999998</v>
      </c>
      <c r="AC13" s="51">
        <v>-7.34</v>
      </c>
      <c r="AD13" s="51">
        <v>-7.4989999999999997</v>
      </c>
      <c r="AE13" s="51">
        <v>-7.8470000000000004</v>
      </c>
      <c r="AF13" s="51">
        <v>-28.539000000000001</v>
      </c>
      <c r="AG13" s="51">
        <v>-6.1479999999999997</v>
      </c>
      <c r="AH13" s="51">
        <v>-8.4160000000000004</v>
      </c>
      <c r="AI13" s="51">
        <v>-10.548999999999999</v>
      </c>
      <c r="AJ13" s="51">
        <v>-9.69</v>
      </c>
      <c r="AK13" s="51">
        <v>-34.802999999999997</v>
      </c>
      <c r="AL13" s="87">
        <v>-5.3689398499999994</v>
      </c>
      <c r="AM13" s="87">
        <v>-7.7260119300000012</v>
      </c>
      <c r="AN13" s="87">
        <v>-7.7095896900000049</v>
      </c>
      <c r="AO13" s="87">
        <v>-8.1408238099999952</v>
      </c>
      <c r="AP13" s="87">
        <v>-28.945365280000001</v>
      </c>
      <c r="AQ13" s="87">
        <v>-6.6730595300000006</v>
      </c>
      <c r="AR13" s="87">
        <v>-9.7709133415707399</v>
      </c>
      <c r="AS13" s="87">
        <v>-12.351300158429268</v>
      </c>
      <c r="AT13" s="87">
        <v>-14.104889679999999</v>
      </c>
      <c r="AU13" s="87">
        <v>-42.900162710000004</v>
      </c>
      <c r="AV13" s="87">
        <v>-13.496971440000001</v>
      </c>
      <c r="AW13" s="87">
        <v>-19.325484747797518</v>
      </c>
      <c r="AX13" s="87">
        <v>-15.435473620000005</v>
      </c>
      <c r="AY13" s="87">
        <v>-87.006070532202443</v>
      </c>
      <c r="AZ13" s="87">
        <v>-73.746829687797543</v>
      </c>
      <c r="BA13" s="87">
        <v>-23.06596343</v>
      </c>
      <c r="BB13" s="87">
        <v>-27.575006349999999</v>
      </c>
      <c r="BC13" s="87">
        <v>-22.999270639999999</v>
      </c>
      <c r="BD13" s="87">
        <v>-27.6582422175508</v>
      </c>
      <c r="BE13" s="87">
        <v>-92.707323677550789</v>
      </c>
      <c r="BF13" s="87">
        <v>-19.537629079999999</v>
      </c>
      <c r="BG13" s="87">
        <v>-15.286338570000003</v>
      </c>
      <c r="BH13" s="87">
        <v>-14.789421790000008</v>
      </c>
      <c r="BI13" s="87">
        <v>-14.40305180999999</v>
      </c>
      <c r="BJ13" s="87">
        <v>-64.01644125</v>
      </c>
      <c r="BK13" s="87">
        <v>-10.62510449</v>
      </c>
      <c r="BL13" s="87">
        <v>-51.148229409999999</v>
      </c>
      <c r="BM13" s="87">
        <v>-9.0367118500000068</v>
      </c>
      <c r="BN13" s="87">
        <v>-6.2949366456499991</v>
      </c>
      <c r="BO13" s="87">
        <v>-77.104982395649998</v>
      </c>
      <c r="BP13" s="87">
        <v>-7.4553711100000006</v>
      </c>
      <c r="BQ13" s="87">
        <v>-4.9429048712500023</v>
      </c>
      <c r="BR13" s="87">
        <v>-7.8426215687500012</v>
      </c>
      <c r="BS13" s="87">
        <v>-6.5153110399999967</v>
      </c>
      <c r="BT13" s="87">
        <v>-26.75620859</v>
      </c>
      <c r="BU13" s="87">
        <v>-5.1680471600000004</v>
      </c>
      <c r="BV13" s="87">
        <v>-5.4220602399999986</v>
      </c>
    </row>
    <row r="14" spans="1:74" s="1" customFormat="1" ht="15" customHeight="1">
      <c r="A14" s="175" t="s">
        <v>100</v>
      </c>
      <c r="B14" s="8" t="str">
        <f>IF('Sumário | Summary'!P1=1,"Receita Líquida","Net Operating Revenues")</f>
        <v>Receita Líquida</v>
      </c>
      <c r="C14" s="3">
        <v>49.503</v>
      </c>
      <c r="D14" s="3">
        <v>92.120126433717303</v>
      </c>
      <c r="E14" s="3">
        <v>60.126000000000005</v>
      </c>
      <c r="F14" s="3">
        <v>171.09053258555312</v>
      </c>
      <c r="G14" s="3">
        <v>372.83965901927041</v>
      </c>
      <c r="H14" s="3">
        <v>70.180999999999997</v>
      </c>
      <c r="I14" s="3">
        <v>88.54</v>
      </c>
      <c r="J14" s="3">
        <v>83.271000000000015</v>
      </c>
      <c r="K14" s="3">
        <v>80.301782599999996</v>
      </c>
      <c r="L14" s="3">
        <v>322.29378259999999</v>
      </c>
      <c r="M14" s="3">
        <v>94.351000000000013</v>
      </c>
      <c r="N14" s="3">
        <v>82.742000000000004</v>
      </c>
      <c r="O14" s="3">
        <v>115.48700000000001</v>
      </c>
      <c r="P14" s="3">
        <v>89.281000000000006</v>
      </c>
      <c r="Q14" s="3">
        <v>381.86099999999999</v>
      </c>
      <c r="R14" s="3">
        <v>82.367999999999995</v>
      </c>
      <c r="S14" s="3">
        <v>90.883999999999986</v>
      </c>
      <c r="T14" s="3">
        <v>105.33000000000001</v>
      </c>
      <c r="U14" s="3">
        <v>105.69970880300001</v>
      </c>
      <c r="V14" s="3">
        <v>384.28170880299996</v>
      </c>
      <c r="W14" s="3">
        <v>92.780907622903797</v>
      </c>
      <c r="X14" s="3">
        <v>90.271999999999977</v>
      </c>
      <c r="Y14" s="3">
        <v>123.914</v>
      </c>
      <c r="Z14" s="3">
        <v>114.285</v>
      </c>
      <c r="AA14" s="126">
        <f t="shared" ref="AA14:BP14" si="0">SUM(AA7:AA13)</f>
        <v>421.25190762290384</v>
      </c>
      <c r="AB14" s="126">
        <f t="shared" si="0"/>
        <v>98.078000000000003</v>
      </c>
      <c r="AC14" s="126">
        <f t="shared" si="0"/>
        <v>106.90899999999999</v>
      </c>
      <c r="AD14" s="126">
        <f t="shared" si="0"/>
        <v>130.56100000000001</v>
      </c>
      <c r="AE14" s="126">
        <f t="shared" si="0"/>
        <v>110.72366837000003</v>
      </c>
      <c r="AF14" s="126">
        <f t="shared" si="0"/>
        <v>446.27246158220873</v>
      </c>
      <c r="AG14" s="126">
        <f t="shared" si="0"/>
        <v>104.53418310000001</v>
      </c>
      <c r="AH14" s="126">
        <f t="shared" si="0"/>
        <v>165.93144369999999</v>
      </c>
      <c r="AI14" s="126">
        <f t="shared" si="0"/>
        <v>107.74593011000002</v>
      </c>
      <c r="AJ14" s="126">
        <f t="shared" si="0"/>
        <v>111.55484946000001</v>
      </c>
      <c r="AK14" s="126">
        <f t="shared" si="0"/>
        <v>489.76640637000003</v>
      </c>
      <c r="AL14" s="126">
        <f t="shared" si="0"/>
        <v>112.31784804999999</v>
      </c>
      <c r="AM14" s="126">
        <f t="shared" si="0"/>
        <v>114.35105151</v>
      </c>
      <c r="AN14" s="126">
        <f t="shared" si="0"/>
        <v>115.682884137652</v>
      </c>
      <c r="AO14" s="126">
        <f t="shared" si="0"/>
        <v>128.473841451395</v>
      </c>
      <c r="AP14" s="126">
        <f t="shared" si="0"/>
        <v>470.82562514904703</v>
      </c>
      <c r="AQ14" s="126">
        <f t="shared" si="0"/>
        <v>129.90111407805301</v>
      </c>
      <c r="AR14" s="126">
        <f t="shared" si="0"/>
        <v>93.057932281946989</v>
      </c>
      <c r="AS14" s="126">
        <f t="shared" si="0"/>
        <v>140.26997605132999</v>
      </c>
      <c r="AT14" s="126">
        <f t="shared" si="0"/>
        <v>123.09481138009473</v>
      </c>
      <c r="AU14" s="126">
        <f t="shared" si="0"/>
        <v>486.3238337914247</v>
      </c>
      <c r="AV14" s="126">
        <f t="shared" si="0"/>
        <v>118.40275235700501</v>
      </c>
      <c r="AW14" s="126">
        <f t="shared" si="0"/>
        <v>112.83635858447748</v>
      </c>
      <c r="AX14" s="126">
        <f t="shared" si="0"/>
        <v>124.62092497828397</v>
      </c>
      <c r="AY14" s="126">
        <f t="shared" si="0"/>
        <v>1950.2519637402343</v>
      </c>
      <c r="AZ14" s="126">
        <f t="shared" si="0"/>
        <v>2367.6291703122033</v>
      </c>
      <c r="BA14" s="126">
        <f t="shared" si="0"/>
        <v>153.31665650444802</v>
      </c>
      <c r="BB14" s="126">
        <f t="shared" si="0"/>
        <v>100.57873082114202</v>
      </c>
      <c r="BC14" s="126">
        <f t="shared" si="0"/>
        <v>105.46184669990996</v>
      </c>
      <c r="BD14" s="126">
        <f t="shared" si="0"/>
        <v>115.14133222088819</v>
      </c>
      <c r="BE14" s="126">
        <f t="shared" si="0"/>
        <v>483.08972520638815</v>
      </c>
      <c r="BF14" s="126">
        <f t="shared" si="0"/>
        <v>99.249968710051988</v>
      </c>
      <c r="BG14" s="126">
        <f t="shared" si="0"/>
        <v>103.97200255362797</v>
      </c>
      <c r="BH14" s="126">
        <f t="shared" si="0"/>
        <v>105.90925096588001</v>
      </c>
      <c r="BI14" s="126">
        <f t="shared" si="0"/>
        <v>115.576315684099</v>
      </c>
      <c r="BJ14" s="126">
        <f t="shared" si="0"/>
        <v>424.70753791365894</v>
      </c>
      <c r="BK14" s="126">
        <f t="shared" si="0"/>
        <v>112.40698021002798</v>
      </c>
      <c r="BL14" s="126">
        <f t="shared" si="0"/>
        <v>1081.428970922012</v>
      </c>
      <c r="BM14" s="126">
        <f t="shared" si="0"/>
        <v>85.96380126635998</v>
      </c>
      <c r="BN14" s="126">
        <f t="shared" si="0"/>
        <v>77.943448576858017</v>
      </c>
      <c r="BO14" s="126">
        <f t="shared" si="0"/>
        <v>1357.7432009752579</v>
      </c>
      <c r="BP14" s="126">
        <f t="shared" si="0"/>
        <v>83.762866134408</v>
      </c>
      <c r="BQ14" s="126">
        <v>74.371678419171971</v>
      </c>
      <c r="BR14" s="126">
        <v>87.023624785079974</v>
      </c>
      <c r="BS14" s="126">
        <v>82.508231364474</v>
      </c>
      <c r="BT14" s="126">
        <v>327.66640070313395</v>
      </c>
      <c r="BU14" s="126">
        <v>82.332562040555999</v>
      </c>
      <c r="BV14" s="126">
        <f>SUM(BV7:BV13)</f>
        <v>81.858409972564004</v>
      </c>
    </row>
    <row r="15" spans="1:74" s="1" customFormat="1" ht="15" customHeight="1">
      <c r="A15" s="175" t="s">
        <v>130</v>
      </c>
      <c r="B15" s="9" t="str">
        <f>IF('Sumário | Summary'!P1=1,"Custo de Edifícios Corporativos","Corporate Buildings Cost")</f>
        <v>Custo de Edifícios Corporativos</v>
      </c>
      <c r="C15" s="35">
        <v>0</v>
      </c>
      <c r="D15" s="35">
        <v>0</v>
      </c>
      <c r="E15" s="35">
        <v>0</v>
      </c>
      <c r="F15" s="35">
        <v>0</v>
      </c>
      <c r="G15" s="35">
        <v>0</v>
      </c>
      <c r="H15" s="35">
        <v>0</v>
      </c>
      <c r="I15" s="35">
        <v>0</v>
      </c>
      <c r="J15" s="35">
        <v>0</v>
      </c>
      <c r="K15" s="35">
        <v>0</v>
      </c>
      <c r="L15" s="35">
        <v>0</v>
      </c>
      <c r="M15" s="36">
        <v>0</v>
      </c>
      <c r="N15" s="36">
        <v>0</v>
      </c>
      <c r="O15" s="36">
        <v>0</v>
      </c>
      <c r="P15" s="36">
        <v>0</v>
      </c>
      <c r="Q15" s="36">
        <v>0</v>
      </c>
      <c r="R15" s="36">
        <v>0</v>
      </c>
      <c r="S15" s="36">
        <v>0</v>
      </c>
      <c r="T15" s="36">
        <v>0</v>
      </c>
      <c r="U15" s="36">
        <v>0</v>
      </c>
      <c r="V15" s="36">
        <v>0</v>
      </c>
      <c r="W15" s="36">
        <v>-3.9960036799999998</v>
      </c>
      <c r="X15" s="87">
        <v>-4.0316553500000003</v>
      </c>
      <c r="Y15" s="36">
        <v>-3.7285662800000008</v>
      </c>
      <c r="Z15" s="36">
        <v>-3.3764086999999998</v>
      </c>
      <c r="AA15" s="36">
        <v>-15.752248260000002</v>
      </c>
      <c r="AB15" s="87">
        <v>-4.5593244200000003</v>
      </c>
      <c r="AC15" s="87">
        <v>-4.3566682700000001</v>
      </c>
      <c r="AD15" s="87">
        <v>-5.4784182099999992</v>
      </c>
      <c r="AE15" s="87">
        <v>-5.6691948900000009</v>
      </c>
      <c r="AF15" s="87">
        <v>-18.525959020000002</v>
      </c>
      <c r="AG15" s="87">
        <v>-4.6547677299999997</v>
      </c>
      <c r="AH15" s="87">
        <v>-3.9966535399999983</v>
      </c>
      <c r="AI15" s="87">
        <v>-5.1401033857554781</v>
      </c>
      <c r="AJ15" s="87">
        <v>-4.8413215700000007</v>
      </c>
      <c r="AK15" s="87">
        <v>-18.632846235755473</v>
      </c>
      <c r="AL15" s="87">
        <v>-2.8217688599999997</v>
      </c>
      <c r="AM15" s="87">
        <v>-4.2989959200000003</v>
      </c>
      <c r="AN15" s="87">
        <v>-4.6141236299999999</v>
      </c>
      <c r="AO15" s="87">
        <v>-4.38687834873335</v>
      </c>
      <c r="AP15" s="87">
        <v>-16.121766758733347</v>
      </c>
      <c r="AQ15" s="87">
        <v>-10.79829940304051</v>
      </c>
      <c r="AR15" s="87">
        <v>-10.03083058</v>
      </c>
      <c r="AS15" s="87">
        <v>-10.61788759</v>
      </c>
      <c r="AT15" s="87">
        <v>-12.547120070000004</v>
      </c>
      <c r="AU15" s="87">
        <v>-43.994137643040517</v>
      </c>
      <c r="AV15" s="87">
        <v>-13.384454270000001</v>
      </c>
      <c r="AW15" s="87">
        <v>-13.236872309999999</v>
      </c>
      <c r="AX15" s="87">
        <v>-13.413909779999999</v>
      </c>
      <c r="AY15" s="87">
        <v>-28.024409520000031</v>
      </c>
      <c r="AZ15" s="87">
        <v>-68.059645880000019</v>
      </c>
      <c r="BA15" s="87">
        <v>-9.1498104500000004</v>
      </c>
      <c r="BB15" s="87">
        <v>-9.5861931699999996</v>
      </c>
      <c r="BC15" s="87">
        <v>-8.8952172499999982</v>
      </c>
      <c r="BD15" s="87">
        <v>-11.344783470000014</v>
      </c>
      <c r="BE15" s="87">
        <v>-38.976004340000017</v>
      </c>
      <c r="BF15" s="87">
        <v>-10.695274020000001</v>
      </c>
      <c r="BG15" s="87">
        <v>-10.426523939999999</v>
      </c>
      <c r="BH15" s="87">
        <v>-9.2828264600000008</v>
      </c>
      <c r="BI15" s="87">
        <v>-9.5859067500000013</v>
      </c>
      <c r="BJ15" s="87">
        <v>-39.990531170000004</v>
      </c>
      <c r="BK15" s="87">
        <v>-9.7868032200000012</v>
      </c>
      <c r="BL15" s="87">
        <v>-10.341302920000002</v>
      </c>
      <c r="BM15" s="87">
        <v>-10.151890229999998</v>
      </c>
      <c r="BN15" s="87">
        <v>-7.9115616999999983</v>
      </c>
      <c r="BO15" s="87">
        <v>-38.191558069999999</v>
      </c>
      <c r="BP15" s="87">
        <v>-10.140984960000001</v>
      </c>
      <c r="BQ15" s="87">
        <v>-11.04443051</v>
      </c>
      <c r="BR15" s="87">
        <v>-10.565230770000001</v>
      </c>
      <c r="BS15" s="87">
        <v>-12.646304410000001</v>
      </c>
      <c r="BT15" s="87">
        <v>-44.396950650000001</v>
      </c>
      <c r="BU15" s="87">
        <v>-10.374295080000001</v>
      </c>
      <c r="BV15" s="87">
        <v>-11.41928506</v>
      </c>
    </row>
    <row r="16" spans="1:74" s="1" customFormat="1" ht="15" customHeight="1">
      <c r="A16" s="175" t="s">
        <v>131</v>
      </c>
      <c r="B16" s="9" t="str">
        <f>IF('Sumário | Summary'!P1=1,"Custo de Shopping Centers","Shopping Malls Cost")</f>
        <v>Custo de Shopping Centers</v>
      </c>
      <c r="C16" s="35">
        <v>0</v>
      </c>
      <c r="D16" s="35">
        <v>0</v>
      </c>
      <c r="E16" s="35">
        <v>0</v>
      </c>
      <c r="F16" s="35">
        <v>0</v>
      </c>
      <c r="G16" s="35">
        <v>0</v>
      </c>
      <c r="H16" s="35">
        <v>0</v>
      </c>
      <c r="I16" s="35">
        <v>0</v>
      </c>
      <c r="J16" s="35">
        <v>0</v>
      </c>
      <c r="K16" s="35">
        <v>0</v>
      </c>
      <c r="L16" s="35">
        <v>0</v>
      </c>
      <c r="M16" s="36">
        <v>0</v>
      </c>
      <c r="N16" s="36">
        <v>0</v>
      </c>
      <c r="O16" s="36">
        <v>0</v>
      </c>
      <c r="P16" s="36">
        <v>0</v>
      </c>
      <c r="Q16" s="36">
        <v>0</v>
      </c>
      <c r="R16" s="36">
        <v>0</v>
      </c>
      <c r="S16" s="36">
        <v>0</v>
      </c>
      <c r="T16" s="36">
        <v>0</v>
      </c>
      <c r="U16" s="36">
        <v>0</v>
      </c>
      <c r="V16" s="36">
        <v>0</v>
      </c>
      <c r="W16" s="36">
        <v>-13.012819540000001</v>
      </c>
      <c r="X16" s="87">
        <v>-15.044180460000002</v>
      </c>
      <c r="Y16" s="36">
        <v>-19.276023850000001</v>
      </c>
      <c r="Z16" s="36">
        <v>-20.151266760000002</v>
      </c>
      <c r="AA16" s="36">
        <v>-67.484369960000009</v>
      </c>
      <c r="AB16" s="87">
        <v>-20.469998608450002</v>
      </c>
      <c r="AC16" s="87">
        <v>-20.302652175349994</v>
      </c>
      <c r="AD16" s="87">
        <v>-20.027609605350001</v>
      </c>
      <c r="AE16" s="87">
        <v>-30.288456165350006</v>
      </c>
      <c r="AF16" s="87">
        <v>-92.626363324500005</v>
      </c>
      <c r="AG16" s="87">
        <v>-18.031505790000001</v>
      </c>
      <c r="AH16" s="87">
        <v>-20.413050829999996</v>
      </c>
      <c r="AI16" s="87">
        <v>-27.425717092531215</v>
      </c>
      <c r="AJ16" s="87">
        <v>-18.491329950000001</v>
      </c>
      <c r="AK16" s="87">
        <v>-84.361603662531209</v>
      </c>
      <c r="AL16" s="87">
        <v>-19.864552840000002</v>
      </c>
      <c r="AM16" s="87">
        <v>-17.769771889999998</v>
      </c>
      <c r="AN16" s="87">
        <v>-17.617860014335939</v>
      </c>
      <c r="AO16" s="87">
        <v>-19.021993219999995</v>
      </c>
      <c r="AP16" s="87">
        <v>-74.274177964335919</v>
      </c>
      <c r="AQ16" s="87">
        <v>-18.010454230000004</v>
      </c>
      <c r="AR16" s="87">
        <v>-20.81733504</v>
      </c>
      <c r="AS16" s="87">
        <v>-20.037451239999999</v>
      </c>
      <c r="AT16" s="87">
        <v>-22.22274024</v>
      </c>
      <c r="AU16" s="87">
        <v>-81.08798075</v>
      </c>
      <c r="AV16" s="87">
        <v>-19.121760170000002</v>
      </c>
      <c r="AW16" s="87">
        <v>-18.894014089999999</v>
      </c>
      <c r="AX16" s="87">
        <v>-18.25259522</v>
      </c>
      <c r="AY16" s="87">
        <v>-16.780664449999996</v>
      </c>
      <c r="AZ16" s="87">
        <v>-73.049033930000007</v>
      </c>
      <c r="BA16" s="87">
        <v>-18.6471132</v>
      </c>
      <c r="BB16" s="87">
        <v>-15.62725174</v>
      </c>
      <c r="BC16" s="87">
        <v>-18.554863339999997</v>
      </c>
      <c r="BD16" s="87">
        <v>-17.063552639999994</v>
      </c>
      <c r="BE16" s="87">
        <v>-69.892780919999993</v>
      </c>
      <c r="BF16" s="87">
        <v>-16.66157166</v>
      </c>
      <c r="BG16" s="87">
        <v>-17.295073609999999</v>
      </c>
      <c r="BH16" s="87">
        <v>-14.059595379999992</v>
      </c>
      <c r="BI16" s="87">
        <v>-14.714622129999997</v>
      </c>
      <c r="BJ16" s="87">
        <v>-62.730862779999988</v>
      </c>
      <c r="BK16" s="87">
        <v>-13.723795920000001</v>
      </c>
      <c r="BL16" s="87">
        <v>-132.02054643530388</v>
      </c>
      <c r="BM16" s="87">
        <v>-8.0343455099999854</v>
      </c>
      <c r="BN16" s="87">
        <v>-6.6641485739700146</v>
      </c>
      <c r="BO16" s="87">
        <v>-160.44283643927389</v>
      </c>
      <c r="BP16" s="87">
        <v>-7.36333503</v>
      </c>
      <c r="BQ16" s="87">
        <v>-3.4329672250000005</v>
      </c>
      <c r="BR16" s="87">
        <v>-7.2521114749999995</v>
      </c>
      <c r="BS16" s="87">
        <v>-3.7365902099999984</v>
      </c>
      <c r="BT16" s="87">
        <v>-21.785003939999999</v>
      </c>
      <c r="BU16" s="87">
        <v>-2.7814606100000017</v>
      </c>
      <c r="BV16" s="87">
        <v>-2.8165950099999995</v>
      </c>
    </row>
    <row r="17" spans="1:74" s="1" customFormat="1" ht="15" customHeight="1">
      <c r="A17" s="88" t="s">
        <v>329</v>
      </c>
      <c r="B17" s="121" t="str">
        <f>IF('Sumário | Summary'!P1=1,"Custo de Galpões Logísticos","Distribution Centers Cost")</f>
        <v>Custo de Galpões Logísticos</v>
      </c>
      <c r="C17" s="35">
        <v>0</v>
      </c>
      <c r="D17" s="35">
        <v>0</v>
      </c>
      <c r="E17" s="35">
        <v>0</v>
      </c>
      <c r="F17" s="35">
        <v>0</v>
      </c>
      <c r="G17" s="35">
        <v>0</v>
      </c>
      <c r="H17" s="35">
        <v>0</v>
      </c>
      <c r="I17" s="35">
        <v>0</v>
      </c>
      <c r="J17" s="35">
        <v>0</v>
      </c>
      <c r="K17" s="35">
        <v>0</v>
      </c>
      <c r="L17" s="35">
        <v>0</v>
      </c>
      <c r="M17" s="36">
        <v>0</v>
      </c>
      <c r="N17" s="36">
        <v>0</v>
      </c>
      <c r="O17" s="36">
        <v>0</v>
      </c>
      <c r="P17" s="36">
        <v>0</v>
      </c>
      <c r="Q17" s="36">
        <v>0</v>
      </c>
      <c r="R17" s="36">
        <v>0</v>
      </c>
      <c r="S17" s="36">
        <v>0</v>
      </c>
      <c r="T17" s="36">
        <v>0</v>
      </c>
      <c r="U17" s="36">
        <v>0</v>
      </c>
      <c r="V17" s="36">
        <v>0</v>
      </c>
      <c r="W17" s="36">
        <v>-1.1934094399999999</v>
      </c>
      <c r="X17" s="87">
        <v>-0.44293153000000002</v>
      </c>
      <c r="Y17" s="36">
        <v>-0.24931998</v>
      </c>
      <c r="Z17" s="36">
        <v>-0.76865866999999988</v>
      </c>
      <c r="AA17" s="36">
        <v>-1.7385870700000001</v>
      </c>
      <c r="AB17" s="87">
        <v>-0.17547455000000003</v>
      </c>
      <c r="AC17" s="87">
        <v>-0.19283342000000017</v>
      </c>
      <c r="AD17" s="87">
        <v>-0.81483243666666705</v>
      </c>
      <c r="AE17" s="87">
        <v>-0.24733496999999996</v>
      </c>
      <c r="AF17" s="87">
        <v>-1.4304753766666671</v>
      </c>
      <c r="AG17" s="87">
        <v>-0.14696628</v>
      </c>
      <c r="AH17" s="87">
        <v>-0.15109148999999999</v>
      </c>
      <c r="AI17" s="87">
        <v>0.29805777</v>
      </c>
      <c r="AJ17" s="32">
        <v>0</v>
      </c>
      <c r="AK17" s="32">
        <v>0</v>
      </c>
      <c r="AL17" s="87">
        <v>0</v>
      </c>
      <c r="AM17" s="87">
        <v>0</v>
      </c>
      <c r="AN17" s="87">
        <v>0</v>
      </c>
      <c r="AO17" s="87">
        <v>0</v>
      </c>
      <c r="AP17" s="87">
        <v>0</v>
      </c>
      <c r="AQ17" s="87">
        <v>0</v>
      </c>
      <c r="AR17" s="87">
        <v>0</v>
      </c>
      <c r="AS17" s="87">
        <v>0</v>
      </c>
      <c r="AT17" s="87">
        <v>0</v>
      </c>
      <c r="AU17" s="87">
        <v>0</v>
      </c>
      <c r="AV17" s="87">
        <v>0</v>
      </c>
      <c r="AW17" s="87">
        <v>0</v>
      </c>
      <c r="AX17" s="87">
        <v>0</v>
      </c>
      <c r="AY17" s="87">
        <v>0</v>
      </c>
      <c r="AZ17" s="87">
        <v>0</v>
      </c>
      <c r="BA17" s="87">
        <v>0</v>
      </c>
      <c r="BB17" s="87">
        <v>0</v>
      </c>
      <c r="BC17" s="87">
        <v>0</v>
      </c>
      <c r="BD17" s="87">
        <v>0</v>
      </c>
      <c r="BE17" s="87">
        <v>0</v>
      </c>
      <c r="BF17" s="87">
        <v>0</v>
      </c>
      <c r="BG17" s="87">
        <v>0</v>
      </c>
      <c r="BH17" s="87">
        <v>0</v>
      </c>
      <c r="BI17" s="87">
        <v>0</v>
      </c>
      <c r="BJ17" s="87">
        <v>0</v>
      </c>
      <c r="BK17" s="87">
        <v>0</v>
      </c>
      <c r="BL17" s="87">
        <v>0</v>
      </c>
      <c r="BM17" s="87">
        <v>0</v>
      </c>
      <c r="BN17" s="87">
        <v>0</v>
      </c>
      <c r="BO17" s="87">
        <v>0</v>
      </c>
      <c r="BP17" s="87">
        <v>0</v>
      </c>
      <c r="BQ17" s="87">
        <v>0</v>
      </c>
      <c r="BR17" s="87">
        <v>0</v>
      </c>
      <c r="BS17" s="87">
        <v>0</v>
      </c>
      <c r="BT17" s="87">
        <v>0</v>
      </c>
      <c r="BU17" s="87">
        <v>0</v>
      </c>
      <c r="BV17" s="87">
        <v>0</v>
      </c>
    </row>
    <row r="18" spans="1:74" s="1" customFormat="1" ht="15" customHeight="1">
      <c r="A18" t="s">
        <v>282</v>
      </c>
      <c r="B18" s="9" t="str">
        <f>IF('Sumário | Summary'!P1=1,"Prestação de Serviços","Services")</f>
        <v>Prestação de Serviços</v>
      </c>
      <c r="C18" s="35">
        <v>0</v>
      </c>
      <c r="D18" s="35">
        <v>0</v>
      </c>
      <c r="E18" s="35">
        <v>0</v>
      </c>
      <c r="F18" s="35">
        <v>0</v>
      </c>
      <c r="G18" s="35">
        <v>0</v>
      </c>
      <c r="H18" s="35">
        <v>0</v>
      </c>
      <c r="I18" s="35">
        <v>0</v>
      </c>
      <c r="J18" s="35">
        <v>0</v>
      </c>
      <c r="K18" s="35">
        <v>0</v>
      </c>
      <c r="L18" s="35">
        <v>0</v>
      </c>
      <c r="M18" s="36">
        <v>0</v>
      </c>
      <c r="N18" s="36">
        <v>0</v>
      </c>
      <c r="O18" s="36">
        <v>0</v>
      </c>
      <c r="P18" s="36">
        <v>0</v>
      </c>
      <c r="Q18" s="36">
        <v>0</v>
      </c>
      <c r="R18" s="36">
        <v>0</v>
      </c>
      <c r="S18" s="36">
        <v>0</v>
      </c>
      <c r="T18" s="36">
        <v>0</v>
      </c>
      <c r="U18" s="36">
        <v>0</v>
      </c>
      <c r="V18" s="36">
        <v>0</v>
      </c>
      <c r="W18" s="36">
        <v>-2.2245823700000003</v>
      </c>
      <c r="X18" s="87">
        <v>-1.8428726799999993</v>
      </c>
      <c r="Y18" s="36">
        <v>-1.6721688199999998</v>
      </c>
      <c r="Z18" s="36">
        <v>-1.9030197600000001</v>
      </c>
      <c r="AA18" s="36">
        <v>-7.6426436299999994</v>
      </c>
      <c r="AB18" s="87">
        <v>-1.7358887399999998</v>
      </c>
      <c r="AC18" s="87">
        <v>-1.6155970199999998</v>
      </c>
      <c r="AD18" s="87">
        <v>-1.8647017299999999</v>
      </c>
      <c r="AE18" s="87">
        <v>-1.8290177699999997</v>
      </c>
      <c r="AF18" s="87">
        <v>-7.0452052599999995</v>
      </c>
      <c r="AG18" s="87">
        <v>-2.6078126400000006</v>
      </c>
      <c r="AH18" s="87">
        <v>-1.3854131600000006</v>
      </c>
      <c r="AI18" s="87">
        <v>-1.8414797200000004</v>
      </c>
      <c r="AJ18" s="87">
        <v>-2.0438276600000003</v>
      </c>
      <c r="AK18" s="87">
        <v>-7.8785331800000016</v>
      </c>
      <c r="AL18" s="87">
        <v>-16.985086239999983</v>
      </c>
      <c r="AM18" s="87">
        <v>-17.787392089999987</v>
      </c>
      <c r="AN18" s="87">
        <v>-18.380101450000002</v>
      </c>
      <c r="AO18" s="87">
        <v>-1.845</v>
      </c>
      <c r="AP18" s="87">
        <v>57.509325249999996</v>
      </c>
      <c r="AQ18" s="87">
        <v>-1.8926693599999957</v>
      </c>
      <c r="AR18" s="87">
        <v>-3.96457389</v>
      </c>
      <c r="AS18" s="87">
        <v>-2.8319999999999999</v>
      </c>
      <c r="AT18" s="87">
        <v>-6.2112996899999988</v>
      </c>
      <c r="AU18" s="87">
        <v>20.347903829401599</v>
      </c>
      <c r="AV18" s="87">
        <v>-4.1733542999999989</v>
      </c>
      <c r="AW18" s="87">
        <v>-4.9820669500000001</v>
      </c>
      <c r="AX18" s="87">
        <v>-4.9250410599999999</v>
      </c>
      <c r="AY18" s="87">
        <v>-9.3446125900000006</v>
      </c>
      <c r="AZ18" s="87">
        <v>-22.444379260000009</v>
      </c>
      <c r="BA18" s="87">
        <v>-4.2550171999999966</v>
      </c>
      <c r="BB18" s="87">
        <v>-8.3656043199999992</v>
      </c>
      <c r="BC18" s="87">
        <v>-3.7805615200000009</v>
      </c>
      <c r="BD18" s="87">
        <v>-7.3860992300000285</v>
      </c>
      <c r="BE18" s="87">
        <v>-23.787282270000023</v>
      </c>
      <c r="BF18" s="87">
        <v>-6.7401640200000017</v>
      </c>
      <c r="BG18" s="87">
        <v>-3.2357253999999975</v>
      </c>
      <c r="BH18" s="87">
        <v>-3.724139799999997</v>
      </c>
      <c r="BI18" s="87">
        <v>-3.65389794000001</v>
      </c>
      <c r="BJ18" s="87">
        <v>-17.353927160000005</v>
      </c>
      <c r="BK18" s="87">
        <v>-3.2110805699999947</v>
      </c>
      <c r="BL18" s="87">
        <v>-3.5057942900000016</v>
      </c>
      <c r="BM18" s="87">
        <v>-3.1701030399999945</v>
      </c>
      <c r="BN18" s="87">
        <v>-2.5877344100000119</v>
      </c>
      <c r="BO18" s="87">
        <v>-12.474712310000003</v>
      </c>
      <c r="BP18" s="87">
        <v>-3.058185229999999</v>
      </c>
      <c r="BQ18" s="87">
        <v>-2.7389395200000028</v>
      </c>
      <c r="BR18" s="87">
        <v>-2.5475281299999941</v>
      </c>
      <c r="BS18" s="87">
        <v>-2.6795408300000161</v>
      </c>
      <c r="BT18" s="87">
        <v>-11.024193710000013</v>
      </c>
      <c r="BU18" s="87">
        <v>-2.264708269999999</v>
      </c>
      <c r="BV18" s="87">
        <v>-2.2515410900000026</v>
      </c>
    </row>
    <row r="19" spans="1:74" s="1" customFormat="1" ht="15" customHeight="1">
      <c r="A19" t="s">
        <v>132</v>
      </c>
      <c r="B19" s="9" t="str">
        <f>IF('Sumário | Summary'!P1=1,"Estacionamento","Parking Lot")</f>
        <v>Estacionamento</v>
      </c>
      <c r="C19" s="35">
        <v>0</v>
      </c>
      <c r="D19" s="35">
        <v>0</v>
      </c>
      <c r="E19" s="35">
        <v>0</v>
      </c>
      <c r="F19" s="35">
        <v>0</v>
      </c>
      <c r="G19" s="35">
        <v>0</v>
      </c>
      <c r="H19" s="35">
        <v>0</v>
      </c>
      <c r="I19" s="35">
        <v>0</v>
      </c>
      <c r="J19" s="35">
        <v>0</v>
      </c>
      <c r="K19" s="35">
        <v>0</v>
      </c>
      <c r="L19" s="35">
        <v>0</v>
      </c>
      <c r="M19" s="36">
        <v>0</v>
      </c>
      <c r="N19" s="36">
        <v>0</v>
      </c>
      <c r="O19" s="36">
        <v>0</v>
      </c>
      <c r="P19" s="36">
        <v>0</v>
      </c>
      <c r="Q19" s="36">
        <v>0</v>
      </c>
      <c r="R19" s="36">
        <v>0</v>
      </c>
      <c r="S19" s="36">
        <v>0</v>
      </c>
      <c r="T19" s="36">
        <v>0</v>
      </c>
      <c r="U19" s="36">
        <v>0</v>
      </c>
      <c r="V19" s="36">
        <v>0</v>
      </c>
      <c r="W19" s="36">
        <v>-11.0278589855</v>
      </c>
      <c r="X19" s="87">
        <v>-11.684404789999999</v>
      </c>
      <c r="Y19" s="36">
        <v>-10.13201193000001</v>
      </c>
      <c r="Z19" s="36">
        <v>-12.596238319999989</v>
      </c>
      <c r="AA19" s="36">
        <v>-45.440514025500001</v>
      </c>
      <c r="AB19" s="87">
        <v>-11.744310510000005</v>
      </c>
      <c r="AC19" s="87">
        <v>-12.27792769000002</v>
      </c>
      <c r="AD19" s="87">
        <v>-12.057667079999995</v>
      </c>
      <c r="AE19" s="87">
        <v>-13.593656710000012</v>
      </c>
      <c r="AF19" s="87">
        <v>-49.673561990000024</v>
      </c>
      <c r="AG19" s="87">
        <v>-12.899848279999995</v>
      </c>
      <c r="AH19" s="87">
        <v>-13.259218759999987</v>
      </c>
      <c r="AI19" s="87">
        <v>-13.463760979999993</v>
      </c>
      <c r="AJ19" s="87">
        <v>-15.027486749999982</v>
      </c>
      <c r="AK19" s="87">
        <v>-54.650314769999966</v>
      </c>
      <c r="AL19" s="87">
        <v>0</v>
      </c>
      <c r="AM19" s="87">
        <v>0</v>
      </c>
      <c r="AN19" s="87">
        <v>0</v>
      </c>
      <c r="AO19" s="87">
        <v>-17.867999999999999</v>
      </c>
      <c r="AP19" s="87">
        <v>-65.187108129999999</v>
      </c>
      <c r="AQ19" s="87">
        <v>-15.822246450000002</v>
      </c>
      <c r="AR19" s="87">
        <v>-3.7970222200000019</v>
      </c>
      <c r="AS19" s="87">
        <v>-4.3814390600000017</v>
      </c>
      <c r="AT19" s="87">
        <v>-11.247448759999999</v>
      </c>
      <c r="AU19" s="87">
        <v>-35.2481564694016</v>
      </c>
      <c r="AV19" s="87">
        <v>-8.6140358899999949</v>
      </c>
      <c r="AW19" s="87">
        <v>-6.9133859799999993</v>
      </c>
      <c r="AX19" s="87">
        <v>-10.927970349999994</v>
      </c>
      <c r="AY19" s="87">
        <v>-15.236717499999999</v>
      </c>
      <c r="AZ19" s="87">
        <v>-41.692109719999983</v>
      </c>
      <c r="BA19" s="87">
        <v>-14.675811400000001</v>
      </c>
      <c r="BB19" s="87">
        <v>-15.897009429999999</v>
      </c>
      <c r="BC19" s="87">
        <v>-16.794955560000009</v>
      </c>
      <c r="BD19" s="87">
        <v>-20.684325820000005</v>
      </c>
      <c r="BE19" s="87">
        <v>-68.052102210000015</v>
      </c>
      <c r="BF19" s="87">
        <v>-15.794096360000005</v>
      </c>
      <c r="BG19" s="87">
        <v>-17.272593429999986</v>
      </c>
      <c r="BH19" s="87">
        <v>-17.341976940000009</v>
      </c>
      <c r="BI19" s="87">
        <v>-19.458552910000012</v>
      </c>
      <c r="BJ19" s="87">
        <v>-69.867219640000016</v>
      </c>
      <c r="BK19" s="87">
        <v>-19.073463560000015</v>
      </c>
      <c r="BL19" s="87">
        <v>-17.785351450000014</v>
      </c>
      <c r="BM19" s="87">
        <v>-20.763199380000007</v>
      </c>
      <c r="BN19" s="87">
        <v>-20.190732570000002</v>
      </c>
      <c r="BO19" s="87">
        <v>-77.812746960000027</v>
      </c>
      <c r="BP19" s="87">
        <v>-19.545772920000012</v>
      </c>
      <c r="BQ19" s="87">
        <v>-18.111394430000018</v>
      </c>
      <c r="BR19" s="87">
        <v>-18.926472570000026</v>
      </c>
      <c r="BS19" s="87">
        <v>-20.124590690000026</v>
      </c>
      <c r="BT19" s="87">
        <v>-76.708230610000072</v>
      </c>
      <c r="BU19" s="87">
        <v>-20.658131089999998</v>
      </c>
      <c r="BV19" s="87">
        <v>-18.80202323000001</v>
      </c>
    </row>
    <row r="20" spans="1:74" s="1" customFormat="1" ht="15" customHeight="1">
      <c r="A20" t="s">
        <v>133</v>
      </c>
      <c r="B20" s="121" t="str">
        <f>IF('Sumário | Summary'!P1=1,"Vendas de Propriedades","Real Estate Sales and Development")</f>
        <v>Vendas de Propriedades</v>
      </c>
      <c r="C20" s="35">
        <v>0</v>
      </c>
      <c r="D20" s="35">
        <v>0</v>
      </c>
      <c r="E20" s="35">
        <v>0</v>
      </c>
      <c r="F20" s="35">
        <v>0</v>
      </c>
      <c r="G20" s="35">
        <v>0</v>
      </c>
      <c r="H20" s="35">
        <v>0</v>
      </c>
      <c r="I20" s="35">
        <v>0</v>
      </c>
      <c r="J20" s="35">
        <v>0</v>
      </c>
      <c r="K20" s="35">
        <v>0</v>
      </c>
      <c r="L20" s="35">
        <v>0</v>
      </c>
      <c r="M20" s="36">
        <v>0</v>
      </c>
      <c r="N20" s="36">
        <v>0</v>
      </c>
      <c r="O20" s="36">
        <v>0</v>
      </c>
      <c r="P20" s="36">
        <v>0</v>
      </c>
      <c r="Q20" s="36">
        <v>0</v>
      </c>
      <c r="R20" s="36">
        <v>0</v>
      </c>
      <c r="S20" s="36">
        <v>0</v>
      </c>
      <c r="T20" s="36">
        <v>0</v>
      </c>
      <c r="U20" s="36">
        <v>0</v>
      </c>
      <c r="V20" s="36">
        <v>0</v>
      </c>
      <c r="W20" s="122" t="s">
        <v>18</v>
      </c>
      <c r="X20" s="87">
        <v>0.16898404</v>
      </c>
      <c r="Y20" s="36">
        <v>-16.969838720000002</v>
      </c>
      <c r="Z20" s="36">
        <v>-8.3588881799999992</v>
      </c>
      <c r="AA20" s="36">
        <v>-25.626874390000001</v>
      </c>
      <c r="AB20" s="122" t="s">
        <v>18</v>
      </c>
      <c r="AC20" s="87">
        <v>-2.9762489999999999E-2</v>
      </c>
      <c r="AD20" s="87">
        <v>-17.44299526</v>
      </c>
      <c r="AE20" s="87">
        <v>1.999999999679858E-8</v>
      </c>
      <c r="AF20" s="87">
        <v>-17.494390640000002</v>
      </c>
      <c r="AG20" s="87">
        <v>-9.9999999983992899E-9</v>
      </c>
      <c r="AH20" s="87">
        <v>-41.012008459999997</v>
      </c>
      <c r="AI20" s="87">
        <v>1.6</v>
      </c>
      <c r="AJ20" s="32">
        <v>0</v>
      </c>
      <c r="AK20" s="87">
        <v>-39.412008450000002</v>
      </c>
      <c r="AL20" s="87">
        <v>0</v>
      </c>
      <c r="AM20" s="87">
        <v>0</v>
      </c>
      <c r="AN20" s="87">
        <v>0</v>
      </c>
      <c r="AO20" s="87">
        <v>0</v>
      </c>
      <c r="AP20" s="87">
        <v>0</v>
      </c>
      <c r="AQ20" s="87">
        <v>0</v>
      </c>
      <c r="AR20" s="87">
        <v>0</v>
      </c>
      <c r="AS20" s="87">
        <v>-4.49781108</v>
      </c>
      <c r="AT20" s="87">
        <v>0</v>
      </c>
      <c r="AU20" s="87">
        <v>-4.49781108</v>
      </c>
      <c r="AV20" s="87">
        <v>0</v>
      </c>
      <c r="AW20" s="87">
        <v>0</v>
      </c>
      <c r="AX20" s="87">
        <v>0</v>
      </c>
      <c r="AY20" s="87">
        <v>-434.93122892999997</v>
      </c>
      <c r="AZ20" s="87">
        <v>-434.93122892999997</v>
      </c>
      <c r="BA20" s="87">
        <v>-53.53925796</v>
      </c>
      <c r="BB20" s="87">
        <v>0</v>
      </c>
      <c r="BC20" s="87">
        <v>0</v>
      </c>
      <c r="BD20" s="87">
        <v>0</v>
      </c>
      <c r="BE20" s="87">
        <v>-53.53925796</v>
      </c>
      <c r="BF20" s="87">
        <v>0</v>
      </c>
      <c r="BG20" s="87">
        <v>0</v>
      </c>
      <c r="BH20" s="87">
        <v>0</v>
      </c>
      <c r="BI20" s="87">
        <v>0</v>
      </c>
      <c r="BJ20" s="87">
        <v>0</v>
      </c>
      <c r="BK20" s="87">
        <v>0</v>
      </c>
      <c r="BL20" s="87">
        <v>-497.65967388000001</v>
      </c>
      <c r="BM20" s="87">
        <v>0.88349999999999995</v>
      </c>
      <c r="BN20" s="87">
        <v>1.2254370200000122</v>
      </c>
      <c r="BO20" s="87">
        <v>-495.55073685999997</v>
      </c>
      <c r="BP20" s="87">
        <v>0</v>
      </c>
      <c r="BQ20" s="87">
        <v>0</v>
      </c>
      <c r="BR20" s="87">
        <v>0</v>
      </c>
      <c r="BS20" s="87">
        <v>0.2325295</v>
      </c>
      <c r="BT20" s="87">
        <v>0.2325295</v>
      </c>
      <c r="BU20" s="87">
        <v>0</v>
      </c>
      <c r="BV20" s="87">
        <v>0</v>
      </c>
    </row>
    <row r="21" spans="1:74" s="1" customFormat="1" ht="15" customHeight="1">
      <c r="A21" s="175" t="s">
        <v>101</v>
      </c>
      <c r="B21" s="8" t="str">
        <f>IF('Sumário | Summary'!P1=1,"Custo de locação, vendas e serviços prestados","Costs of Leases, Sales and Services")</f>
        <v>Custo de locação, vendas e serviços prestados</v>
      </c>
      <c r="C21" s="3">
        <v>-9.9559999999999995</v>
      </c>
      <c r="D21" s="3">
        <v>-29.528749000000001</v>
      </c>
      <c r="E21" s="3">
        <v>-18.638999999999999</v>
      </c>
      <c r="F21" s="3">
        <v>-95.173762999999994</v>
      </c>
      <c r="G21" s="3">
        <v>-153.29751199999998</v>
      </c>
      <c r="H21" s="3">
        <v>-16.895</v>
      </c>
      <c r="I21" s="3">
        <v>-32.146000000000001</v>
      </c>
      <c r="J21" s="3">
        <v>-27.654</v>
      </c>
      <c r="K21" s="3">
        <v>-20.611464000000002</v>
      </c>
      <c r="L21" s="3">
        <v>-97.306463999999991</v>
      </c>
      <c r="M21" s="3">
        <v>-25.983000000000001</v>
      </c>
      <c r="N21" s="3">
        <v>-31.149000000000001</v>
      </c>
      <c r="O21" s="3">
        <v>-46.253</v>
      </c>
      <c r="P21" s="3">
        <v>-25.606999999999999</v>
      </c>
      <c r="Q21" s="3">
        <v>-128.99200000000002</v>
      </c>
      <c r="R21" s="3">
        <v>-29.241</v>
      </c>
      <c r="S21" s="3">
        <v>-29.925000000000001</v>
      </c>
      <c r="T21" s="3">
        <v>-36.4</v>
      </c>
      <c r="U21" s="3">
        <v>-35.226999999999997</v>
      </c>
      <c r="V21" s="3">
        <v>-130.79300000000001</v>
      </c>
      <c r="W21" s="3">
        <v>-31.623999999999999</v>
      </c>
      <c r="X21" s="3">
        <v>-32.880000000000003</v>
      </c>
      <c r="Y21" s="3">
        <v>-52.027000000000001</v>
      </c>
      <c r="Z21" s="35">
        <v>-47.154000000000003</v>
      </c>
      <c r="AA21" s="126">
        <f t="shared" ref="AA21:BP21" si="1">SUM(AA15:AA20)</f>
        <v>-163.68523733550001</v>
      </c>
      <c r="AB21" s="126">
        <f t="shared" si="1"/>
        <v>-38.684996828450011</v>
      </c>
      <c r="AC21" s="126">
        <f t="shared" si="1"/>
        <v>-38.775441065350016</v>
      </c>
      <c r="AD21" s="126">
        <f t="shared" si="1"/>
        <v>-57.68622432201667</v>
      </c>
      <c r="AE21" s="126">
        <f t="shared" si="1"/>
        <v>-51.627660485350013</v>
      </c>
      <c r="AF21" s="126">
        <f t="shared" si="1"/>
        <v>-186.7959556111667</v>
      </c>
      <c r="AG21" s="126">
        <f t="shared" si="1"/>
        <v>-38.340900729999994</v>
      </c>
      <c r="AH21" s="126">
        <f t="shared" si="1"/>
        <v>-80.217436239999984</v>
      </c>
      <c r="AI21" s="126">
        <f t="shared" si="1"/>
        <v>-45.973003408286694</v>
      </c>
      <c r="AJ21" s="126">
        <f t="shared" si="1"/>
        <v>-40.403965929999984</v>
      </c>
      <c r="AK21" s="126">
        <f t="shared" si="1"/>
        <v>-204.93530629828666</v>
      </c>
      <c r="AL21" s="126">
        <f t="shared" si="1"/>
        <v>-39.67140793999998</v>
      </c>
      <c r="AM21" s="126">
        <f t="shared" si="1"/>
        <v>-39.85615989999998</v>
      </c>
      <c r="AN21" s="126">
        <f t="shared" si="1"/>
        <v>-40.612085094335939</v>
      </c>
      <c r="AO21" s="126">
        <f t="shared" si="1"/>
        <v>-43.12187156873334</v>
      </c>
      <c r="AP21" s="126">
        <f t="shared" si="1"/>
        <v>-98.073727603069273</v>
      </c>
      <c r="AQ21" s="126">
        <f t="shared" si="1"/>
        <v>-46.523669443040511</v>
      </c>
      <c r="AR21" s="126">
        <f t="shared" si="1"/>
        <v>-38.609761730000002</v>
      </c>
      <c r="AS21" s="126">
        <f t="shared" si="1"/>
        <v>-42.366588970000002</v>
      </c>
      <c r="AT21" s="126">
        <f t="shared" si="1"/>
        <v>-52.22860876</v>
      </c>
      <c r="AU21" s="126">
        <f t="shared" si="1"/>
        <v>-144.48018211304051</v>
      </c>
      <c r="AV21" s="126">
        <f t="shared" si="1"/>
        <v>-45.293604629999997</v>
      </c>
      <c r="AW21" s="126">
        <f t="shared" si="1"/>
        <v>-44.026339329999999</v>
      </c>
      <c r="AX21" s="126">
        <f t="shared" si="1"/>
        <v>-47.519516409999994</v>
      </c>
      <c r="AY21" s="126">
        <f t="shared" si="1"/>
        <v>-504.31763298999999</v>
      </c>
      <c r="AZ21" s="126">
        <f t="shared" si="1"/>
        <v>-640.17639771999995</v>
      </c>
      <c r="BA21" s="126">
        <f t="shared" si="1"/>
        <v>-100.26701021</v>
      </c>
      <c r="BB21" s="126">
        <f t="shared" si="1"/>
        <v>-49.476058659999993</v>
      </c>
      <c r="BC21" s="126">
        <f t="shared" si="1"/>
        <v>-48.02559767000001</v>
      </c>
      <c r="BD21" s="126">
        <f t="shared" si="1"/>
        <v>-56.47876116000004</v>
      </c>
      <c r="BE21" s="126">
        <f t="shared" si="1"/>
        <v>-254.24742770000006</v>
      </c>
      <c r="BF21" s="126">
        <f t="shared" si="1"/>
        <v>-49.891106060000006</v>
      </c>
      <c r="BG21" s="126">
        <f t="shared" si="1"/>
        <v>-48.229916379999977</v>
      </c>
      <c r="BH21" s="126">
        <f t="shared" si="1"/>
        <v>-44.408538579999998</v>
      </c>
      <c r="BI21" s="126">
        <f t="shared" si="1"/>
        <v>-47.412979730000018</v>
      </c>
      <c r="BJ21" s="126">
        <f t="shared" si="1"/>
        <v>-189.94254075000003</v>
      </c>
      <c r="BK21" s="126">
        <f t="shared" si="1"/>
        <v>-45.795143270000011</v>
      </c>
      <c r="BL21" s="126">
        <f t="shared" si="1"/>
        <v>-661.31266897530395</v>
      </c>
      <c r="BM21" s="126">
        <f t="shared" si="1"/>
        <v>-41.236038159999985</v>
      </c>
      <c r="BN21" s="126">
        <f t="shared" si="1"/>
        <v>-36.128740233970014</v>
      </c>
      <c r="BO21" s="126">
        <f t="shared" si="1"/>
        <v>-784.4725906392739</v>
      </c>
      <c r="BP21" s="126">
        <f t="shared" si="1"/>
        <v>-40.10827814000001</v>
      </c>
      <c r="BQ21" s="126">
        <v>-35.327731685000018</v>
      </c>
      <c r="BR21" s="126">
        <v>-39.291342945000018</v>
      </c>
      <c r="BS21" s="126">
        <v>-38.954496640000045</v>
      </c>
      <c r="BT21" s="126">
        <v>-153.6818494100001</v>
      </c>
      <c r="BU21" s="126">
        <v>-36.078595050000004</v>
      </c>
      <c r="BV21" s="126">
        <f>SUM(BV15:BV20)</f>
        <v>-35.289444390000014</v>
      </c>
    </row>
    <row r="22" spans="1:74" s="1" customFormat="1" ht="15" customHeight="1">
      <c r="A22" s="175" t="s">
        <v>102</v>
      </c>
      <c r="B22" s="8" t="str">
        <f>IF('Sumário | Summary'!P1=1,"Lucro Bruto","Gross Profit")</f>
        <v>Lucro Bruto</v>
      </c>
      <c r="C22" s="3">
        <v>39.546999999999997</v>
      </c>
      <c r="D22" s="3">
        <v>62.591377433717298</v>
      </c>
      <c r="E22" s="3">
        <v>41.487000000000009</v>
      </c>
      <c r="F22" s="3">
        <v>75.916769585553126</v>
      </c>
      <c r="G22" s="3">
        <v>219.54214701927043</v>
      </c>
      <c r="H22" s="3">
        <v>53.286000000000001</v>
      </c>
      <c r="I22" s="3">
        <v>56.394000000000005</v>
      </c>
      <c r="J22" s="3">
        <v>55.617000000000019</v>
      </c>
      <c r="K22" s="3">
        <v>59.690318599999998</v>
      </c>
      <c r="L22" s="3">
        <v>224.98731859999998</v>
      </c>
      <c r="M22" s="3">
        <v>68.368000000000009</v>
      </c>
      <c r="N22" s="3">
        <v>51.593000000000004</v>
      </c>
      <c r="O22" s="3">
        <v>69.234000000000009</v>
      </c>
      <c r="P22" s="3">
        <v>63.674000000000007</v>
      </c>
      <c r="Q22" s="3">
        <v>252.86899999999997</v>
      </c>
      <c r="R22" s="3">
        <v>53.126999999999995</v>
      </c>
      <c r="S22" s="3">
        <v>60.958999999999989</v>
      </c>
      <c r="T22" s="3">
        <v>68.930000000000007</v>
      </c>
      <c r="U22" s="3">
        <v>70.472708803000017</v>
      </c>
      <c r="V22" s="3">
        <v>253.48870880299995</v>
      </c>
      <c r="W22" s="3">
        <v>61.156907622903802</v>
      </c>
      <c r="X22" s="3">
        <v>57.391999999999975</v>
      </c>
      <c r="Y22" s="3">
        <v>71.885999999999996</v>
      </c>
      <c r="Z22" s="35">
        <v>67.131</v>
      </c>
      <c r="AA22" s="126">
        <f t="shared" ref="AA22:BP22" si="2">AA14+AA21</f>
        <v>257.56667028740384</v>
      </c>
      <c r="AB22" s="126">
        <f t="shared" si="2"/>
        <v>59.393003171549992</v>
      </c>
      <c r="AC22" s="126">
        <f t="shared" si="2"/>
        <v>68.133558934649983</v>
      </c>
      <c r="AD22" s="126">
        <f t="shared" si="2"/>
        <v>72.874775677983337</v>
      </c>
      <c r="AE22" s="126">
        <f t="shared" si="2"/>
        <v>59.096007884650014</v>
      </c>
      <c r="AF22" s="126">
        <f t="shared" si="2"/>
        <v>259.476505971042</v>
      </c>
      <c r="AG22" s="126">
        <f t="shared" si="2"/>
        <v>66.19328237000002</v>
      </c>
      <c r="AH22" s="126">
        <f t="shared" si="2"/>
        <v>85.714007460000005</v>
      </c>
      <c r="AI22" s="126">
        <f t="shared" si="2"/>
        <v>61.772926701713324</v>
      </c>
      <c r="AJ22" s="126">
        <f t="shared" si="2"/>
        <v>71.15088353000003</v>
      </c>
      <c r="AK22" s="126">
        <f t="shared" si="2"/>
        <v>284.83110007171337</v>
      </c>
      <c r="AL22" s="126">
        <f t="shared" si="2"/>
        <v>72.646440110000015</v>
      </c>
      <c r="AM22" s="126">
        <f t="shared" si="2"/>
        <v>74.494891610000025</v>
      </c>
      <c r="AN22" s="126">
        <f t="shared" si="2"/>
        <v>75.070799043316057</v>
      </c>
      <c r="AO22" s="126">
        <f t="shared" si="2"/>
        <v>85.351969882661663</v>
      </c>
      <c r="AP22" s="126">
        <f t="shared" si="2"/>
        <v>372.75189754597773</v>
      </c>
      <c r="AQ22" s="126">
        <f t="shared" si="2"/>
        <v>83.377444635012495</v>
      </c>
      <c r="AR22" s="126">
        <f t="shared" si="2"/>
        <v>54.448170551946987</v>
      </c>
      <c r="AS22" s="126">
        <f t="shared" si="2"/>
        <v>97.903387081329981</v>
      </c>
      <c r="AT22" s="126">
        <f t="shared" si="2"/>
        <v>70.866202620094725</v>
      </c>
      <c r="AU22" s="126">
        <f t="shared" si="2"/>
        <v>341.84365167838416</v>
      </c>
      <c r="AV22" s="126">
        <f t="shared" si="2"/>
        <v>73.109147727005023</v>
      </c>
      <c r="AW22" s="126">
        <f t="shared" si="2"/>
        <v>68.810019254477481</v>
      </c>
      <c r="AX22" s="126">
        <f t="shared" si="2"/>
        <v>77.101408568283972</v>
      </c>
      <c r="AY22" s="126">
        <f t="shared" si="2"/>
        <v>1445.9343307502343</v>
      </c>
      <c r="AZ22" s="126">
        <f t="shared" si="2"/>
        <v>1727.4527725922035</v>
      </c>
      <c r="BA22" s="126">
        <f t="shared" si="2"/>
        <v>53.049646294448024</v>
      </c>
      <c r="BB22" s="126">
        <f t="shared" si="2"/>
        <v>51.102672161142024</v>
      </c>
      <c r="BC22" s="126">
        <f t="shared" si="2"/>
        <v>57.436249029909945</v>
      </c>
      <c r="BD22" s="126">
        <f t="shared" si="2"/>
        <v>58.662571060888148</v>
      </c>
      <c r="BE22" s="126">
        <f t="shared" si="2"/>
        <v>228.84229750638809</v>
      </c>
      <c r="BF22" s="126">
        <f t="shared" si="2"/>
        <v>49.358862650051982</v>
      </c>
      <c r="BG22" s="126">
        <f t="shared" si="2"/>
        <v>55.742086173627996</v>
      </c>
      <c r="BH22" s="126">
        <f t="shared" si="2"/>
        <v>61.500712385880007</v>
      </c>
      <c r="BI22" s="126">
        <f t="shared" si="2"/>
        <v>68.163335954098983</v>
      </c>
      <c r="BJ22" s="126">
        <f t="shared" si="2"/>
        <v>234.7649971636589</v>
      </c>
      <c r="BK22" s="126">
        <f t="shared" si="2"/>
        <v>66.61183694002797</v>
      </c>
      <c r="BL22" s="126">
        <f t="shared" si="2"/>
        <v>420.11630194670806</v>
      </c>
      <c r="BM22" s="126">
        <f t="shared" si="2"/>
        <v>44.727763106359994</v>
      </c>
      <c r="BN22" s="126">
        <f t="shared" si="2"/>
        <v>41.814708342888004</v>
      </c>
      <c r="BO22" s="126">
        <f t="shared" si="2"/>
        <v>573.27061033598397</v>
      </c>
      <c r="BP22" s="126">
        <f t="shared" si="2"/>
        <v>43.65458799440799</v>
      </c>
      <c r="BQ22" s="126">
        <v>39.043946734171953</v>
      </c>
      <c r="BR22" s="126">
        <v>47.732281840079956</v>
      </c>
      <c r="BS22" s="126">
        <v>43.553734724473955</v>
      </c>
      <c r="BT22" s="126">
        <v>173.98455129313385</v>
      </c>
      <c r="BU22" s="126">
        <v>46.253966990555995</v>
      </c>
      <c r="BV22" s="126">
        <f>BV14+BV21</f>
        <v>46.56896558256399</v>
      </c>
    </row>
    <row r="23" spans="1:74" s="1" customFormat="1" ht="15" customHeight="1">
      <c r="A23" s="175" t="s">
        <v>103</v>
      </c>
      <c r="B23" s="8" t="str">
        <f>IF('Sumário | Summary'!P1=1,"Margem Bruta","Gross Margin")</f>
        <v>Margem Bruta</v>
      </c>
      <c r="C23" s="17">
        <v>0.79888087590651069</v>
      </c>
      <c r="D23" s="17">
        <v>0.67945388110982818</v>
      </c>
      <c r="E23" s="17">
        <v>0.69000099790440084</v>
      </c>
      <c r="F23" s="17">
        <v>0.44372279657023839</v>
      </c>
      <c r="G23" s="17">
        <v>0.58883796749723794</v>
      </c>
      <c r="H23" s="17">
        <v>0.7592653282227384</v>
      </c>
      <c r="I23" s="17">
        <v>0.63693245990512759</v>
      </c>
      <c r="J23" s="17">
        <v>0.66790359188673143</v>
      </c>
      <c r="K23" s="17">
        <v>0.74332495079629779</v>
      </c>
      <c r="L23" s="17">
        <v>0.69808147332222226</v>
      </c>
      <c r="M23" s="17">
        <v>0.72461341162255832</v>
      </c>
      <c r="N23" s="17">
        <v>0.62354064441275292</v>
      </c>
      <c r="O23" s="17">
        <v>0.59949604717414084</v>
      </c>
      <c r="P23" s="17">
        <v>0.71318645624488974</v>
      </c>
      <c r="Q23" s="17">
        <v>0.66220169119129735</v>
      </c>
      <c r="R23" s="17">
        <v>0.64499562937062938</v>
      </c>
      <c r="S23" s="17">
        <v>0.67073412261784249</v>
      </c>
      <c r="T23" s="17">
        <v>0.6544194436532802</v>
      </c>
      <c r="U23" s="17">
        <v>0.66672566652331056</v>
      </c>
      <c r="V23" s="17">
        <v>0.65964292079524822</v>
      </c>
      <c r="W23" s="17">
        <v>0.65915401336089829</v>
      </c>
      <c r="X23" s="17">
        <v>0.63576745834810344</v>
      </c>
      <c r="Y23" s="17">
        <v>0.58012815339671053</v>
      </c>
      <c r="Z23" s="17">
        <v>0.58739992124950779</v>
      </c>
      <c r="AA23" s="49">
        <f t="shared" ref="AA23:BP23" si="3">AA22/AA14</f>
        <v>0.61143146328009579</v>
      </c>
      <c r="AB23" s="49">
        <f t="shared" si="3"/>
        <v>0.60556906922602405</v>
      </c>
      <c r="AC23" s="49">
        <f t="shared" si="3"/>
        <v>0.63730423944335823</v>
      </c>
      <c r="AD23" s="49">
        <f t="shared" si="3"/>
        <v>0.55816649442010502</v>
      </c>
      <c r="AE23" s="49">
        <f t="shared" si="3"/>
        <v>0.53372516242120605</v>
      </c>
      <c r="AF23" s="49">
        <f t="shared" si="3"/>
        <v>0.58143069158042437</v>
      </c>
      <c r="AG23" s="49">
        <f t="shared" si="3"/>
        <v>0.63322140573555619</v>
      </c>
      <c r="AH23" s="49">
        <f t="shared" si="3"/>
        <v>0.51656277766719638</v>
      </c>
      <c r="AI23" s="49">
        <f t="shared" si="3"/>
        <v>0.57332027890657289</v>
      </c>
      <c r="AJ23" s="49">
        <f t="shared" si="3"/>
        <v>0.63781076192041697</v>
      </c>
      <c r="AK23" s="49">
        <f t="shared" si="3"/>
        <v>0.58156520407921608</v>
      </c>
      <c r="AL23" s="49">
        <f t="shared" si="3"/>
        <v>0.64679337586365038</v>
      </c>
      <c r="AM23" s="49">
        <f t="shared" si="3"/>
        <v>0.6514578626632519</v>
      </c>
      <c r="AN23" s="49">
        <f t="shared" si="3"/>
        <v>0.64893609459104351</v>
      </c>
      <c r="AO23" s="49">
        <f t="shared" si="3"/>
        <v>0.66435290576216277</v>
      </c>
      <c r="AP23" s="49">
        <f t="shared" si="3"/>
        <v>0.79169840729883267</v>
      </c>
      <c r="AQ23" s="49">
        <f t="shared" si="3"/>
        <v>0.64185319138151442</v>
      </c>
      <c r="AR23" s="49">
        <f t="shared" si="3"/>
        <v>0.58509972462078652</v>
      </c>
      <c r="AS23" s="49">
        <f t="shared" si="3"/>
        <v>0.69796395377941389</v>
      </c>
      <c r="AT23" s="49">
        <f t="shared" si="3"/>
        <v>0.57570422201852678</v>
      </c>
      <c r="AU23" s="49">
        <f t="shared" si="3"/>
        <v>0.70291363064265233</v>
      </c>
      <c r="AV23" s="49">
        <f t="shared" si="3"/>
        <v>0.61746155618551968</v>
      </c>
      <c r="AW23" s="49">
        <f t="shared" si="3"/>
        <v>0.60982133877495981</v>
      </c>
      <c r="AX23" s="49">
        <f t="shared" si="3"/>
        <v>0.61868750036736941</v>
      </c>
      <c r="AY23" s="49">
        <f t="shared" si="3"/>
        <v>0.74140898593286941</v>
      </c>
      <c r="AZ23" s="49">
        <f t="shared" si="3"/>
        <v>0.72961289472726676</v>
      </c>
      <c r="BA23" s="49">
        <f t="shared" si="3"/>
        <v>0.34601358719891567</v>
      </c>
      <c r="BB23" s="49">
        <f t="shared" si="3"/>
        <v>0.50808626977026894</v>
      </c>
      <c r="BC23" s="49">
        <f t="shared" si="3"/>
        <v>0.54461637859750267</v>
      </c>
      <c r="BD23" s="49">
        <f t="shared" si="3"/>
        <v>0.50948317106796481</v>
      </c>
      <c r="BE23" s="49">
        <f t="shared" si="3"/>
        <v>0.47370557800338409</v>
      </c>
      <c r="BF23" s="49">
        <f t="shared" si="3"/>
        <v>0.49731867215241693</v>
      </c>
      <c r="BG23" s="49">
        <f t="shared" si="3"/>
        <v>0.53612592625477851</v>
      </c>
      <c r="BH23" s="49">
        <f t="shared" si="3"/>
        <v>0.58069254408845961</v>
      </c>
      <c r="BI23" s="49">
        <f t="shared" si="3"/>
        <v>0.58976906774228399</v>
      </c>
      <c r="BJ23" s="49">
        <f t="shared" si="3"/>
        <v>0.55276861417841261</v>
      </c>
      <c r="BK23" s="49">
        <f t="shared" si="3"/>
        <v>0.59259520018744738</v>
      </c>
      <c r="BL23" s="49">
        <f t="shared" si="3"/>
        <v>0.3884825663478596</v>
      </c>
      <c r="BM23" s="49">
        <f t="shared" si="3"/>
        <v>0.52030927492108481</v>
      </c>
      <c r="BN23" s="49">
        <f t="shared" si="3"/>
        <v>0.53647495852913929</v>
      </c>
      <c r="BO23" s="49">
        <f t="shared" si="3"/>
        <v>0.42222314935858823</v>
      </c>
      <c r="BP23" s="49">
        <f t="shared" si="3"/>
        <v>0.52116874707174821</v>
      </c>
      <c r="BQ23" s="49">
        <v>0.52498407410026893</v>
      </c>
      <c r="BR23" s="49">
        <v>0.54849797348666129</v>
      </c>
      <c r="BS23" s="49">
        <v>0.52787138936572953</v>
      </c>
      <c r="BT23" s="49">
        <v>0.53098075029903358</v>
      </c>
      <c r="BU23" s="49">
        <v>0.5617943356089401</v>
      </c>
      <c r="BV23" s="49">
        <f>BV22/BV14</f>
        <v>0.56889653241703853</v>
      </c>
    </row>
    <row r="24" spans="1:74" s="1" customFormat="1" ht="15" customHeight="1">
      <c r="A24" s="175" t="s">
        <v>104</v>
      </c>
      <c r="B24" s="11" t="str">
        <f>IF('Sumário | Summary'!P1=1,"Despesas/ Receitas Operacionais","Operating Expenses/Revenues")</f>
        <v>Despesas/ Receitas Operacionais</v>
      </c>
      <c r="C24" s="3">
        <v>-2.5860000000000003</v>
      </c>
      <c r="D24" s="3">
        <v>30.187919625349998</v>
      </c>
      <c r="E24" s="3">
        <v>-1.3929999999999989</v>
      </c>
      <c r="F24" s="3">
        <v>-5.5133559999999999</v>
      </c>
      <c r="G24" s="3">
        <v>22.156976705350004</v>
      </c>
      <c r="H24" s="3">
        <v>15.301</v>
      </c>
      <c r="I24" s="3">
        <v>-3.3150000000000004</v>
      </c>
      <c r="J24" s="3">
        <v>-2.7030000000000012</v>
      </c>
      <c r="K24" s="3">
        <v>-5.6657344999999983</v>
      </c>
      <c r="L24" s="3">
        <v>3.6172654999999971</v>
      </c>
      <c r="M24" s="3">
        <v>-5.8850000000000007</v>
      </c>
      <c r="N24" s="3">
        <v>-0.72499999999999865</v>
      </c>
      <c r="O24" s="3">
        <v>5.5649999999999995</v>
      </c>
      <c r="P24" s="3">
        <v>-7.6209999999999996</v>
      </c>
      <c r="Q24" s="3">
        <v>-8.6660000000000004</v>
      </c>
      <c r="R24" s="3">
        <v>-9.0539999999999985</v>
      </c>
      <c r="S24" s="3">
        <v>11.234</v>
      </c>
      <c r="T24" s="3">
        <v>1.9000000000000015</v>
      </c>
      <c r="U24" s="3">
        <v>2.378000000000001</v>
      </c>
      <c r="V24" s="3">
        <v>6.458000000000002</v>
      </c>
      <c r="W24" s="3">
        <v>36.484000000000002</v>
      </c>
      <c r="X24" s="3">
        <v>2.3079999999999981</v>
      </c>
      <c r="Y24" s="3">
        <v>-9.5460000000000012</v>
      </c>
      <c r="Z24" s="3">
        <v>1.092000000000001</v>
      </c>
      <c r="AA24" s="126">
        <f t="shared" ref="AA24:BP24" si="4">SUM(AA25:AA32)</f>
        <v>30.338000000000001</v>
      </c>
      <c r="AB24" s="126">
        <f t="shared" si="4"/>
        <v>-10.142999999999999</v>
      </c>
      <c r="AC24" s="126">
        <f t="shared" si="4"/>
        <v>-9.2390000000000025</v>
      </c>
      <c r="AD24" s="126">
        <f t="shared" si="4"/>
        <v>250.56099999999998</v>
      </c>
      <c r="AE24" s="126">
        <f t="shared" si="4"/>
        <v>-19.583999999999996</v>
      </c>
      <c r="AF24" s="126">
        <f t="shared" si="4"/>
        <v>211.595</v>
      </c>
      <c r="AG24" s="126">
        <f t="shared" si="4"/>
        <v>-3.0019999999999989</v>
      </c>
      <c r="AH24" s="126">
        <f t="shared" si="4"/>
        <v>-0.25799999999999912</v>
      </c>
      <c r="AI24" s="126">
        <f t="shared" si="4"/>
        <v>-37.313999999999993</v>
      </c>
      <c r="AJ24" s="126">
        <f t="shared" si="4"/>
        <v>-31.268000000000001</v>
      </c>
      <c r="AK24" s="126">
        <f t="shared" si="4"/>
        <v>-71.842000000000013</v>
      </c>
      <c r="AL24" s="126">
        <f t="shared" si="4"/>
        <v>-8.6419999999999995</v>
      </c>
      <c r="AM24" s="126">
        <f t="shared" si="4"/>
        <v>-30.564999999999998</v>
      </c>
      <c r="AN24" s="126">
        <f t="shared" si="4"/>
        <v>-5.4179999999999993</v>
      </c>
      <c r="AO24" s="126">
        <f t="shared" si="4"/>
        <v>8.1490000000000009</v>
      </c>
      <c r="AP24" s="126">
        <f t="shared" si="4"/>
        <v>-36.475999999999999</v>
      </c>
      <c r="AQ24" s="126">
        <f t="shared" si="4"/>
        <v>-11.17339842</v>
      </c>
      <c r="AR24" s="126">
        <f t="shared" si="4"/>
        <v>-23.493709610983657</v>
      </c>
      <c r="AS24" s="126">
        <f t="shared" si="4"/>
        <v>-18.097999999999999</v>
      </c>
      <c r="AT24" s="126">
        <f t="shared" si="4"/>
        <v>-9.6280000000000001</v>
      </c>
      <c r="AU24" s="126">
        <f t="shared" si="4"/>
        <v>-62.362999999999992</v>
      </c>
      <c r="AV24" s="126">
        <f t="shared" si="4"/>
        <v>-12.770999999999999</v>
      </c>
      <c r="AW24" s="126">
        <f t="shared" si="4"/>
        <v>-7.9520000000000017</v>
      </c>
      <c r="AX24" s="126">
        <f t="shared" si="4"/>
        <v>-1.1610000000000005</v>
      </c>
      <c r="AY24" s="126">
        <f t="shared" si="4"/>
        <v>-8.8413804211737599</v>
      </c>
      <c r="AZ24" s="126">
        <f t="shared" si="4"/>
        <v>-30.725380421173767</v>
      </c>
      <c r="BA24" s="126">
        <f t="shared" si="4"/>
        <v>-5.4015542673060075</v>
      </c>
      <c r="BB24" s="126">
        <f t="shared" si="4"/>
        <v>-17.620150549950004</v>
      </c>
      <c r="BC24" s="126">
        <f t="shared" si="4"/>
        <v>-9.5799571879392555</v>
      </c>
      <c r="BD24" s="126">
        <f t="shared" si="4"/>
        <v>-44.713755697068208</v>
      </c>
      <c r="BE24" s="126">
        <f t="shared" si="4"/>
        <v>-77.315417702263488</v>
      </c>
      <c r="BF24" s="126">
        <f t="shared" si="4"/>
        <v>-12.315321079180009</v>
      </c>
      <c r="BG24" s="126">
        <f t="shared" si="4"/>
        <v>-17.655102958074973</v>
      </c>
      <c r="BH24" s="126">
        <f t="shared" si="4"/>
        <v>-13.530348432558263</v>
      </c>
      <c r="BI24" s="126">
        <f t="shared" si="4"/>
        <v>-18.900728014097123</v>
      </c>
      <c r="BJ24" s="126">
        <f t="shared" si="4"/>
        <v>-62.401500483910375</v>
      </c>
      <c r="BK24" s="126">
        <f t="shared" si="4"/>
        <v>-14.606920875670017</v>
      </c>
      <c r="BL24" s="126">
        <f t="shared" si="4"/>
        <v>284.98291458746229</v>
      </c>
      <c r="BM24" s="126">
        <f t="shared" si="4"/>
        <v>-17.031739149410097</v>
      </c>
      <c r="BN24" s="126">
        <f t="shared" si="4"/>
        <v>8.019157992627413</v>
      </c>
      <c r="BO24" s="126">
        <f t="shared" si="4"/>
        <v>261.36341255500963</v>
      </c>
      <c r="BP24" s="126">
        <f t="shared" si="4"/>
        <v>-0.76354885250701798</v>
      </c>
      <c r="BQ24" s="126">
        <v>1.484815107017905</v>
      </c>
      <c r="BR24" s="126">
        <v>-8.1839836163067741</v>
      </c>
      <c r="BS24" s="126">
        <v>-14.486212236734135</v>
      </c>
      <c r="BT24" s="126">
        <v>-21.948929598530022</v>
      </c>
      <c r="BU24" s="126">
        <v>-3.5355051912938738</v>
      </c>
      <c r="BV24" s="126">
        <f>SUM(BV25:BV32)</f>
        <v>-9.7986707572151559</v>
      </c>
    </row>
    <row r="25" spans="1:74" s="1" customFormat="1" ht="15" customHeight="1">
      <c r="A25" t="s">
        <v>134</v>
      </c>
      <c r="B25" s="89" t="str">
        <f>IF('Sumário | Summary'!P1=1,"Comerciais ","Commercial")</f>
        <v xml:space="preserve">Comerciais </v>
      </c>
      <c r="C25" s="4">
        <v>-1.748</v>
      </c>
      <c r="D25" s="4">
        <v>-5.0394855999999999</v>
      </c>
      <c r="E25" s="4">
        <v>-1.2929999999999999</v>
      </c>
      <c r="F25" s="4">
        <v>-1.918655</v>
      </c>
      <c r="G25" s="4">
        <v>-9.9991405999999987</v>
      </c>
      <c r="H25" s="4">
        <v>-2.0419999999999998</v>
      </c>
      <c r="I25" s="4">
        <v>-2.0259999999999998</v>
      </c>
      <c r="J25" s="4">
        <v>-2.036</v>
      </c>
      <c r="K25" s="4">
        <v>-5.1416785000000003</v>
      </c>
      <c r="L25" s="4">
        <v>-11.2456785</v>
      </c>
      <c r="M25" s="4">
        <v>-3.613</v>
      </c>
      <c r="N25" s="4">
        <v>-2.3809999999999998</v>
      </c>
      <c r="O25" s="4">
        <v>-2.7429999999999999</v>
      </c>
      <c r="P25" s="4">
        <v>-3.1739999999999999</v>
      </c>
      <c r="Q25" s="4">
        <v>-11.911</v>
      </c>
      <c r="R25" s="4">
        <v>-5.3920000000000003</v>
      </c>
      <c r="S25" s="4">
        <v>-2.133</v>
      </c>
      <c r="T25" s="4">
        <v>-1.4</v>
      </c>
      <c r="U25" s="32">
        <v>-0.97</v>
      </c>
      <c r="V25" s="4">
        <v>-9.8950000000000014</v>
      </c>
      <c r="W25" s="32">
        <v>-0.61</v>
      </c>
      <c r="X25" s="32">
        <v>-2.3370000000000002</v>
      </c>
      <c r="Y25" s="32">
        <v>-1.266</v>
      </c>
      <c r="Z25" s="36">
        <v>-7.4450000000000003</v>
      </c>
      <c r="AA25" s="4">
        <v>-11.657999999999999</v>
      </c>
      <c r="AB25" s="51">
        <v>-6.9779999999999998</v>
      </c>
      <c r="AC25" s="51">
        <v>-2.569</v>
      </c>
      <c r="AD25" s="51">
        <v>-3.5950000000000002</v>
      </c>
      <c r="AE25" s="51">
        <v>-3.9039999999999999</v>
      </c>
      <c r="AF25" s="51">
        <v>-17.045999999999999</v>
      </c>
      <c r="AG25" s="51">
        <v>-4.8840000000000003</v>
      </c>
      <c r="AH25" s="51">
        <v>-2.419</v>
      </c>
      <c r="AI25" s="51">
        <v>-3.597</v>
      </c>
      <c r="AJ25" s="51">
        <v>-6.3979999999999997</v>
      </c>
      <c r="AK25" s="51">
        <v>-17.297999999999998</v>
      </c>
      <c r="AL25" s="87">
        <v>-4.2690000000000001</v>
      </c>
      <c r="AM25" s="87">
        <v>-2.8879999999999999</v>
      </c>
      <c r="AN25" s="87">
        <v>-5.9729999999999999</v>
      </c>
      <c r="AO25" s="87">
        <v>-2.1480000000000001</v>
      </c>
      <c r="AP25" s="87">
        <v>-15.278</v>
      </c>
      <c r="AQ25" s="87">
        <v>-4.3040000000000003</v>
      </c>
      <c r="AR25" s="87">
        <v>-12.683999999999999</v>
      </c>
      <c r="AS25" s="87">
        <v>-8.3460000000000001</v>
      </c>
      <c r="AT25" s="87">
        <v>-1.827</v>
      </c>
      <c r="AU25" s="87">
        <v>-27.161000000000001</v>
      </c>
      <c r="AV25" s="87">
        <v>-3.028</v>
      </c>
      <c r="AW25" s="87">
        <v>-2.6819999999999999</v>
      </c>
      <c r="AX25" s="87">
        <v>-2.6259999999999999</v>
      </c>
      <c r="AY25" s="87">
        <v>-47.459807460490168</v>
      </c>
      <c r="AZ25" s="87">
        <v>-55.795807460490167</v>
      </c>
      <c r="BA25" s="87">
        <v>-1.9395536500000001</v>
      </c>
      <c r="BB25" s="87">
        <v>-4.4483282500000003</v>
      </c>
      <c r="BC25" s="87">
        <v>-1.8254472500000012</v>
      </c>
      <c r="BD25" s="87">
        <v>-7.0910759700000021</v>
      </c>
      <c r="BE25" s="87">
        <v>-15.304405120000004</v>
      </c>
      <c r="BF25" s="87">
        <v>-0.59105101000000038</v>
      </c>
      <c r="BG25" s="87">
        <v>-2.9598152900000003</v>
      </c>
      <c r="BH25" s="87">
        <v>-2.2617423199999993</v>
      </c>
      <c r="BI25" s="87">
        <v>-3.0686145000000007</v>
      </c>
      <c r="BJ25" s="87">
        <v>-8.8812231200000014</v>
      </c>
      <c r="BK25" s="87">
        <v>-5.2320314699999999</v>
      </c>
      <c r="BL25" s="87">
        <v>-7.9894616999999979</v>
      </c>
      <c r="BM25" s="87">
        <v>-3.5573770699999985</v>
      </c>
      <c r="BN25" s="87">
        <v>-1.2857666446500007</v>
      </c>
      <c r="BO25" s="87">
        <v>-18.064636884649996</v>
      </c>
      <c r="BP25" s="87">
        <v>-1.5897426000000001</v>
      </c>
      <c r="BQ25" s="87">
        <v>-3.8286911275</v>
      </c>
      <c r="BR25" s="87">
        <v>-3.8905020624999995</v>
      </c>
      <c r="BS25" s="87">
        <v>-2.9614769799999996</v>
      </c>
      <c r="BT25" s="87">
        <v>-12.27041277</v>
      </c>
      <c r="BU25" s="87">
        <v>-2.5053141300000004</v>
      </c>
      <c r="BV25" s="87">
        <v>-2.17800635</v>
      </c>
    </row>
    <row r="26" spans="1:74" s="1" customFormat="1" ht="15" customHeight="1">
      <c r="A26" t="s">
        <v>135</v>
      </c>
      <c r="B26" s="84" t="str">
        <f>IF('Sumário | Summary'!P1=1,"Gerais e Administrativas","General and Administrative")</f>
        <v>Gerais e Administrativas</v>
      </c>
      <c r="C26" s="4">
        <v>-3.3220000000000001</v>
      </c>
      <c r="D26" s="4">
        <v>-3.2909303746499998</v>
      </c>
      <c r="E26" s="4">
        <v>-3.7029999999999998</v>
      </c>
      <c r="F26" s="4">
        <v>-6.1768299999999998</v>
      </c>
      <c r="G26" s="4">
        <v>-16.49276037465</v>
      </c>
      <c r="H26" s="4">
        <v>-3.5630000000000002</v>
      </c>
      <c r="I26" s="4">
        <v>-4.915</v>
      </c>
      <c r="J26" s="4">
        <v>-6.4080000000000004</v>
      </c>
      <c r="K26" s="4">
        <v>-3.5858029999999999</v>
      </c>
      <c r="L26" s="4">
        <v>-18.471802999999998</v>
      </c>
      <c r="M26" s="4">
        <v>-5.9080000000000004</v>
      </c>
      <c r="N26" s="4">
        <v>-4.71</v>
      </c>
      <c r="O26" s="4">
        <v>-6.1589999999999998</v>
      </c>
      <c r="P26" s="4">
        <v>-6.7149999999999999</v>
      </c>
      <c r="Q26" s="4">
        <v>-23.492000000000001</v>
      </c>
      <c r="R26" s="4">
        <v>-6.1479999999999997</v>
      </c>
      <c r="S26" s="4">
        <v>-6.5220000000000002</v>
      </c>
      <c r="T26" s="4">
        <v>-4.8</v>
      </c>
      <c r="U26" s="32">
        <v>-6.3609999999999998</v>
      </c>
      <c r="V26" s="4">
        <v>-23.831</v>
      </c>
      <c r="W26" s="32">
        <v>-4.7279999999999998</v>
      </c>
      <c r="X26" s="32">
        <v>-4.9400000000000004</v>
      </c>
      <c r="Y26" s="32">
        <v>-16.367999999999999</v>
      </c>
      <c r="Z26" s="36">
        <v>-5.5549999999999997</v>
      </c>
      <c r="AA26" s="4">
        <v>-31.591000000000001</v>
      </c>
      <c r="AB26" s="51">
        <v>-7.2389999999999999</v>
      </c>
      <c r="AC26" s="51">
        <v>-8.9260000000000002</v>
      </c>
      <c r="AD26" s="51">
        <v>-10.047000000000001</v>
      </c>
      <c r="AE26" s="51">
        <v>-9.1950000000000003</v>
      </c>
      <c r="AF26" s="51">
        <v>-35.406999999999996</v>
      </c>
      <c r="AG26" s="51">
        <v>-5.0730000000000004</v>
      </c>
      <c r="AH26" s="51">
        <v>-6.6909999999999998</v>
      </c>
      <c r="AI26" s="51">
        <v>-8.8829999999999991</v>
      </c>
      <c r="AJ26" s="51">
        <v>-8.3230000000000004</v>
      </c>
      <c r="AK26" s="51">
        <v>-28.97</v>
      </c>
      <c r="AL26" s="87">
        <v>-1.4219999999999999</v>
      </c>
      <c r="AM26" s="87">
        <v>-5.7679999999999998</v>
      </c>
      <c r="AN26" s="87">
        <v>-8.0180000000000007</v>
      </c>
      <c r="AO26" s="87">
        <v>-11.500999999999999</v>
      </c>
      <c r="AP26" s="87">
        <v>-26.709</v>
      </c>
      <c r="AQ26" s="87">
        <v>-6.2130000000000001</v>
      </c>
      <c r="AR26" s="87">
        <v>-4.9626098358399959</v>
      </c>
      <c r="AS26" s="87">
        <v>-5.3609999999999998</v>
      </c>
      <c r="AT26" s="87">
        <v>-8.51</v>
      </c>
      <c r="AU26" s="87">
        <v>-25.015999999999998</v>
      </c>
      <c r="AV26" s="87">
        <v>-7.0350000000000001</v>
      </c>
      <c r="AW26" s="87">
        <v>-8.09</v>
      </c>
      <c r="AX26" s="87">
        <v>-2.2450000000000001</v>
      </c>
      <c r="AY26" s="87">
        <v>-11.95371925000001</v>
      </c>
      <c r="AZ26" s="87">
        <v>-29.323719250000011</v>
      </c>
      <c r="BA26" s="87">
        <v>-6.4426020130000037</v>
      </c>
      <c r="BB26" s="87">
        <v>-6.4516352031199986</v>
      </c>
      <c r="BC26" s="87">
        <v>-10.431337046680003</v>
      </c>
      <c r="BD26" s="87">
        <v>-6.1546340681799991</v>
      </c>
      <c r="BE26" s="87">
        <v>-29.480208330980005</v>
      </c>
      <c r="BF26" s="87">
        <v>-7.5634105599999994</v>
      </c>
      <c r="BG26" s="87">
        <v>-7.4827465295199991</v>
      </c>
      <c r="BH26" s="87">
        <v>-7.0491880998800003</v>
      </c>
      <c r="BI26" s="87">
        <v>-10.882010128407998</v>
      </c>
      <c r="BJ26" s="87">
        <v>-32.977355317807998</v>
      </c>
      <c r="BK26" s="87">
        <v>-6.9695348527480014</v>
      </c>
      <c r="BL26" s="87">
        <v>-12.959601108179999</v>
      </c>
      <c r="BM26" s="87">
        <v>-7.1811440206720034</v>
      </c>
      <c r="BN26" s="87">
        <v>-16.602976712677002</v>
      </c>
      <c r="BO26" s="87">
        <v>-43.713256694277007</v>
      </c>
      <c r="BP26" s="87">
        <v>-7.4469660699999984</v>
      </c>
      <c r="BQ26" s="87">
        <v>-5.7603898229499988</v>
      </c>
      <c r="BR26" s="87">
        <v>0</v>
      </c>
      <c r="BS26" s="87">
        <v>-15.882334239290001</v>
      </c>
      <c r="BT26" s="87">
        <v>-29.089690132240001</v>
      </c>
      <c r="BU26" s="87">
        <v>-7.1373116999999988</v>
      </c>
      <c r="BV26" s="87">
        <v>-6.0329213500000005</v>
      </c>
    </row>
    <row r="27" spans="1:74" s="1" customFormat="1" ht="15" customHeight="1">
      <c r="A27" s="175" t="s">
        <v>105</v>
      </c>
      <c r="B27" s="86" t="str">
        <f>IF('Sumário | Summary'!P1=1,"Plano de Opções","Options Plan")</f>
        <v>Plano de Opções</v>
      </c>
      <c r="C27" s="4">
        <v>0</v>
      </c>
      <c r="D27" s="4">
        <v>0</v>
      </c>
      <c r="E27" s="4">
        <v>0</v>
      </c>
      <c r="F27" s="4">
        <v>0</v>
      </c>
      <c r="G27" s="4">
        <v>0</v>
      </c>
      <c r="H27" s="4">
        <v>0</v>
      </c>
      <c r="I27" s="4">
        <v>0</v>
      </c>
      <c r="J27" s="4">
        <v>0</v>
      </c>
      <c r="K27" s="10">
        <v>0</v>
      </c>
      <c r="L27" s="4">
        <v>0</v>
      </c>
      <c r="M27" s="4">
        <v>0</v>
      </c>
      <c r="N27" s="4">
        <v>0</v>
      </c>
      <c r="O27" s="4">
        <v>0</v>
      </c>
      <c r="P27" s="4">
        <v>0</v>
      </c>
      <c r="Q27" s="4">
        <v>0</v>
      </c>
      <c r="R27" s="4">
        <v>0</v>
      </c>
      <c r="S27" s="4">
        <v>0</v>
      </c>
      <c r="T27" s="4">
        <v>0</v>
      </c>
      <c r="U27" s="4">
        <v>0</v>
      </c>
      <c r="V27" s="4">
        <v>0</v>
      </c>
      <c r="W27" s="4">
        <v>0</v>
      </c>
      <c r="X27" s="4">
        <v>0</v>
      </c>
      <c r="Y27" s="4">
        <v>0</v>
      </c>
      <c r="Z27" s="43">
        <v>0</v>
      </c>
      <c r="AA27" s="4">
        <v>0</v>
      </c>
      <c r="AB27" s="10">
        <v>0</v>
      </c>
      <c r="AC27" s="10">
        <v>0</v>
      </c>
      <c r="AD27" s="10">
        <v>0</v>
      </c>
      <c r="AE27" s="10">
        <v>0</v>
      </c>
      <c r="AF27" s="10">
        <v>0</v>
      </c>
      <c r="AG27" s="10">
        <v>0</v>
      </c>
      <c r="AH27" s="10">
        <v>0</v>
      </c>
      <c r="AI27" s="10">
        <v>0</v>
      </c>
      <c r="AJ27" s="10">
        <v>0</v>
      </c>
      <c r="AK27" s="10">
        <v>0</v>
      </c>
      <c r="AL27" s="87">
        <v>0</v>
      </c>
      <c r="AM27" s="87">
        <v>0</v>
      </c>
      <c r="AN27" s="87">
        <v>0</v>
      </c>
      <c r="AO27" s="87">
        <v>0</v>
      </c>
      <c r="AP27" s="87">
        <v>0</v>
      </c>
      <c r="AQ27" s="87">
        <v>0</v>
      </c>
      <c r="AR27" s="87">
        <v>0</v>
      </c>
      <c r="AS27" s="87">
        <v>0</v>
      </c>
      <c r="AT27" s="87">
        <v>0</v>
      </c>
      <c r="AU27" s="87">
        <v>0</v>
      </c>
      <c r="AV27" s="87">
        <v>0</v>
      </c>
      <c r="AW27" s="87">
        <v>0</v>
      </c>
      <c r="AX27" s="87">
        <v>0</v>
      </c>
      <c r="AY27" s="87">
        <v>0</v>
      </c>
      <c r="AZ27" s="87">
        <v>0</v>
      </c>
      <c r="BA27" s="87">
        <v>0</v>
      </c>
      <c r="BB27" s="87">
        <v>0</v>
      </c>
      <c r="BC27" s="87">
        <v>0</v>
      </c>
      <c r="BD27" s="87">
        <v>0</v>
      </c>
      <c r="BE27" s="87">
        <v>0</v>
      </c>
      <c r="BF27" s="87">
        <v>0</v>
      </c>
      <c r="BG27" s="87">
        <v>0</v>
      </c>
      <c r="BH27" s="87">
        <v>0</v>
      </c>
      <c r="BI27" s="87">
        <v>0</v>
      </c>
      <c r="BJ27" s="87">
        <v>0</v>
      </c>
      <c r="BK27" s="87">
        <v>0</v>
      </c>
      <c r="BL27" s="87">
        <v>0</v>
      </c>
      <c r="BM27" s="87">
        <v>0</v>
      </c>
      <c r="BN27" s="87">
        <v>0</v>
      </c>
      <c r="BO27" s="87">
        <v>0</v>
      </c>
      <c r="BP27" s="87">
        <v>0</v>
      </c>
      <c r="BQ27" s="87">
        <v>0</v>
      </c>
      <c r="BR27" s="87">
        <v>0</v>
      </c>
      <c r="BS27" s="87">
        <v>0</v>
      </c>
      <c r="BT27" s="87">
        <v>0</v>
      </c>
      <c r="BU27" s="87">
        <v>0</v>
      </c>
      <c r="BV27" s="87">
        <v>0</v>
      </c>
    </row>
    <row r="28" spans="1:74" s="1" customFormat="1" ht="15" customHeight="1">
      <c r="A28" t="s">
        <v>136</v>
      </c>
      <c r="B28" s="86" t="str">
        <f>IF('Sumário | Summary'!P1=1,"Remuneração da administração","Management Compensation")</f>
        <v>Remuneração da administração</v>
      </c>
      <c r="C28" s="4">
        <v>-1.085</v>
      </c>
      <c r="D28" s="4">
        <v>-1.1328026</v>
      </c>
      <c r="E28" s="4">
        <v>-1.159</v>
      </c>
      <c r="F28" s="4">
        <v>-1.1584369999999999</v>
      </c>
      <c r="G28" s="4">
        <v>-4.5352395999999997</v>
      </c>
      <c r="H28" s="4">
        <v>-1.008</v>
      </c>
      <c r="I28" s="4">
        <v>-1.0189999999999999</v>
      </c>
      <c r="J28" s="4">
        <v>-1.157</v>
      </c>
      <c r="K28" s="4">
        <v>-1.230642</v>
      </c>
      <c r="L28" s="4">
        <v>-4.4146420000000006</v>
      </c>
      <c r="M28" s="4">
        <v>-1.23</v>
      </c>
      <c r="N28" s="4">
        <v>-1.292</v>
      </c>
      <c r="O28" s="4">
        <v>-1.32</v>
      </c>
      <c r="P28" s="4">
        <v>-1.319</v>
      </c>
      <c r="Q28" s="4">
        <v>-5.1610000000000005</v>
      </c>
      <c r="R28" s="4">
        <v>-1.3180000000000001</v>
      </c>
      <c r="S28" s="4">
        <v>-1.3109999999999999</v>
      </c>
      <c r="T28" s="4">
        <v>-1.5</v>
      </c>
      <c r="U28" s="32">
        <v>-1.857</v>
      </c>
      <c r="V28" s="4">
        <v>-5.9859999999999998</v>
      </c>
      <c r="W28" s="32">
        <v>-1.7669999999999999</v>
      </c>
      <c r="X28" s="32">
        <v>-1.8029999999999999</v>
      </c>
      <c r="Y28" s="32">
        <v>-1.617</v>
      </c>
      <c r="Z28" s="36">
        <v>-3.153</v>
      </c>
      <c r="AA28" s="4">
        <v>-8.34</v>
      </c>
      <c r="AB28" s="10">
        <v>-1.552</v>
      </c>
      <c r="AC28" s="10">
        <v>-1.8979999999999999</v>
      </c>
      <c r="AD28" s="10">
        <v>-1.8939999999999999</v>
      </c>
      <c r="AE28" s="10">
        <v>-1.3660000000000001</v>
      </c>
      <c r="AF28" s="10">
        <v>-6.71</v>
      </c>
      <c r="AG28" s="10">
        <v>-1.3220000000000001</v>
      </c>
      <c r="AH28" s="10">
        <v>-1.3180000000000001</v>
      </c>
      <c r="AI28" s="51">
        <v>-1.331</v>
      </c>
      <c r="AJ28" s="51">
        <v>-1.339</v>
      </c>
      <c r="AK28" s="51">
        <v>-5.31</v>
      </c>
      <c r="AL28" s="87">
        <v>-1.3959999999999999</v>
      </c>
      <c r="AM28" s="87">
        <v>-1.883</v>
      </c>
      <c r="AN28" s="87">
        <v>-1.165</v>
      </c>
      <c r="AO28" s="87">
        <v>-1.179</v>
      </c>
      <c r="AP28" s="87">
        <v>-5.6230000000000002</v>
      </c>
      <c r="AQ28" s="87">
        <v>-1.179</v>
      </c>
      <c r="AR28" s="87">
        <v>-1.1792556000000003</v>
      </c>
      <c r="AS28" s="87">
        <v>-1.179</v>
      </c>
      <c r="AT28" s="87">
        <v>-1.179</v>
      </c>
      <c r="AU28" s="87">
        <v>-5.8570000000000002</v>
      </c>
      <c r="AV28" s="87">
        <v>-3.3119999999999998</v>
      </c>
      <c r="AW28" s="87">
        <v>-1.034</v>
      </c>
      <c r="AX28" s="87">
        <v>-1.002</v>
      </c>
      <c r="AY28" s="87">
        <v>-1.0115999999999998</v>
      </c>
      <c r="AZ28" s="87">
        <v>-6.3595999999999995</v>
      </c>
      <c r="BA28" s="87">
        <v>-1.8455999999999999</v>
      </c>
      <c r="BB28" s="87">
        <v>-2.3469711500000003</v>
      </c>
      <c r="BC28" s="87">
        <v>-1.2275999999999994</v>
      </c>
      <c r="BD28" s="87">
        <v>-1.0835999999999995</v>
      </c>
      <c r="BE28" s="87">
        <v>-6.5037711499999986</v>
      </c>
      <c r="BF28" s="87">
        <v>-2</v>
      </c>
      <c r="BG28" s="87">
        <v>-1.0595999999999994</v>
      </c>
      <c r="BH28" s="87">
        <v>-1.0813118900000001</v>
      </c>
      <c r="BI28" s="87">
        <v>-1.1126057099999989</v>
      </c>
      <c r="BJ28" s="87">
        <v>-5.2535175999999986</v>
      </c>
      <c r="BK28" s="87">
        <v>-2.4001218799999999</v>
      </c>
      <c r="BL28" s="87">
        <v>-1.2800057099999995</v>
      </c>
      <c r="BM28" s="87">
        <v>-2.5400057099999991</v>
      </c>
      <c r="BN28" s="87">
        <v>-1.0395610399999995</v>
      </c>
      <c r="BO28" s="87">
        <v>-7.2596943399999985</v>
      </c>
      <c r="BP28" s="87">
        <v>-1.32800571</v>
      </c>
      <c r="BQ28" s="87">
        <v>-3.0768852</v>
      </c>
      <c r="BR28" s="87">
        <v>-1.2373774199999998</v>
      </c>
      <c r="BS28" s="87">
        <v>-1.2370474199999999</v>
      </c>
      <c r="BT28" s="87">
        <v>-6.8793157499999991</v>
      </c>
      <c r="BU28" s="87">
        <v>-1.2373774200000001</v>
      </c>
      <c r="BV28" s="87">
        <v>-2.2012043200000009</v>
      </c>
    </row>
    <row r="29" spans="1:74" s="1" customFormat="1" ht="15" customHeight="1">
      <c r="A29" t="s">
        <v>137</v>
      </c>
      <c r="B29" s="9" t="str">
        <f>IF('Sumário | Summary'!P1=1,"Participação de empregados e administradores","Profit Sharing")</f>
        <v>Participação de empregados e administradores</v>
      </c>
      <c r="C29" s="4">
        <v>-1.44</v>
      </c>
      <c r="D29" s="4">
        <v>-1.3260000000000001</v>
      </c>
      <c r="E29" s="4">
        <v>-1.38</v>
      </c>
      <c r="F29" s="4">
        <v>-4.78</v>
      </c>
      <c r="G29" s="4">
        <v>-8.9260000000000002</v>
      </c>
      <c r="H29" s="4">
        <v>-1.6950000000000001</v>
      </c>
      <c r="I29" s="4">
        <v>-2.633</v>
      </c>
      <c r="J29" s="4">
        <v>-1.6950000000000001</v>
      </c>
      <c r="K29" s="4">
        <v>-1.945397</v>
      </c>
      <c r="L29" s="4">
        <v>-7.9683970000000004</v>
      </c>
      <c r="M29" s="4">
        <v>-4.72</v>
      </c>
      <c r="N29" s="4">
        <v>-2.25</v>
      </c>
      <c r="O29" s="4">
        <v>-2.25</v>
      </c>
      <c r="P29" s="4">
        <v>-3.0179999999999998</v>
      </c>
      <c r="Q29" s="4">
        <v>-12.238</v>
      </c>
      <c r="R29" s="4">
        <v>-1.141</v>
      </c>
      <c r="S29" s="4">
        <v>-1.1160000000000001</v>
      </c>
      <c r="T29" s="4">
        <v>-1.1000000000000001</v>
      </c>
      <c r="U29" s="32">
        <v>-0.2</v>
      </c>
      <c r="V29" s="4">
        <v>-3.5570000000000004</v>
      </c>
      <c r="W29" s="32">
        <v>1.7569999999999999</v>
      </c>
      <c r="X29" s="32">
        <v>-2.0699999999999998</v>
      </c>
      <c r="Y29" s="32">
        <v>-2.0699999999999998</v>
      </c>
      <c r="Z29" s="36">
        <v>1.038</v>
      </c>
      <c r="AA29" s="4">
        <v>-1.345</v>
      </c>
      <c r="AB29" s="51">
        <v>-1.746</v>
      </c>
      <c r="AC29" s="51">
        <v>-1.484</v>
      </c>
      <c r="AD29" s="51">
        <v>-1.286</v>
      </c>
      <c r="AE29" s="10">
        <v>-2.1179999999999999</v>
      </c>
      <c r="AF29" s="51">
        <v>-6.6340000000000003</v>
      </c>
      <c r="AG29" s="51">
        <v>-0.90700000000000003</v>
      </c>
      <c r="AH29" s="51">
        <v>-2.0449999999999999</v>
      </c>
      <c r="AI29" s="51">
        <v>-4.1719999999999997</v>
      </c>
      <c r="AJ29" s="51">
        <v>-1.748</v>
      </c>
      <c r="AK29" s="51">
        <v>-8.8719999999999999</v>
      </c>
      <c r="AL29" s="87">
        <v>-1.5620000000000001</v>
      </c>
      <c r="AM29" s="87">
        <v>-1.7470000000000001</v>
      </c>
      <c r="AN29" s="87">
        <v>-1.5469999999999999</v>
      </c>
      <c r="AO29" s="87">
        <v>-7.3570000000000002</v>
      </c>
      <c r="AP29" s="87">
        <v>-12.212999999999999</v>
      </c>
      <c r="AQ29" s="87">
        <v>4.2999999999999997E-2</v>
      </c>
      <c r="AR29" s="87">
        <v>-1.9846669799999994</v>
      </c>
      <c r="AS29" s="87">
        <v>-2.8639999999999999</v>
      </c>
      <c r="AT29" s="87">
        <v>-2.2770000000000001</v>
      </c>
      <c r="AU29" s="87">
        <v>-5.9429999999999996</v>
      </c>
      <c r="AV29" s="87">
        <v>5.7960000000000003</v>
      </c>
      <c r="AW29" s="87">
        <v>-1.5820000000000001</v>
      </c>
      <c r="AX29" s="87">
        <v>-1.581</v>
      </c>
      <c r="AY29" s="87">
        <v>-8.2839369999999999</v>
      </c>
      <c r="AZ29" s="87">
        <v>-5.6509369999999999</v>
      </c>
      <c r="BA29" s="87">
        <v>3.9534925600000017</v>
      </c>
      <c r="BB29" s="87">
        <v>-1.9423237900000003</v>
      </c>
      <c r="BC29" s="87">
        <v>-1.9055391600000002</v>
      </c>
      <c r="BD29" s="87">
        <v>-2.34466697</v>
      </c>
      <c r="BE29" s="87">
        <v>-2.2390373599999993</v>
      </c>
      <c r="BF29" s="87">
        <v>-2.0994662600000011</v>
      </c>
      <c r="BG29" s="87">
        <v>-2.1906572900000012</v>
      </c>
      <c r="BH29" s="87">
        <v>-2.0333110800000012</v>
      </c>
      <c r="BI29" s="87">
        <v>-3.3533110800000014</v>
      </c>
      <c r="BJ29" s="87">
        <v>-9.6767457100000041</v>
      </c>
      <c r="BK29" s="87">
        <v>-0.91292494000000002</v>
      </c>
      <c r="BL29" s="87">
        <v>-9.6748360900000012</v>
      </c>
      <c r="BM29" s="87">
        <v>-0.87483609000000073</v>
      </c>
      <c r="BN29" s="87">
        <v>-3.3148360900000009</v>
      </c>
      <c r="BO29" s="87">
        <v>-14.777433210000002</v>
      </c>
      <c r="BP29" s="87">
        <v>-2.1088607399999999</v>
      </c>
      <c r="BQ29" s="87">
        <v>-0.46358396000000174</v>
      </c>
      <c r="BR29" s="87">
        <v>-2.1088607400000017</v>
      </c>
      <c r="BS29" s="87">
        <v>-3.0494377800000021</v>
      </c>
      <c r="BT29" s="87">
        <v>-7.7307432200000044</v>
      </c>
      <c r="BU29" s="87">
        <v>-2.3615435100000002</v>
      </c>
      <c r="BV29" s="87">
        <v>-0.42285218999999963</v>
      </c>
    </row>
    <row r="30" spans="1:74" s="1" customFormat="1" ht="15" customHeight="1">
      <c r="A30" t="s">
        <v>138</v>
      </c>
      <c r="B30" s="9" t="str">
        <f>IF('Sumário | Summary'!P1=1,"Equivalência patrimonial","Equity")</f>
        <v>Equivalência patrimonial</v>
      </c>
      <c r="C30" s="10">
        <v>5.0090000000000003</v>
      </c>
      <c r="D30" s="4">
        <v>40.977138199999999</v>
      </c>
      <c r="E30" s="10">
        <v>6.1420000000000003</v>
      </c>
      <c r="F30" s="10">
        <v>8.5205660000000005</v>
      </c>
      <c r="G30" s="4">
        <v>60.648704200000005</v>
      </c>
      <c r="H30" s="10">
        <v>23.452999999999999</v>
      </c>
      <c r="I30" s="10">
        <v>7.1429999999999998</v>
      </c>
      <c r="J30" s="10">
        <v>6.9980000000000002</v>
      </c>
      <c r="K30" s="10">
        <v>5.7957530000000004</v>
      </c>
      <c r="L30" s="4">
        <v>43.389752999999999</v>
      </c>
      <c r="M30" s="10">
        <v>9.5749999999999993</v>
      </c>
      <c r="N30" s="10">
        <v>10.717000000000001</v>
      </c>
      <c r="O30" s="10">
        <v>17.792999999999999</v>
      </c>
      <c r="P30" s="10">
        <v>6.601</v>
      </c>
      <c r="Q30" s="4">
        <v>44.686</v>
      </c>
      <c r="R30" s="4">
        <v>4.9489999999999998</v>
      </c>
      <c r="S30" s="4">
        <v>10.201000000000001</v>
      </c>
      <c r="T30" s="4">
        <v>11.4</v>
      </c>
      <c r="U30" s="32">
        <v>9.9689999999999994</v>
      </c>
      <c r="V30" s="4">
        <v>36.518999999999998</v>
      </c>
      <c r="W30" s="32">
        <v>10.173999999999999</v>
      </c>
      <c r="X30" s="32">
        <v>9.65</v>
      </c>
      <c r="Y30" s="32">
        <v>9.8930000000000007</v>
      </c>
      <c r="Z30" s="36">
        <v>13.673999999999999</v>
      </c>
      <c r="AA30" s="4">
        <v>43.390999999999998</v>
      </c>
      <c r="AB30" s="51">
        <v>7.97</v>
      </c>
      <c r="AC30" s="51">
        <v>4.1369999999999996</v>
      </c>
      <c r="AD30" s="51">
        <v>-15.163</v>
      </c>
      <c r="AE30" s="51">
        <v>-0.65300000000000002</v>
      </c>
      <c r="AF30" s="51">
        <v>-3.7090000000000001</v>
      </c>
      <c r="AG30" s="51">
        <v>-1.427</v>
      </c>
      <c r="AH30" s="51">
        <v>0.98399999999999999</v>
      </c>
      <c r="AI30" s="51">
        <v>0.217</v>
      </c>
      <c r="AJ30" s="51">
        <v>-0.91900000000000004</v>
      </c>
      <c r="AK30" s="51">
        <v>-1.145</v>
      </c>
      <c r="AL30" s="87">
        <v>0.16700000000000001</v>
      </c>
      <c r="AM30" s="87">
        <v>1.6819999999999999</v>
      </c>
      <c r="AN30" s="87">
        <v>2.004</v>
      </c>
      <c r="AO30" s="87">
        <v>-1.113</v>
      </c>
      <c r="AP30" s="87">
        <v>2.74</v>
      </c>
      <c r="AQ30" s="87">
        <v>0.92500000000000004</v>
      </c>
      <c r="AR30" s="87">
        <v>0.64124931499999016</v>
      </c>
      <c r="AS30" s="87">
        <v>-1.4319999999999999</v>
      </c>
      <c r="AT30" s="87">
        <v>6.1639999999999997</v>
      </c>
      <c r="AU30" s="87">
        <v>6.298</v>
      </c>
      <c r="AV30" s="87">
        <v>-0.14799999999999999</v>
      </c>
      <c r="AW30" s="87">
        <v>-0.41299999999999998</v>
      </c>
      <c r="AX30" s="87">
        <v>1.855</v>
      </c>
      <c r="AY30" s="87">
        <v>5.7001714329960258</v>
      </c>
      <c r="AZ30" s="87">
        <v>6.9941714329960263</v>
      </c>
      <c r="BA30" s="87">
        <v>-0.57995973503866427</v>
      </c>
      <c r="BB30" s="87">
        <v>-0.20988924592572636</v>
      </c>
      <c r="BC30" s="87">
        <v>0.24720728067644496</v>
      </c>
      <c r="BD30" s="87">
        <v>-2.2748055622562018</v>
      </c>
      <c r="BE30" s="87">
        <v>-2.8174472625441478</v>
      </c>
      <c r="BF30" s="87">
        <v>-0.59072501500000052</v>
      </c>
      <c r="BG30" s="87">
        <v>-1.1098425050000114</v>
      </c>
      <c r="BH30" s="87">
        <v>-2.0668486113596414</v>
      </c>
      <c r="BI30" s="87">
        <v>1.2349362614753394</v>
      </c>
      <c r="BJ30" s="87">
        <v>-2.5324798698843138</v>
      </c>
      <c r="BK30" s="87">
        <v>0</v>
      </c>
      <c r="BL30" s="87">
        <v>-1.8410178435888287</v>
      </c>
      <c r="BM30" s="87">
        <v>-1.1098818831686972</v>
      </c>
      <c r="BN30" s="87">
        <v>4.8956140110837225</v>
      </c>
      <c r="BO30" s="87">
        <v>1.9447142843261966</v>
      </c>
      <c r="BP30" s="87">
        <v>-0.12894496282168474</v>
      </c>
      <c r="BQ30" s="87">
        <v>-3.4629261906790285</v>
      </c>
      <c r="BR30" s="87">
        <v>3.0016704059236319</v>
      </c>
      <c r="BS30" s="87">
        <v>0.98504811742536025</v>
      </c>
      <c r="BT30" s="87">
        <v>0.39484736984827884</v>
      </c>
      <c r="BU30" s="87">
        <v>0.8580356099999995</v>
      </c>
      <c r="BV30" s="87">
        <v>1.9643796299999876</v>
      </c>
    </row>
    <row r="31" spans="1:74" s="1" customFormat="1" ht="15" customHeight="1">
      <c r="A31" t="s">
        <v>106</v>
      </c>
      <c r="B31" s="9" t="str">
        <f>IF('Sumário | Summary'!P1=1,"Amortização de Ágios e outros resultados em investimentos","Amortization of goodwill and other income from investments ")</f>
        <v>Amortização de Ágios e outros resultados em investimentos</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4">
        <v>0</v>
      </c>
      <c r="W31" s="4">
        <v>0</v>
      </c>
      <c r="X31" s="4">
        <v>0</v>
      </c>
      <c r="Y31" s="4">
        <v>0</v>
      </c>
      <c r="Z31" s="43">
        <v>0</v>
      </c>
      <c r="AA31" s="4">
        <v>0</v>
      </c>
      <c r="AB31" s="4">
        <v>0</v>
      </c>
      <c r="AC31" s="4">
        <v>0</v>
      </c>
      <c r="AD31" s="4">
        <v>0</v>
      </c>
      <c r="AE31" s="51">
        <v>0</v>
      </c>
      <c r="AF31" s="4">
        <v>0</v>
      </c>
      <c r="AG31" s="4">
        <v>0</v>
      </c>
      <c r="AH31" s="4">
        <v>0</v>
      </c>
      <c r="AI31" s="4">
        <v>0</v>
      </c>
      <c r="AJ31" s="4">
        <v>0</v>
      </c>
      <c r="AK31" s="4">
        <v>0</v>
      </c>
      <c r="AL31" s="87">
        <v>0</v>
      </c>
      <c r="AM31" s="87">
        <v>0</v>
      </c>
      <c r="AN31" s="87">
        <v>0</v>
      </c>
      <c r="AO31" s="87">
        <v>0</v>
      </c>
      <c r="AP31" s="87">
        <v>0</v>
      </c>
      <c r="AQ31" s="87">
        <v>0</v>
      </c>
      <c r="AR31" s="87">
        <v>0</v>
      </c>
      <c r="AS31" s="87">
        <v>0</v>
      </c>
      <c r="AT31" s="87">
        <v>0</v>
      </c>
      <c r="AU31" s="87">
        <v>0</v>
      </c>
      <c r="AV31" s="87">
        <v>0</v>
      </c>
      <c r="AW31" s="87">
        <v>0</v>
      </c>
      <c r="AX31" s="87">
        <v>0</v>
      </c>
      <c r="AY31" s="87">
        <v>0</v>
      </c>
      <c r="AZ31" s="87">
        <v>0</v>
      </c>
      <c r="BA31" s="87">
        <v>0</v>
      </c>
      <c r="BB31" s="87">
        <v>0</v>
      </c>
      <c r="BC31" s="87">
        <v>0</v>
      </c>
      <c r="BD31" s="87">
        <v>0</v>
      </c>
      <c r="BE31" s="87">
        <v>0</v>
      </c>
      <c r="BF31" s="87">
        <v>0</v>
      </c>
      <c r="BG31" s="87">
        <v>0</v>
      </c>
      <c r="BH31" s="87">
        <v>0</v>
      </c>
      <c r="BI31" s="87">
        <v>0</v>
      </c>
      <c r="BJ31" s="87">
        <v>0</v>
      </c>
      <c r="BK31" s="87">
        <v>0</v>
      </c>
      <c r="BL31" s="87">
        <v>0</v>
      </c>
      <c r="BM31" s="87">
        <v>0</v>
      </c>
      <c r="BN31" s="87">
        <v>0</v>
      </c>
      <c r="BO31" s="87">
        <v>0</v>
      </c>
      <c r="BP31" s="87">
        <v>0</v>
      </c>
      <c r="BQ31" s="87">
        <v>0</v>
      </c>
      <c r="BR31" s="87">
        <v>0</v>
      </c>
      <c r="BS31" s="87">
        <v>0</v>
      </c>
      <c r="BT31" s="87">
        <v>0</v>
      </c>
      <c r="BU31" s="87">
        <v>0</v>
      </c>
      <c r="BV31" s="87">
        <v>0</v>
      </c>
    </row>
    <row r="32" spans="1:74" s="1" customFormat="1" ht="15" customHeight="1">
      <c r="A32" t="s">
        <v>107</v>
      </c>
      <c r="B32" s="90" t="str">
        <f>IF('Sumário | Summary'!P1=1,"Outras receitas (despesas) operacionais líquidas","
Other net operating revenues (expenses)")</f>
        <v>Outras receitas (despesas) operacionais líquidas</v>
      </c>
      <c r="C32" s="4">
        <v>0.06</v>
      </c>
      <c r="D32" s="4">
        <v>1.2592990799999999</v>
      </c>
      <c r="E32" s="4">
        <v>5.0000000000000001E-3</v>
      </c>
      <c r="F32" s="4">
        <v>0.13711400000000001</v>
      </c>
      <c r="G32" s="4">
        <v>1.4614130799999998</v>
      </c>
      <c r="H32" s="4">
        <v>0.156</v>
      </c>
      <c r="I32" s="4">
        <v>0.13500000000000001</v>
      </c>
      <c r="J32" s="4">
        <v>1.595</v>
      </c>
      <c r="K32" s="4">
        <v>0.44203300000000001</v>
      </c>
      <c r="L32" s="4">
        <v>2.328033</v>
      </c>
      <c r="M32" s="4">
        <v>1.0999999999999999E-2</v>
      </c>
      <c r="N32" s="4">
        <v>-0.80900000000000005</v>
      </c>
      <c r="O32" s="4">
        <v>0.24399999999999999</v>
      </c>
      <c r="P32" s="4">
        <v>4.0000000000000001E-3</v>
      </c>
      <c r="Q32" s="4">
        <v>-0.55000000000000004</v>
      </c>
      <c r="R32" s="4">
        <v>-4.0000000000000001E-3</v>
      </c>
      <c r="S32" s="4">
        <v>12.115</v>
      </c>
      <c r="T32" s="4">
        <v>-0.7</v>
      </c>
      <c r="U32" s="32">
        <v>1.7969999999999999</v>
      </c>
      <c r="V32" s="4">
        <v>13.208000000000002</v>
      </c>
      <c r="W32" s="32">
        <v>31.658000000000001</v>
      </c>
      <c r="X32" s="32">
        <v>3.8079999999999998</v>
      </c>
      <c r="Y32" s="32">
        <v>1.8819999999999999</v>
      </c>
      <c r="Z32" s="36">
        <v>2.5329999999999999</v>
      </c>
      <c r="AA32" s="4">
        <v>39.881</v>
      </c>
      <c r="AB32" s="32">
        <v>-0.59799999999999998</v>
      </c>
      <c r="AC32" s="32">
        <v>1.5009999999999999</v>
      </c>
      <c r="AD32" s="32">
        <v>282.54599999999999</v>
      </c>
      <c r="AE32" s="32">
        <v>-2.3479999999999999</v>
      </c>
      <c r="AF32" s="32">
        <v>281.101</v>
      </c>
      <c r="AG32" s="32">
        <v>10.611000000000001</v>
      </c>
      <c r="AH32" s="32">
        <v>11.231</v>
      </c>
      <c r="AI32" s="32">
        <v>-19.547999999999998</v>
      </c>
      <c r="AJ32" s="32">
        <v>-12.541</v>
      </c>
      <c r="AK32" s="32">
        <v>-10.247</v>
      </c>
      <c r="AL32" s="87">
        <v>-0.16</v>
      </c>
      <c r="AM32" s="87">
        <v>-19.960999999999999</v>
      </c>
      <c r="AN32" s="87">
        <v>9.2810000000000006</v>
      </c>
      <c r="AO32" s="87">
        <v>31.446999999999999</v>
      </c>
      <c r="AP32" s="87">
        <v>20.606999999999999</v>
      </c>
      <c r="AQ32" s="87">
        <v>-0.44539842000000013</v>
      </c>
      <c r="AR32" s="87">
        <v>-3.3244265101436494</v>
      </c>
      <c r="AS32" s="87">
        <v>1.0840000000000001</v>
      </c>
      <c r="AT32" s="87">
        <v>-1.9990000000000001</v>
      </c>
      <c r="AU32" s="87">
        <v>-4.6840000000000002</v>
      </c>
      <c r="AV32" s="87">
        <v>-5.0439999999999996</v>
      </c>
      <c r="AW32" s="87">
        <v>5.8490000000000002</v>
      </c>
      <c r="AX32" s="87">
        <v>4.4379999999999997</v>
      </c>
      <c r="AY32" s="87">
        <v>54.167511856320381</v>
      </c>
      <c r="AZ32" s="87">
        <v>59.410511856320383</v>
      </c>
      <c r="BA32" s="87">
        <v>1.452668570732659</v>
      </c>
      <c r="BB32" s="87">
        <v>-2.221002910904279</v>
      </c>
      <c r="BC32" s="87">
        <v>5.5627589880643029</v>
      </c>
      <c r="BD32" s="87">
        <v>-25.764973126632007</v>
      </c>
      <c r="BE32" s="87">
        <v>-20.970548478739325</v>
      </c>
      <c r="BF32" s="87">
        <v>0.52933176581999253</v>
      </c>
      <c r="BG32" s="87">
        <v>-2.8524413435549598</v>
      </c>
      <c r="BH32" s="87">
        <v>0.96205356868138048</v>
      </c>
      <c r="BI32" s="87">
        <v>-1.7191228571644657</v>
      </c>
      <c r="BJ32" s="87">
        <v>-3.0801788662180525</v>
      </c>
      <c r="BK32" s="87">
        <v>0.90769226707798423</v>
      </c>
      <c r="BL32" s="87">
        <v>318.72783703923113</v>
      </c>
      <c r="BM32" s="87">
        <v>-1.7684943755693967</v>
      </c>
      <c r="BN32" s="87">
        <v>25.366684468870691</v>
      </c>
      <c r="BO32" s="87">
        <v>343.23371939961044</v>
      </c>
      <c r="BP32" s="87">
        <v>11.838971230314666</v>
      </c>
      <c r="BQ32" s="87">
        <v>18.077291408146934</v>
      </c>
      <c r="BR32" s="87">
        <v>-3.948913799730406</v>
      </c>
      <c r="BS32" s="87">
        <v>7.6590360651305058</v>
      </c>
      <c r="BT32" s="87">
        <v>33.626384903861698</v>
      </c>
      <c r="BU32" s="87">
        <v>8.8480059587061266</v>
      </c>
      <c r="BV32" s="87">
        <v>-0.92806617721514162</v>
      </c>
    </row>
    <row r="33" spans="1:74" s="1" customFormat="1" ht="15" customHeight="1">
      <c r="A33" s="175" t="s">
        <v>108</v>
      </c>
      <c r="B33" s="11" t="str">
        <f>IF('Sumário | Summary'!P1=1,"Lucro antes do Resultado Financeiro","Profit Before Financial Results")</f>
        <v>Lucro antes do Resultado Financeiro</v>
      </c>
      <c r="C33" s="3">
        <v>36.960999999999999</v>
      </c>
      <c r="D33" s="3">
        <v>92.779297059067289</v>
      </c>
      <c r="E33" s="3">
        <v>40.094000000000008</v>
      </c>
      <c r="F33" s="3">
        <v>70.403413585553125</v>
      </c>
      <c r="G33" s="3">
        <v>241.69912372462045</v>
      </c>
      <c r="H33" s="3">
        <v>68.587000000000003</v>
      </c>
      <c r="I33" s="3">
        <v>53.079000000000008</v>
      </c>
      <c r="J33" s="3">
        <v>52.914000000000016</v>
      </c>
      <c r="K33" s="3">
        <v>54.024584099999998</v>
      </c>
      <c r="L33" s="3">
        <v>228.60458409999998</v>
      </c>
      <c r="M33" s="3">
        <v>62.483000000000011</v>
      </c>
      <c r="N33" s="3">
        <v>50.868000000000002</v>
      </c>
      <c r="O33" s="3">
        <v>74.799000000000007</v>
      </c>
      <c r="P33" s="3">
        <v>56.053000000000004</v>
      </c>
      <c r="Q33" s="3">
        <v>244.20299999999997</v>
      </c>
      <c r="R33" s="3">
        <v>44.072999999999993</v>
      </c>
      <c r="S33" s="3">
        <v>72.192999999999984</v>
      </c>
      <c r="T33" s="3">
        <v>70.830000000000013</v>
      </c>
      <c r="U33" s="3">
        <v>72.850708803000018</v>
      </c>
      <c r="V33" s="3">
        <v>259.97135443629247</v>
      </c>
      <c r="W33" s="3">
        <v>97.640907622903796</v>
      </c>
      <c r="X33" s="3">
        <v>59.699999999999974</v>
      </c>
      <c r="Y33" s="3">
        <v>62.339999999999996</v>
      </c>
      <c r="Z33" s="3">
        <v>68.222999999999999</v>
      </c>
      <c r="AA33" s="35">
        <f t="shared" ref="AA33:BP33" si="5">AA22+AA24</f>
        <v>287.90467028740386</v>
      </c>
      <c r="AB33" s="35">
        <f t="shared" si="5"/>
        <v>49.250003171549992</v>
      </c>
      <c r="AC33" s="35">
        <f t="shared" si="5"/>
        <v>58.894558934649979</v>
      </c>
      <c r="AD33" s="35">
        <f t="shared" si="5"/>
        <v>323.43577567798332</v>
      </c>
      <c r="AE33" s="35">
        <f t="shared" si="5"/>
        <v>39.512007884650018</v>
      </c>
      <c r="AF33" s="35">
        <f t="shared" si="5"/>
        <v>471.07150597104203</v>
      </c>
      <c r="AG33" s="35">
        <f t="shared" si="5"/>
        <v>63.191282370000025</v>
      </c>
      <c r="AH33" s="35">
        <f t="shared" si="5"/>
        <v>85.456007460000009</v>
      </c>
      <c r="AI33" s="35">
        <f t="shared" si="5"/>
        <v>24.458926701713331</v>
      </c>
      <c r="AJ33" s="35">
        <f t="shared" si="5"/>
        <v>39.882883530000029</v>
      </c>
      <c r="AK33" s="35">
        <f t="shared" si="5"/>
        <v>212.98910007171335</v>
      </c>
      <c r="AL33" s="35">
        <f t="shared" si="5"/>
        <v>64.004440110000019</v>
      </c>
      <c r="AM33" s="35">
        <f t="shared" si="5"/>
        <v>43.929891610000027</v>
      </c>
      <c r="AN33" s="35">
        <f t="shared" si="5"/>
        <v>69.652799043316065</v>
      </c>
      <c r="AO33" s="35">
        <f t="shared" si="5"/>
        <v>93.500969882661664</v>
      </c>
      <c r="AP33" s="35">
        <f t="shared" si="5"/>
        <v>336.27589754597773</v>
      </c>
      <c r="AQ33" s="35">
        <f t="shared" si="5"/>
        <v>72.204046215012497</v>
      </c>
      <c r="AR33" s="35">
        <f t="shared" si="5"/>
        <v>30.95446094096333</v>
      </c>
      <c r="AS33" s="35">
        <f t="shared" si="5"/>
        <v>79.805387081329982</v>
      </c>
      <c r="AT33" s="35">
        <f t="shared" si="5"/>
        <v>61.238202620094725</v>
      </c>
      <c r="AU33" s="35">
        <f t="shared" si="5"/>
        <v>279.48065167838416</v>
      </c>
      <c r="AV33" s="35">
        <f t="shared" si="5"/>
        <v>60.338147727005023</v>
      </c>
      <c r="AW33" s="35">
        <f t="shared" si="5"/>
        <v>60.858019254477483</v>
      </c>
      <c r="AX33" s="35">
        <f t="shared" si="5"/>
        <v>75.940408568283971</v>
      </c>
      <c r="AY33" s="35">
        <f t="shared" si="5"/>
        <v>1437.0929503290606</v>
      </c>
      <c r="AZ33" s="35">
        <f t="shared" si="5"/>
        <v>1696.7273921710298</v>
      </c>
      <c r="BA33" s="35">
        <f t="shared" si="5"/>
        <v>47.648092027142013</v>
      </c>
      <c r="BB33" s="35">
        <f t="shared" si="5"/>
        <v>33.48252161119202</v>
      </c>
      <c r="BC33" s="35">
        <f t="shared" si="5"/>
        <v>47.856291841970688</v>
      </c>
      <c r="BD33" s="35">
        <f t="shared" si="5"/>
        <v>13.948815363819939</v>
      </c>
      <c r="BE33" s="35">
        <f t="shared" si="5"/>
        <v>151.5268798041246</v>
      </c>
      <c r="BF33" s="35">
        <f t="shared" si="5"/>
        <v>37.043541570871973</v>
      </c>
      <c r="BG33" s="35">
        <f t="shared" si="5"/>
        <v>38.086983215553019</v>
      </c>
      <c r="BH33" s="35">
        <f t="shared" si="5"/>
        <v>47.970363953321744</v>
      </c>
      <c r="BI33" s="35">
        <f t="shared" si="5"/>
        <v>49.262607940001857</v>
      </c>
      <c r="BJ33" s="35">
        <f t="shared" si="5"/>
        <v>172.36349667974852</v>
      </c>
      <c r="BK33" s="35">
        <f t="shared" si="5"/>
        <v>52.004916064357957</v>
      </c>
      <c r="BL33" s="35">
        <f t="shared" si="5"/>
        <v>705.09921653417041</v>
      </c>
      <c r="BM33" s="35">
        <f t="shared" si="5"/>
        <v>27.696023956949897</v>
      </c>
      <c r="BN33" s="35">
        <f t="shared" si="5"/>
        <v>49.833866335515417</v>
      </c>
      <c r="BO33" s="35">
        <f t="shared" si="5"/>
        <v>834.63402289099361</v>
      </c>
      <c r="BP33" s="35">
        <f t="shared" si="5"/>
        <v>42.891039141900976</v>
      </c>
      <c r="BQ33" s="35">
        <v>40.528761841189862</v>
      </c>
      <c r="BR33" s="35">
        <v>39.54829822377318</v>
      </c>
      <c r="BS33" s="35">
        <v>29.067522487739822</v>
      </c>
      <c r="BT33" s="126">
        <v>152.03562169460383</v>
      </c>
      <c r="BU33" s="35">
        <v>42.718461799262123</v>
      </c>
      <c r="BV33" s="35">
        <f>BV22+BV24</f>
        <v>36.770294825348834</v>
      </c>
    </row>
    <row r="34" spans="1:74" s="1" customFormat="1" ht="15" customHeight="1">
      <c r="A34" t="s">
        <v>139</v>
      </c>
      <c r="B34" s="9" t="str">
        <f>IF('Sumário | Summary'!P1=1,"Despesas financeiras","Financial Expenses")</f>
        <v>Despesas financeiras</v>
      </c>
      <c r="C34" s="4">
        <v>-19.774000000000001</v>
      </c>
      <c r="D34" s="4">
        <v>-16.2891660294</v>
      </c>
      <c r="E34" s="4">
        <v>-15.205</v>
      </c>
      <c r="F34" s="4">
        <v>-10.217374</v>
      </c>
      <c r="G34" s="4">
        <v>-61.485540029399999</v>
      </c>
      <c r="H34" s="4">
        <v>-8.5559999999999992</v>
      </c>
      <c r="I34" s="4">
        <v>-8.5719999999999992</v>
      </c>
      <c r="J34" s="4">
        <v>-6.4329999999999998</v>
      </c>
      <c r="K34" s="4">
        <v>-22.798012</v>
      </c>
      <c r="L34" s="4">
        <v>-46.359012</v>
      </c>
      <c r="M34" s="4">
        <v>-17.643000000000001</v>
      </c>
      <c r="N34" s="4">
        <v>-22.928999999999998</v>
      </c>
      <c r="O34" s="4">
        <v>-29.055</v>
      </c>
      <c r="P34" s="4">
        <v>-35.890999999999998</v>
      </c>
      <c r="Q34" s="4">
        <v>-105.518</v>
      </c>
      <c r="R34" s="4">
        <v>-54.685000000000002</v>
      </c>
      <c r="S34" s="4">
        <v>-52.624000000000002</v>
      </c>
      <c r="T34" s="4">
        <v>-59.145000000000003</v>
      </c>
      <c r="U34" s="32">
        <v>-71.340999999999994</v>
      </c>
      <c r="V34" s="4">
        <v>-237.79500000000002</v>
      </c>
      <c r="W34" s="32">
        <v>-93.76</v>
      </c>
      <c r="X34" s="32">
        <v>-67.674000000000007</v>
      </c>
      <c r="Y34" s="32">
        <v>-74.063000000000002</v>
      </c>
      <c r="Z34" s="36">
        <v>-72.515000000000001</v>
      </c>
      <c r="AA34" s="4">
        <v>-308.012</v>
      </c>
      <c r="AB34" s="32">
        <v>-67.248999999999995</v>
      </c>
      <c r="AC34" s="32">
        <v>-66.08</v>
      </c>
      <c r="AD34" s="32">
        <v>-78.694999999999993</v>
      </c>
      <c r="AE34" s="32">
        <v>-42.204999999999998</v>
      </c>
      <c r="AF34" s="32">
        <v>-254.22900000000001</v>
      </c>
      <c r="AG34" s="32">
        <v>-40.777000000000001</v>
      </c>
      <c r="AH34" s="32">
        <v>-47.963000000000001</v>
      </c>
      <c r="AI34" s="32">
        <v>-30.76</v>
      </c>
      <c r="AJ34" s="32">
        <v>-39.987000000000002</v>
      </c>
      <c r="AK34" s="32">
        <v>-159.48699999999999</v>
      </c>
      <c r="AL34" s="87">
        <v>-37.885540941598421</v>
      </c>
      <c r="AM34" s="87">
        <v>-40.366</v>
      </c>
      <c r="AN34" s="87">
        <v>-39.829000000000001</v>
      </c>
      <c r="AO34" s="87">
        <v>-39.807000000000002</v>
      </c>
      <c r="AP34" s="87">
        <v>-157.88800000000001</v>
      </c>
      <c r="AQ34" s="87">
        <v>-33.908380364798411</v>
      </c>
      <c r="AR34" s="87">
        <v>-21.582000000000001</v>
      </c>
      <c r="AS34" s="87">
        <v>-24.160939972398403</v>
      </c>
      <c r="AT34" s="87">
        <v>-28.690999999999999</v>
      </c>
      <c r="AU34" s="87">
        <v>-108.342</v>
      </c>
      <c r="AV34" s="87">
        <v>-27.02</v>
      </c>
      <c r="AW34" s="87">
        <v>-33.868000000000002</v>
      </c>
      <c r="AX34" s="87">
        <v>-43.719000000000001</v>
      </c>
      <c r="AY34" s="87">
        <v>-67.366198712703451</v>
      </c>
      <c r="AZ34" s="87">
        <v>-171.97319871270346</v>
      </c>
      <c r="BA34" s="87">
        <v>-59.922415459360451</v>
      </c>
      <c r="BB34" s="87">
        <v>-62.348258842091909</v>
      </c>
      <c r="BC34" s="87">
        <v>-49.290030570960432</v>
      </c>
      <c r="BD34" s="87">
        <v>-48.45829481196057</v>
      </c>
      <c r="BE34" s="87">
        <v>-220.01899968437334</v>
      </c>
      <c r="BF34" s="87">
        <v>-53.077782569760451</v>
      </c>
      <c r="BG34" s="87">
        <v>-47.868932290160437</v>
      </c>
      <c r="BH34" s="87">
        <v>-45.871228784960479</v>
      </c>
      <c r="BI34" s="87">
        <v>-43.431762074160389</v>
      </c>
      <c r="BJ34" s="87">
        <v>-190.24970571904174</v>
      </c>
      <c r="BK34" s="87">
        <v>-45.607685884560453</v>
      </c>
      <c r="BL34" s="87">
        <v>-47.709033067221036</v>
      </c>
      <c r="BM34" s="87">
        <v>-32.649659174849887</v>
      </c>
      <c r="BN34" s="87">
        <v>-38.890276175844946</v>
      </c>
      <c r="BO34" s="87">
        <v>-164.85665430247633</v>
      </c>
      <c r="BP34" s="87">
        <v>-46.127958722449925</v>
      </c>
      <c r="BQ34" s="87">
        <v>-42.728106639749953</v>
      </c>
      <c r="BR34" s="87">
        <v>-27.525973608349975</v>
      </c>
      <c r="BS34" s="87">
        <v>-28.910958752222999</v>
      </c>
      <c r="BT34" s="87">
        <v>-145.29299772277284</v>
      </c>
      <c r="BU34" s="87">
        <v>-27.916307626849928</v>
      </c>
      <c r="BV34" s="87">
        <v>-27.457409286849934</v>
      </c>
    </row>
    <row r="35" spans="1:74" s="1" customFormat="1" ht="15" customHeight="1">
      <c r="A35" t="s">
        <v>140</v>
      </c>
      <c r="B35" s="9" t="str">
        <f>IF('Sumário | Summary'!P1=1,"Receitas financeiras","Financial Revenues")</f>
        <v>Receitas financeiras</v>
      </c>
      <c r="C35" s="4">
        <v>9.4540000000000006</v>
      </c>
      <c r="D35" s="4">
        <v>9.9499727153589994</v>
      </c>
      <c r="E35" s="4">
        <v>7.1120000000000001</v>
      </c>
      <c r="F35" s="4">
        <v>5.1839149999999998</v>
      </c>
      <c r="G35" s="4">
        <v>31.699887715358997</v>
      </c>
      <c r="H35" s="4">
        <v>7.4779999999999998</v>
      </c>
      <c r="I35" s="4">
        <v>8.0660000000000007</v>
      </c>
      <c r="J35" s="4">
        <v>7.6260000000000003</v>
      </c>
      <c r="K35" s="4">
        <v>8.4713659999999997</v>
      </c>
      <c r="L35" s="4">
        <v>31.641366000000001</v>
      </c>
      <c r="M35" s="4">
        <v>8.4570000000000007</v>
      </c>
      <c r="N35" s="4">
        <v>10.052</v>
      </c>
      <c r="O35" s="4">
        <v>9.1229999999999993</v>
      </c>
      <c r="P35" s="4">
        <v>9.3140000000000001</v>
      </c>
      <c r="Q35" s="4">
        <v>36.945999999999998</v>
      </c>
      <c r="R35" s="4">
        <v>15.019</v>
      </c>
      <c r="S35" s="4">
        <v>12.268000000000001</v>
      </c>
      <c r="T35" s="4">
        <v>15.718</v>
      </c>
      <c r="U35" s="32">
        <v>18.873999999999999</v>
      </c>
      <c r="V35" s="4">
        <v>61.878999999999991</v>
      </c>
      <c r="W35" s="32">
        <v>16.757000000000001</v>
      </c>
      <c r="X35" s="32">
        <v>15.305999999999999</v>
      </c>
      <c r="Y35" s="32">
        <v>14.225</v>
      </c>
      <c r="Z35" s="36">
        <v>18.692</v>
      </c>
      <c r="AA35" s="4">
        <v>64.98</v>
      </c>
      <c r="AB35" s="32">
        <v>14.29</v>
      </c>
      <c r="AC35" s="32">
        <v>8.2319999999999993</v>
      </c>
      <c r="AD35" s="32">
        <v>9.9890000000000008</v>
      </c>
      <c r="AE35" s="32">
        <v>9.8170000000000002</v>
      </c>
      <c r="AF35" s="32">
        <v>42.328000000000003</v>
      </c>
      <c r="AG35" s="32">
        <v>7.2510000000000003</v>
      </c>
      <c r="AH35" s="32">
        <v>8.8109999999999999</v>
      </c>
      <c r="AI35" s="32">
        <v>8.0459999999999994</v>
      </c>
      <c r="AJ35" s="32">
        <v>8.5489999999999995</v>
      </c>
      <c r="AK35" s="32">
        <v>32.656999999999996</v>
      </c>
      <c r="AL35" s="87">
        <v>5.4219275481630014</v>
      </c>
      <c r="AM35" s="87">
        <v>7.702</v>
      </c>
      <c r="AN35" s="87">
        <v>6.0110000000000001</v>
      </c>
      <c r="AO35" s="87">
        <v>9.9619999999999997</v>
      </c>
      <c r="AP35" s="87">
        <v>29.097000000000001</v>
      </c>
      <c r="AQ35" s="87">
        <v>6.6229928576470005</v>
      </c>
      <c r="AR35" s="87">
        <v>7.7160000000000002</v>
      </c>
      <c r="AS35" s="87">
        <v>4.4249008149450022</v>
      </c>
      <c r="AT35" s="87">
        <v>5.2859999999999996</v>
      </c>
      <c r="AU35" s="87">
        <v>24.05</v>
      </c>
      <c r="AV35" s="87">
        <v>3.5209999999999999</v>
      </c>
      <c r="AW35" s="87">
        <v>7.4459999999999997</v>
      </c>
      <c r="AX35" s="87">
        <v>8.7249999999999996</v>
      </c>
      <c r="AY35" s="87">
        <v>14.354581375903997</v>
      </c>
      <c r="AZ35" s="87">
        <v>34.046581375903997</v>
      </c>
      <c r="BA35" s="87">
        <v>16.494104544856</v>
      </c>
      <c r="BB35" s="87">
        <v>14.777218668603989</v>
      </c>
      <c r="BC35" s="87">
        <v>21.259190672980026</v>
      </c>
      <c r="BD35" s="87">
        <v>18.443179033465981</v>
      </c>
      <c r="BE35" s="87">
        <v>70.973692919906</v>
      </c>
      <c r="BF35" s="87">
        <v>12.284525172677997</v>
      </c>
      <c r="BG35" s="87">
        <v>17.264307342541994</v>
      </c>
      <c r="BH35" s="87">
        <v>15.370873528040015</v>
      </c>
      <c r="BI35" s="87">
        <v>16.066497029947968</v>
      </c>
      <c r="BJ35" s="87">
        <v>60.986203073207975</v>
      </c>
      <c r="BK35" s="87">
        <v>14.742144856995997</v>
      </c>
      <c r="BL35" s="87">
        <v>22.085792105749999</v>
      </c>
      <c r="BM35" s="87">
        <v>52.595169451554014</v>
      </c>
      <c r="BN35" s="87">
        <v>58.043279293794008</v>
      </c>
      <c r="BO35" s="87">
        <v>147.46638570809401</v>
      </c>
      <c r="BP35" s="87">
        <v>37.218959816656003</v>
      </c>
      <c r="BQ35" s="87">
        <v>23.662887053083978</v>
      </c>
      <c r="BR35" s="87">
        <v>24.40142279272002</v>
      </c>
      <c r="BS35" s="87">
        <v>10.901532592093995</v>
      </c>
      <c r="BT35" s="87">
        <v>96.184802254554</v>
      </c>
      <c r="BU35" s="87">
        <v>16.283501983439997</v>
      </c>
      <c r="BV35" s="87">
        <v>8.0198459801599995</v>
      </c>
    </row>
    <row r="36" spans="1:74" s="1" customFormat="1" ht="15" customHeight="1">
      <c r="A36" t="s">
        <v>141</v>
      </c>
      <c r="B36" s="11" t="str">
        <f>IF('Sumário | Summary'!P1=1,"Lucro antes de IR e CS","Pre Tax Profit")</f>
        <v>Lucro antes de IR e CS</v>
      </c>
      <c r="C36" s="3">
        <v>26.640999999999998</v>
      </c>
      <c r="D36" s="3">
        <v>86.440103745026292</v>
      </c>
      <c r="E36" s="3">
        <v>32.001000000000005</v>
      </c>
      <c r="F36" s="3">
        <v>65.369954585553131</v>
      </c>
      <c r="G36" s="3">
        <v>211.91347141057946</v>
      </c>
      <c r="H36" s="3">
        <v>67.509</v>
      </c>
      <c r="I36" s="3">
        <v>52.573000000000008</v>
      </c>
      <c r="J36" s="3">
        <v>54.107000000000014</v>
      </c>
      <c r="K36" s="3">
        <v>39.697938100000002</v>
      </c>
      <c r="L36" s="3">
        <v>213.88693809999998</v>
      </c>
      <c r="M36" s="3">
        <v>53.297000000000011</v>
      </c>
      <c r="N36" s="3">
        <v>37.991</v>
      </c>
      <c r="O36" s="3">
        <v>54.867000000000004</v>
      </c>
      <c r="P36" s="3">
        <v>29.476000000000006</v>
      </c>
      <c r="Q36" s="3">
        <v>175.63099999999997</v>
      </c>
      <c r="R36" s="3">
        <v>4.4069999999999894</v>
      </c>
      <c r="S36" s="3">
        <v>31.836999999999982</v>
      </c>
      <c r="T36" s="3">
        <v>27.403000000000006</v>
      </c>
      <c r="U36" s="3">
        <v>20.383708803000019</v>
      </c>
      <c r="V36" s="3">
        <v>84.055354436292447</v>
      </c>
      <c r="W36" s="3">
        <v>20.637907622903796</v>
      </c>
      <c r="X36" s="3">
        <v>7.3319999999999652</v>
      </c>
      <c r="Y36" s="3">
        <v>2.5019999999999953</v>
      </c>
      <c r="Z36" s="3">
        <v>14.399999999999999</v>
      </c>
      <c r="AA36" s="35">
        <f t="shared" ref="AA36:BP36" si="6">SUM(AA33:AA35)</f>
        <v>44.872670287403864</v>
      </c>
      <c r="AB36" s="35">
        <f t="shared" si="6"/>
        <v>-3.7089968284500046</v>
      </c>
      <c r="AC36" s="35">
        <f t="shared" si="6"/>
        <v>1.0465589346499797</v>
      </c>
      <c r="AD36" s="35">
        <f t="shared" si="6"/>
        <v>254.72977567798333</v>
      </c>
      <c r="AE36" s="35">
        <f t="shared" si="6"/>
        <v>7.1240078846500197</v>
      </c>
      <c r="AF36" s="35">
        <f t="shared" si="6"/>
        <v>259.17050597104202</v>
      </c>
      <c r="AG36" s="35">
        <f t="shared" si="6"/>
        <v>29.665282370000025</v>
      </c>
      <c r="AH36" s="35">
        <f t="shared" si="6"/>
        <v>46.304007460000008</v>
      </c>
      <c r="AI36" s="35">
        <f t="shared" si="6"/>
        <v>1.7449267017133288</v>
      </c>
      <c r="AJ36" s="35">
        <f t="shared" si="6"/>
        <v>8.4448835300000269</v>
      </c>
      <c r="AK36" s="35">
        <f t="shared" si="6"/>
        <v>86.159100071713354</v>
      </c>
      <c r="AL36" s="35">
        <f t="shared" si="6"/>
        <v>31.540826716564599</v>
      </c>
      <c r="AM36" s="35">
        <f t="shared" si="6"/>
        <v>11.265891610000027</v>
      </c>
      <c r="AN36" s="35">
        <f t="shared" si="6"/>
        <v>35.834799043316067</v>
      </c>
      <c r="AO36" s="35">
        <f t="shared" si="6"/>
        <v>63.655969882661665</v>
      </c>
      <c r="AP36" s="35">
        <f t="shared" si="6"/>
        <v>207.48489754597773</v>
      </c>
      <c r="AQ36" s="35">
        <f t="shared" si="6"/>
        <v>44.918658707861084</v>
      </c>
      <c r="AR36" s="35">
        <f t="shared" si="6"/>
        <v>17.08846094096333</v>
      </c>
      <c r="AS36" s="35">
        <f t="shared" si="6"/>
        <v>60.069347923876585</v>
      </c>
      <c r="AT36" s="35">
        <f t="shared" si="6"/>
        <v>37.833202620094724</v>
      </c>
      <c r="AU36" s="35">
        <f t="shared" si="6"/>
        <v>195.18865167838419</v>
      </c>
      <c r="AV36" s="35">
        <f t="shared" si="6"/>
        <v>36.839147727005027</v>
      </c>
      <c r="AW36" s="35">
        <f t="shared" si="6"/>
        <v>34.436019254477479</v>
      </c>
      <c r="AX36" s="35">
        <f t="shared" si="6"/>
        <v>40.946408568283971</v>
      </c>
      <c r="AY36" s="35">
        <f t="shared" si="6"/>
        <v>1384.0813329922612</v>
      </c>
      <c r="AZ36" s="35">
        <f t="shared" si="6"/>
        <v>1558.8007748342304</v>
      </c>
      <c r="BA36" s="35">
        <f t="shared" si="6"/>
        <v>4.2197811126375626</v>
      </c>
      <c r="BB36" s="35">
        <f t="shared" si="6"/>
        <v>-14.088518562295899</v>
      </c>
      <c r="BC36" s="35">
        <f t="shared" si="6"/>
        <v>19.825451943990281</v>
      </c>
      <c r="BD36" s="35">
        <f t="shared" si="6"/>
        <v>-16.06630041467465</v>
      </c>
      <c r="BE36" s="35">
        <f t="shared" si="6"/>
        <v>2.4815730396572633</v>
      </c>
      <c r="BF36" s="35">
        <f t="shared" si="6"/>
        <v>-3.7497158262104815</v>
      </c>
      <c r="BG36" s="35">
        <f t="shared" si="6"/>
        <v>7.4823582679345755</v>
      </c>
      <c r="BH36" s="35">
        <f t="shared" si="6"/>
        <v>17.47000869640128</v>
      </c>
      <c r="BI36" s="35">
        <f t="shared" si="6"/>
        <v>21.897342895789436</v>
      </c>
      <c r="BJ36" s="35">
        <f t="shared" si="6"/>
        <v>43.099994033914754</v>
      </c>
      <c r="BK36" s="35">
        <f t="shared" si="6"/>
        <v>21.139375036793503</v>
      </c>
      <c r="BL36" s="35">
        <f t="shared" si="6"/>
        <v>679.47597557269933</v>
      </c>
      <c r="BM36" s="35">
        <f t="shared" si="6"/>
        <v>47.641534233654028</v>
      </c>
      <c r="BN36" s="35">
        <f t="shared" si="6"/>
        <v>68.986869453464479</v>
      </c>
      <c r="BO36" s="35">
        <f t="shared" si="6"/>
        <v>817.2437542966112</v>
      </c>
      <c r="BP36" s="35">
        <f t="shared" si="6"/>
        <v>33.982040236107053</v>
      </c>
      <c r="BQ36" s="35">
        <v>21.463542254523887</v>
      </c>
      <c r="BR36" s="35">
        <v>36.423747408143228</v>
      </c>
      <c r="BS36" s="35">
        <v>11.058096327610818</v>
      </c>
      <c r="BT36" s="126">
        <v>102.92742622638499</v>
      </c>
      <c r="BU36" s="35">
        <v>31.085656155852192</v>
      </c>
      <c r="BV36" s="35">
        <f>SUM(BV33:BV35)</f>
        <v>17.3327315186589</v>
      </c>
    </row>
    <row r="37" spans="1:74" s="1" customFormat="1" ht="15" customHeight="1">
      <c r="A37" t="s">
        <v>142</v>
      </c>
      <c r="B37" s="11" t="str">
        <f>IF('Sumário | Summary'!P1=1,"Imposto de Renda e Contribuição Social","Income and Social Contribution Taxes")</f>
        <v>Imposto de Renda e Contribuição Social</v>
      </c>
      <c r="C37" s="3">
        <v>-3.7450000000000001</v>
      </c>
      <c r="D37" s="3">
        <v>-6.0661030700000005</v>
      </c>
      <c r="E37" s="3">
        <v>-2.7869999999999999</v>
      </c>
      <c r="F37" s="3">
        <v>-7.2870430000000006</v>
      </c>
      <c r="G37" s="35">
        <f t="shared" ref="G37:BP37" si="7">SUM(G38:G39)</f>
        <v>-19.885146070000001</v>
      </c>
      <c r="H37" s="35">
        <f t="shared" si="7"/>
        <v>-4.9240000000000004</v>
      </c>
      <c r="I37" s="35">
        <f t="shared" si="7"/>
        <v>-5.1989999999999998</v>
      </c>
      <c r="J37" s="35">
        <f t="shared" si="7"/>
        <v>-5.3919999999999995</v>
      </c>
      <c r="K37" s="35">
        <f t="shared" si="7"/>
        <v>-7.3718149999999998</v>
      </c>
      <c r="L37" s="35">
        <f t="shared" si="7"/>
        <v>-22.886814999999999</v>
      </c>
      <c r="M37" s="35">
        <f t="shared" si="7"/>
        <v>-4.3570000000000002</v>
      </c>
      <c r="N37" s="35">
        <f t="shared" si="7"/>
        <v>-7.1379999999999999</v>
      </c>
      <c r="O37" s="35">
        <f t="shared" si="7"/>
        <v>-7.5780000000000003</v>
      </c>
      <c r="P37" s="35">
        <f t="shared" si="7"/>
        <v>-7.7389999999999999</v>
      </c>
      <c r="Q37" s="35">
        <f t="shared" si="7"/>
        <v>-26.812000000000001</v>
      </c>
      <c r="R37" s="35">
        <f t="shared" si="7"/>
        <v>-7.1349999999999998</v>
      </c>
      <c r="S37" s="35">
        <f t="shared" si="7"/>
        <v>-7.3209999999999997</v>
      </c>
      <c r="T37" s="35">
        <f t="shared" si="7"/>
        <v>-8.5259999999999998</v>
      </c>
      <c r="U37" s="35">
        <f t="shared" si="7"/>
        <v>-8.8019999999999996</v>
      </c>
      <c r="V37" s="35">
        <f t="shared" si="7"/>
        <v>-31.784000000000002</v>
      </c>
      <c r="W37" s="35">
        <f t="shared" si="7"/>
        <v>-6.4319999999999995</v>
      </c>
      <c r="X37" s="35">
        <f t="shared" si="7"/>
        <v>-6.8</v>
      </c>
      <c r="Y37" s="35">
        <f t="shared" si="7"/>
        <v>-9.2040000000000006</v>
      </c>
      <c r="Z37" s="35">
        <f t="shared" si="7"/>
        <v>-7.6710000000000003</v>
      </c>
      <c r="AA37" s="35">
        <f t="shared" si="7"/>
        <v>-30.512</v>
      </c>
      <c r="AB37" s="35">
        <f t="shared" si="7"/>
        <v>-8.234</v>
      </c>
      <c r="AC37" s="35">
        <f t="shared" si="7"/>
        <v>-7.4569999999999999</v>
      </c>
      <c r="AD37" s="35">
        <f t="shared" si="7"/>
        <v>-18.041</v>
      </c>
      <c r="AE37" s="35">
        <f t="shared" si="7"/>
        <v>-2.984</v>
      </c>
      <c r="AF37" s="35">
        <f t="shared" si="7"/>
        <v>-36.716000000000001</v>
      </c>
      <c r="AG37" s="35">
        <f t="shared" si="7"/>
        <v>-8.3680000000000003</v>
      </c>
      <c r="AH37" s="35">
        <f t="shared" si="7"/>
        <v>-10.093999999999999</v>
      </c>
      <c r="AI37" s="35">
        <f t="shared" si="7"/>
        <v>-8.9809999999999999</v>
      </c>
      <c r="AJ37" s="35">
        <f t="shared" si="7"/>
        <v>-9.0150000000000006</v>
      </c>
      <c r="AK37" s="35">
        <f t="shared" si="7"/>
        <v>-36.457999999999998</v>
      </c>
      <c r="AL37" s="35">
        <f t="shared" si="7"/>
        <v>-13.77907884</v>
      </c>
      <c r="AM37" s="35">
        <f t="shared" si="7"/>
        <v>-10.959257060000001</v>
      </c>
      <c r="AN37" s="35">
        <f t="shared" si="7"/>
        <v>-10.530000000000001</v>
      </c>
      <c r="AO37" s="35">
        <f t="shared" si="7"/>
        <v>-10.256</v>
      </c>
      <c r="AP37" s="35">
        <f t="shared" si="7"/>
        <v>-45.524000000000001</v>
      </c>
      <c r="AQ37" s="35">
        <f t="shared" si="7"/>
        <v>-9.1598614700000009</v>
      </c>
      <c r="AR37" s="35">
        <f t="shared" si="7"/>
        <v>-6.6763110799999996</v>
      </c>
      <c r="AS37" s="35">
        <f t="shared" si="7"/>
        <v>-8.0425179899999986</v>
      </c>
      <c r="AT37" s="35">
        <f t="shared" si="7"/>
        <v>-8.072000000000001</v>
      </c>
      <c r="AU37" s="35">
        <f t="shared" si="7"/>
        <v>-31.950000000000003</v>
      </c>
      <c r="AV37" s="35">
        <f t="shared" si="7"/>
        <v>-7.7670000000000003</v>
      </c>
      <c r="AW37" s="35">
        <f t="shared" si="7"/>
        <v>-8.2759999999999998</v>
      </c>
      <c r="AX37" s="35">
        <f t="shared" si="7"/>
        <v>-8.94</v>
      </c>
      <c r="AY37" s="35">
        <f t="shared" si="7"/>
        <v>-67.135263189999975</v>
      </c>
      <c r="AZ37" s="35">
        <f t="shared" si="7"/>
        <v>-92.118263189999979</v>
      </c>
      <c r="BA37" s="35">
        <f t="shared" si="7"/>
        <v>-7.2310501899999977</v>
      </c>
      <c r="BB37" s="35">
        <f t="shared" si="7"/>
        <v>-7.1269345100000008</v>
      </c>
      <c r="BC37" s="35">
        <f t="shared" si="7"/>
        <v>-7.082073170000001</v>
      </c>
      <c r="BD37" s="35">
        <f t="shared" si="7"/>
        <v>-5.3900176199999938</v>
      </c>
      <c r="BE37" s="35">
        <f t="shared" si="7"/>
        <v>-26.830075489999992</v>
      </c>
      <c r="BF37" s="35">
        <f t="shared" si="7"/>
        <v>-8.5647349999999989</v>
      </c>
      <c r="BG37" s="35">
        <f t="shared" si="7"/>
        <v>-9.1009362800000044</v>
      </c>
      <c r="BH37" s="35">
        <f t="shared" si="7"/>
        <v>-9.0328208899999964</v>
      </c>
      <c r="BI37" s="35">
        <f t="shared" si="7"/>
        <v>-10.854782900000004</v>
      </c>
      <c r="BJ37" s="35">
        <f t="shared" si="7"/>
        <v>-37.553275070000005</v>
      </c>
      <c r="BK37" s="35">
        <f t="shared" si="7"/>
        <v>-8.274086040000002</v>
      </c>
      <c r="BL37" s="35">
        <f t="shared" si="7"/>
        <v>-113.03173105999998</v>
      </c>
      <c r="BM37" s="35">
        <f t="shared" si="7"/>
        <v>-11.18303693</v>
      </c>
      <c r="BN37" s="35">
        <f t="shared" si="7"/>
        <v>-24.809710543374997</v>
      </c>
      <c r="BO37" s="35">
        <f t="shared" si="7"/>
        <v>-157.29856457337499</v>
      </c>
      <c r="BP37" s="35">
        <f t="shared" si="7"/>
        <v>-10.121129629999999</v>
      </c>
      <c r="BQ37" s="35">
        <v>-5.2699206650000017</v>
      </c>
      <c r="BR37" s="35">
        <v>-11.085655045000005</v>
      </c>
      <c r="BS37" s="35">
        <v>-4.9519642999999993</v>
      </c>
      <c r="BT37" s="126">
        <v>-31.428669640000003</v>
      </c>
      <c r="BU37" s="35">
        <v>-4.8980786500000013</v>
      </c>
      <c r="BV37" s="35">
        <f>SUM(BV38:BV39)</f>
        <v>-3.1938465600000008</v>
      </c>
    </row>
    <row r="38" spans="1:74" s="1" customFormat="1" ht="15" customHeight="1">
      <c r="A38" t="s">
        <v>109</v>
      </c>
      <c r="B38" s="13" t="str">
        <f>IF('Sumário | Summary'!P1=1,"Diferidos","Deferred")</f>
        <v>Diferidos</v>
      </c>
      <c r="C38" s="4">
        <v>0.59</v>
      </c>
      <c r="D38" s="4">
        <v>-2.0874259300000002</v>
      </c>
      <c r="E38" s="4">
        <v>1.8380000000000001</v>
      </c>
      <c r="F38" s="4">
        <v>2.2769569999999999</v>
      </c>
      <c r="G38" s="4">
        <v>2.6175310699999996</v>
      </c>
      <c r="H38" s="4">
        <v>0.27900000000000003</v>
      </c>
      <c r="I38" s="4">
        <v>-0.10299999999999999</v>
      </c>
      <c r="J38" s="4">
        <v>-0.379</v>
      </c>
      <c r="K38" s="4">
        <v>-2.3784700000000001</v>
      </c>
      <c r="L38" s="4">
        <v>-2.5814699999999999</v>
      </c>
      <c r="M38" s="4">
        <v>2.2770000000000001</v>
      </c>
      <c r="N38" s="4">
        <v>-6.0999999999999999E-2</v>
      </c>
      <c r="O38" s="4">
        <v>-0.45700000000000002</v>
      </c>
      <c r="P38" s="4">
        <v>-0.245</v>
      </c>
      <c r="Q38" s="4">
        <v>1.5140000000000002</v>
      </c>
      <c r="R38" s="4">
        <v>0.25800000000000001</v>
      </c>
      <c r="S38" s="4">
        <v>0.19400000000000001</v>
      </c>
      <c r="T38" s="4">
        <v>-0.126</v>
      </c>
      <c r="U38" s="32">
        <v>-0.129</v>
      </c>
      <c r="V38" s="4">
        <v>0.19700000000000001</v>
      </c>
      <c r="W38" s="32">
        <v>-2.9000000000000001E-2</v>
      </c>
      <c r="X38" s="32">
        <v>0.45</v>
      </c>
      <c r="Y38" s="32">
        <v>-0.78700000000000003</v>
      </c>
      <c r="Z38" s="36">
        <v>0.20399999999999999</v>
      </c>
      <c r="AA38" s="4">
        <v>-0.56699999999999995</v>
      </c>
      <c r="AB38" s="32">
        <v>0.11899999999999999</v>
      </c>
      <c r="AC38" s="32">
        <v>0.127</v>
      </c>
      <c r="AD38" s="32">
        <v>0.29699999999999999</v>
      </c>
      <c r="AE38" s="32">
        <v>0.121</v>
      </c>
      <c r="AF38" s="32">
        <v>0.66400000000000003</v>
      </c>
      <c r="AG38" s="32">
        <v>-0.122</v>
      </c>
      <c r="AH38" s="32">
        <v>1.7999999999999999E-2</v>
      </c>
      <c r="AI38" s="32">
        <v>-0.17399999999999999</v>
      </c>
      <c r="AJ38" s="32">
        <v>2.1999999999999999E-2</v>
      </c>
      <c r="AK38" s="32">
        <v>-0.25600000000000001</v>
      </c>
      <c r="AL38" s="87">
        <v>6.5065620000000005E-2</v>
      </c>
      <c r="AM38" s="87">
        <v>7.0000000000000001E-3</v>
      </c>
      <c r="AN38" s="87">
        <v>7.0000000000000001E-3</v>
      </c>
      <c r="AO38" s="87">
        <v>7.0000000000000001E-3</v>
      </c>
      <c r="AP38" s="87">
        <v>8.5999999999999993E-2</v>
      </c>
      <c r="AQ38" s="87">
        <v>1.142599E-2</v>
      </c>
      <c r="AR38" s="87">
        <v>2.0227619999999998E-2</v>
      </c>
      <c r="AS38" s="87">
        <v>9.9590299999999989E-3</v>
      </c>
      <c r="AT38" s="87">
        <v>0.01</v>
      </c>
      <c r="AU38" s="87">
        <v>5.1999999999999998E-2</v>
      </c>
      <c r="AV38" s="87">
        <v>6.6000000000000003E-2</v>
      </c>
      <c r="AW38" s="87">
        <v>4.0000000000000001E-3</v>
      </c>
      <c r="AX38" s="87">
        <v>-1.4E-2</v>
      </c>
      <c r="AY38" s="87">
        <v>7.5508500000000013E-3</v>
      </c>
      <c r="AZ38" s="87">
        <v>6.3550850000000006E-2</v>
      </c>
      <c r="BA38" s="87">
        <v>-1.7517560000000001E-2</v>
      </c>
      <c r="BB38" s="87">
        <v>-1.0060610000000001E-2</v>
      </c>
      <c r="BC38" s="87">
        <v>2.0724970000000002E-2</v>
      </c>
      <c r="BD38" s="87">
        <v>-5.2454600000000004E-3</v>
      </c>
      <c r="BE38" s="87">
        <v>-1.2098660000000002E-2</v>
      </c>
      <c r="BF38" s="87">
        <v>2.078054E-2</v>
      </c>
      <c r="BG38" s="87">
        <v>-2.9681099999999995E-3</v>
      </c>
      <c r="BH38" s="87">
        <v>1.0138099999999995E-3</v>
      </c>
      <c r="BI38" s="87">
        <v>6.0319999999997268E-5</v>
      </c>
      <c r="BJ38" s="87">
        <v>1.8886559999999997E-2</v>
      </c>
      <c r="BK38" s="87">
        <v>2.06514E-3</v>
      </c>
      <c r="BL38" s="87">
        <v>2.1873700000000001E-3</v>
      </c>
      <c r="BM38" s="87">
        <v>2.4318599999999997E-3</v>
      </c>
      <c r="BN38" s="87">
        <v>2.4318700000000018E-3</v>
      </c>
      <c r="BO38" s="87">
        <v>9.1162400000000011E-3</v>
      </c>
      <c r="BP38" s="87">
        <v>1.7798899999999997E-3</v>
      </c>
      <c r="BQ38" s="87">
        <v>-5.3958999999999995E-3</v>
      </c>
      <c r="BR38" s="87">
        <v>9.1194000000000084E-4</v>
      </c>
      <c r="BS38" s="87">
        <v>-1.5558899999999992E-3</v>
      </c>
      <c r="BT38" s="87">
        <v>-4.2599599999999984E-3</v>
      </c>
      <c r="BU38" s="87">
        <v>-2.2979400000000001E-3</v>
      </c>
      <c r="BV38" s="87">
        <v>-3.41443E-3</v>
      </c>
    </row>
    <row r="39" spans="1:74" s="1" customFormat="1" ht="15" customHeight="1">
      <c r="A39" t="s">
        <v>110</v>
      </c>
      <c r="B39" s="13" t="str">
        <f>IF('Sumário | Summary'!P1=1,"Correntes","Current")</f>
        <v>Correntes</v>
      </c>
      <c r="C39" s="4">
        <v>-4.335</v>
      </c>
      <c r="D39" s="4">
        <v>-3.9786771399999998</v>
      </c>
      <c r="E39" s="4">
        <v>-4.625</v>
      </c>
      <c r="F39" s="4">
        <v>-9.5640000000000001</v>
      </c>
      <c r="G39" s="4">
        <v>-22.502677139999999</v>
      </c>
      <c r="H39" s="4">
        <v>-5.2030000000000003</v>
      </c>
      <c r="I39" s="4">
        <v>-5.0960000000000001</v>
      </c>
      <c r="J39" s="4">
        <v>-5.0129999999999999</v>
      </c>
      <c r="K39" s="4">
        <v>-4.9933449999999997</v>
      </c>
      <c r="L39" s="4">
        <v>-20.305344999999999</v>
      </c>
      <c r="M39" s="4">
        <v>-6.6340000000000003</v>
      </c>
      <c r="N39" s="4">
        <v>-7.077</v>
      </c>
      <c r="O39" s="4">
        <v>-7.1210000000000004</v>
      </c>
      <c r="P39" s="4">
        <v>-7.4939999999999998</v>
      </c>
      <c r="Q39" s="4">
        <v>-28.326000000000001</v>
      </c>
      <c r="R39" s="4">
        <v>-7.3929999999999998</v>
      </c>
      <c r="S39" s="4">
        <v>-7.5149999999999997</v>
      </c>
      <c r="T39" s="4">
        <v>-8.4</v>
      </c>
      <c r="U39" s="32">
        <v>-8.673</v>
      </c>
      <c r="V39" s="4">
        <v>-31.981000000000002</v>
      </c>
      <c r="W39" s="32">
        <v>-6.4029999999999996</v>
      </c>
      <c r="X39" s="32">
        <v>-7.25</v>
      </c>
      <c r="Y39" s="32">
        <v>-8.4169999999999998</v>
      </c>
      <c r="Z39" s="36">
        <v>-7.875</v>
      </c>
      <c r="AA39" s="4">
        <v>-29.945</v>
      </c>
      <c r="AB39" s="32">
        <v>-8.3529999999999998</v>
      </c>
      <c r="AC39" s="32">
        <v>-7.5839999999999996</v>
      </c>
      <c r="AD39" s="32">
        <v>-18.338000000000001</v>
      </c>
      <c r="AE39" s="32">
        <v>-3.105</v>
      </c>
      <c r="AF39" s="32">
        <v>-37.380000000000003</v>
      </c>
      <c r="AG39" s="32">
        <v>-8.2460000000000004</v>
      </c>
      <c r="AH39" s="32">
        <v>-10.112</v>
      </c>
      <c r="AI39" s="32">
        <v>-8.8070000000000004</v>
      </c>
      <c r="AJ39" s="32">
        <v>-9.0370000000000008</v>
      </c>
      <c r="AK39" s="32">
        <v>-36.201999999999998</v>
      </c>
      <c r="AL39" s="87">
        <v>-13.844144460000001</v>
      </c>
      <c r="AM39" s="87">
        <v>-10.96625706</v>
      </c>
      <c r="AN39" s="87">
        <v>-10.537000000000001</v>
      </c>
      <c r="AO39" s="87">
        <v>-10.263</v>
      </c>
      <c r="AP39" s="87">
        <v>-45.61</v>
      </c>
      <c r="AQ39" s="87">
        <v>-9.1712874600000003</v>
      </c>
      <c r="AR39" s="87">
        <v>-6.6965386999999996</v>
      </c>
      <c r="AS39" s="87">
        <v>-8.0524770199999978</v>
      </c>
      <c r="AT39" s="87">
        <v>-8.0820000000000007</v>
      </c>
      <c r="AU39" s="87">
        <v>-32.002000000000002</v>
      </c>
      <c r="AV39" s="87">
        <v>-7.8330000000000002</v>
      </c>
      <c r="AW39" s="87">
        <v>-8.2799999999999994</v>
      </c>
      <c r="AX39" s="87">
        <v>-8.9260000000000002</v>
      </c>
      <c r="AY39" s="87">
        <v>-67.142814039999976</v>
      </c>
      <c r="AZ39" s="87">
        <v>-92.181814039999978</v>
      </c>
      <c r="BA39" s="87">
        <v>-7.2135326299999978</v>
      </c>
      <c r="BB39" s="87">
        <v>-7.1168739000000008</v>
      </c>
      <c r="BC39" s="87">
        <v>-7.1027981400000009</v>
      </c>
      <c r="BD39" s="87">
        <v>-5.3847721599999936</v>
      </c>
      <c r="BE39" s="87">
        <v>-26.817976829999992</v>
      </c>
      <c r="BF39" s="87">
        <v>-8.5855155399999994</v>
      </c>
      <c r="BG39" s="87">
        <v>-9.097968170000005</v>
      </c>
      <c r="BH39" s="87">
        <v>-9.0338346999999963</v>
      </c>
      <c r="BI39" s="87">
        <v>-10.854843220000003</v>
      </c>
      <c r="BJ39" s="87">
        <v>-37.572161630000004</v>
      </c>
      <c r="BK39" s="87">
        <v>-8.2761511800000012</v>
      </c>
      <c r="BL39" s="87">
        <v>-113.03391842999999</v>
      </c>
      <c r="BM39" s="87">
        <v>-11.18546879</v>
      </c>
      <c r="BN39" s="87">
        <v>-24.812142413374996</v>
      </c>
      <c r="BO39" s="87">
        <v>-157.30768081337499</v>
      </c>
      <c r="BP39" s="87">
        <v>-10.122909519999999</v>
      </c>
      <c r="BQ39" s="87">
        <v>-5.2645247650000018</v>
      </c>
      <c r="BR39" s="87">
        <v>-11.086566985000005</v>
      </c>
      <c r="BS39" s="87">
        <v>-4.9504084099999996</v>
      </c>
      <c r="BT39" s="87">
        <v>-31.424409680000004</v>
      </c>
      <c r="BU39" s="87">
        <v>-4.8957807100000013</v>
      </c>
      <c r="BV39" s="87">
        <v>-3.1904321300000009</v>
      </c>
    </row>
    <row r="40" spans="1:74" s="85" customFormat="1" ht="15" customHeight="1">
      <c r="A40" t="s">
        <v>277</v>
      </c>
      <c r="B40" s="11" t="str">
        <f>IF('Sumário | Summary'!P1=1,"Lucro antes da participação dos minoritários","Profit before minority
interest")</f>
        <v>Lucro antes da participação dos minoritários</v>
      </c>
      <c r="C40" s="110">
        <v>6.5030000000000001</v>
      </c>
      <c r="D40" s="110">
        <v>5.5459429105779998</v>
      </c>
      <c r="E40" s="110">
        <v>5.7039999999999997</v>
      </c>
      <c r="F40" s="110">
        <v>21.239153999999999</v>
      </c>
      <c r="G40" s="126">
        <v>192.02832534057947</v>
      </c>
      <c r="H40" s="126">
        <v>62.585000000000001</v>
      </c>
      <c r="I40" s="126">
        <v>47.374000000000009</v>
      </c>
      <c r="J40" s="126">
        <v>48.715000000000018</v>
      </c>
      <c r="K40" s="126">
        <v>32.326123100000004</v>
      </c>
      <c r="L40" s="126">
        <v>191.0001231</v>
      </c>
      <c r="M40" s="126">
        <v>48.940000000000012</v>
      </c>
      <c r="N40" s="126">
        <v>30.853000000000002</v>
      </c>
      <c r="O40" s="126">
        <v>47.289000000000001</v>
      </c>
      <c r="P40" s="126">
        <v>21.737000000000005</v>
      </c>
      <c r="Q40" s="126">
        <v>148.81899999999996</v>
      </c>
      <c r="R40" s="126">
        <v>-2.7280000000000104</v>
      </c>
      <c r="S40" s="126">
        <v>24.515999999999984</v>
      </c>
      <c r="T40" s="126">
        <v>18.877000000000006</v>
      </c>
      <c r="U40" s="126">
        <v>11.581708803000019</v>
      </c>
      <c r="V40" s="126">
        <v>52.271354436292441</v>
      </c>
      <c r="W40" s="126">
        <v>14.205907622903798</v>
      </c>
      <c r="X40" s="126">
        <v>0.53199999999996539</v>
      </c>
      <c r="Y40" s="126">
        <v>-6.7020000000000053</v>
      </c>
      <c r="Z40" s="126">
        <v>6.7289999999999983</v>
      </c>
      <c r="AA40" s="126">
        <f t="shared" ref="AA40:BP40" si="8">AA36+AA37</f>
        <v>14.360670287403863</v>
      </c>
      <c r="AB40" s="126">
        <f t="shared" si="8"/>
        <v>-11.942996828450005</v>
      </c>
      <c r="AC40" s="126">
        <f t="shared" si="8"/>
        <v>-6.4104410653500201</v>
      </c>
      <c r="AD40" s="126">
        <f t="shared" si="8"/>
        <v>236.68877567798333</v>
      </c>
      <c r="AE40" s="126">
        <f t="shared" si="8"/>
        <v>4.1400078846500197</v>
      </c>
      <c r="AF40" s="126">
        <f t="shared" si="8"/>
        <v>222.45450597104201</v>
      </c>
      <c r="AG40" s="126">
        <f t="shared" si="8"/>
        <v>21.297282370000026</v>
      </c>
      <c r="AH40" s="126">
        <f t="shared" si="8"/>
        <v>36.210007460000007</v>
      </c>
      <c r="AI40" s="126">
        <f t="shared" si="8"/>
        <v>-7.2360732982866711</v>
      </c>
      <c r="AJ40" s="126">
        <f t="shared" si="8"/>
        <v>-0.57011646999997367</v>
      </c>
      <c r="AK40" s="126">
        <f t="shared" si="8"/>
        <v>49.701100071713356</v>
      </c>
      <c r="AL40" s="126">
        <f t="shared" si="8"/>
        <v>17.761747876564598</v>
      </c>
      <c r="AM40" s="126">
        <f t="shared" si="8"/>
        <v>0.30663455000002671</v>
      </c>
      <c r="AN40" s="126">
        <f t="shared" si="8"/>
        <v>25.304799043316066</v>
      </c>
      <c r="AO40" s="126">
        <f t="shared" si="8"/>
        <v>53.399969882661665</v>
      </c>
      <c r="AP40" s="126">
        <f t="shared" si="8"/>
        <v>161.96089754597773</v>
      </c>
      <c r="AQ40" s="126">
        <f t="shared" si="8"/>
        <v>35.758797237861081</v>
      </c>
      <c r="AR40" s="126">
        <f t="shared" si="8"/>
        <v>10.41214986096333</v>
      </c>
      <c r="AS40" s="126">
        <f t="shared" si="8"/>
        <v>52.026829933876584</v>
      </c>
      <c r="AT40" s="126">
        <f t="shared" si="8"/>
        <v>29.761202620094721</v>
      </c>
      <c r="AU40" s="126">
        <f t="shared" si="8"/>
        <v>163.2386516783842</v>
      </c>
      <c r="AV40" s="126">
        <f t="shared" si="8"/>
        <v>29.072147727005028</v>
      </c>
      <c r="AW40" s="126">
        <f t="shared" si="8"/>
        <v>26.160019254477479</v>
      </c>
      <c r="AX40" s="126">
        <f t="shared" si="8"/>
        <v>32.006408568283973</v>
      </c>
      <c r="AY40" s="126">
        <f t="shared" si="8"/>
        <v>1316.9460698022613</v>
      </c>
      <c r="AZ40" s="126">
        <f t="shared" si="8"/>
        <v>1466.6825116442305</v>
      </c>
      <c r="BA40" s="126">
        <f t="shared" si="8"/>
        <v>-3.0112690773624351</v>
      </c>
      <c r="BB40" s="126">
        <f t="shared" si="8"/>
        <v>-21.215453072295901</v>
      </c>
      <c r="BC40" s="126">
        <f t="shared" si="8"/>
        <v>12.74337877399028</v>
      </c>
      <c r="BD40" s="126">
        <f t="shared" si="8"/>
        <v>-21.456318034674645</v>
      </c>
      <c r="BE40" s="126">
        <f t="shared" si="8"/>
        <v>-24.348502450342728</v>
      </c>
      <c r="BF40" s="126">
        <f t="shared" si="8"/>
        <v>-12.31445082621048</v>
      </c>
      <c r="BG40" s="126">
        <f t="shared" si="8"/>
        <v>-1.618578012065429</v>
      </c>
      <c r="BH40" s="126">
        <f t="shared" si="8"/>
        <v>8.4371878064012833</v>
      </c>
      <c r="BI40" s="126">
        <f t="shared" si="8"/>
        <v>11.042559995789432</v>
      </c>
      <c r="BJ40" s="126">
        <f t="shared" si="8"/>
        <v>5.5467189639147492</v>
      </c>
      <c r="BK40" s="126">
        <f t="shared" si="8"/>
        <v>12.865288996793501</v>
      </c>
      <c r="BL40" s="126">
        <f t="shared" si="8"/>
        <v>566.44424451269936</v>
      </c>
      <c r="BM40" s="126">
        <f t="shared" si="8"/>
        <v>36.458497303654028</v>
      </c>
      <c r="BN40" s="126">
        <f t="shared" si="8"/>
        <v>44.177158910089481</v>
      </c>
      <c r="BO40" s="126">
        <f t="shared" si="8"/>
        <v>659.94518972323624</v>
      </c>
      <c r="BP40" s="126">
        <f t="shared" si="8"/>
        <v>23.860910606107055</v>
      </c>
      <c r="BQ40" s="126">
        <v>16.193621589523886</v>
      </c>
      <c r="BR40" s="126">
        <v>25.338092363143225</v>
      </c>
      <c r="BS40" s="126">
        <v>6.1061320276108182</v>
      </c>
      <c r="BT40" s="126">
        <v>71.498756586384985</v>
      </c>
      <c r="BU40" s="126">
        <v>26.18757750585219</v>
      </c>
      <c r="BV40" s="126">
        <f>BV36+BV37</f>
        <v>14.138884958658899</v>
      </c>
    </row>
    <row r="41" spans="1:74" s="85" customFormat="1" ht="15" customHeight="1">
      <c r="A41" t="s">
        <v>278</v>
      </c>
      <c r="B41" s="112" t="str">
        <f>IF('Sumário | Summary'!P1=1,"Participação dos minoritários","Minority interest")</f>
        <v>Participação dos minoritários</v>
      </c>
      <c r="C41" s="111">
        <v>16.392999999999997</v>
      </c>
      <c r="D41" s="111">
        <v>74.828057764448289</v>
      </c>
      <c r="E41" s="111">
        <v>23.510000000000005</v>
      </c>
      <c r="F41" s="111">
        <v>36.843757585553135</v>
      </c>
      <c r="G41" s="111">
        <v>153.03622843000147</v>
      </c>
      <c r="H41" s="111">
        <v>45.41</v>
      </c>
      <c r="I41" s="111">
        <v>38.106000000000009</v>
      </c>
      <c r="J41" s="111">
        <v>40.686000000000021</v>
      </c>
      <c r="K41" s="111">
        <v>24.701076100000002</v>
      </c>
      <c r="L41" s="111">
        <v>148.90307609999999</v>
      </c>
      <c r="M41" s="111">
        <v>38.663000000000011</v>
      </c>
      <c r="N41" s="111">
        <v>19.884</v>
      </c>
      <c r="O41" s="111">
        <v>29.619</v>
      </c>
      <c r="P41" s="111">
        <v>9.7950000000000053</v>
      </c>
      <c r="Q41" s="111">
        <v>97.960999999999956</v>
      </c>
      <c r="R41" s="111">
        <v>-3.3650000000000104</v>
      </c>
      <c r="S41" s="111">
        <v>18.320999999999984</v>
      </c>
      <c r="T41" s="111">
        <v>9.4770000000000056</v>
      </c>
      <c r="U41" s="111">
        <v>-1.1012911969999806</v>
      </c>
      <c r="V41" s="111">
        <v>23.32335443629249</v>
      </c>
      <c r="W41" s="111">
        <v>4.3979076229037979</v>
      </c>
      <c r="X41" s="111">
        <v>-10.957000000000034</v>
      </c>
      <c r="Y41" s="111">
        <v>-17.142000000000003</v>
      </c>
      <c r="Z41" s="111">
        <v>2.3749999999999982</v>
      </c>
      <c r="AA41" s="110">
        <v>35.686</v>
      </c>
      <c r="AB41" s="87">
        <v>-7.7219047390223601</v>
      </c>
      <c r="AC41" s="87">
        <v>-10.635687708305719</v>
      </c>
      <c r="AD41" s="87">
        <v>-17.834636962671915</v>
      </c>
      <c r="AE41" s="87">
        <v>-12.056752870000004</v>
      </c>
      <c r="AF41" s="87">
        <v>-48.248982280000007</v>
      </c>
      <c r="AG41" s="87">
        <v>21.296202674981952</v>
      </c>
      <c r="AH41" s="87">
        <v>36.211792788443312</v>
      </c>
      <c r="AI41" s="87">
        <v>-7.2365596369716894</v>
      </c>
      <c r="AJ41" s="87">
        <v>-0.56958190822070442</v>
      </c>
      <c r="AK41" s="87">
        <v>49.701853918232878</v>
      </c>
      <c r="AL41" s="87">
        <v>-14.604088756440001</v>
      </c>
      <c r="AM41" s="87">
        <v>-17.450733490661001</v>
      </c>
      <c r="AN41" s="87">
        <v>-16.544</v>
      </c>
      <c r="AO41" s="87">
        <v>-15.326024028190174</v>
      </c>
      <c r="AP41" s="87">
        <v>-63.963927194454932</v>
      </c>
      <c r="AQ41" s="87">
        <v>-19.344578009999999</v>
      </c>
      <c r="AR41" s="87">
        <v>-9.5514214438365759</v>
      </c>
      <c r="AS41" s="87">
        <v>-25.324612485263025</v>
      </c>
      <c r="AT41" s="87">
        <v>-23.112776838004983</v>
      </c>
      <c r="AU41" s="87">
        <v>-77.333388777104588</v>
      </c>
      <c r="AV41" s="87">
        <v>-21.947210782660587</v>
      </c>
      <c r="AW41" s="87">
        <v>-19.030755437339408</v>
      </c>
      <c r="AX41" s="87">
        <v>-22.98725177554854</v>
      </c>
      <c r="AY41" s="87">
        <v>-53.54178200445147</v>
      </c>
      <c r="AZ41" s="87">
        <v>-117.50700000000001</v>
      </c>
      <c r="BA41" s="87">
        <v>-7.908734407059999</v>
      </c>
      <c r="BB41" s="203">
        <v>-7.943363426737001</v>
      </c>
      <c r="BC41" s="87">
        <v>-5.8903645829480098</v>
      </c>
      <c r="BD41" s="87">
        <v>-2.3186961499091483</v>
      </c>
      <c r="BE41" s="87">
        <v>-24.061158566654157</v>
      </c>
      <c r="BF41" s="87">
        <v>-2.5662340270160056</v>
      </c>
      <c r="BG41" s="87">
        <v>-2.515455481631014</v>
      </c>
      <c r="BH41" s="87">
        <v>-4.878454732359347</v>
      </c>
      <c r="BI41" s="87">
        <v>-5.6282346767505329</v>
      </c>
      <c r="BJ41" s="87">
        <v>-15.5883789177569</v>
      </c>
      <c r="BK41" s="87">
        <v>-6.1790683206660031</v>
      </c>
      <c r="BL41" s="87">
        <v>-109.33635782691211</v>
      </c>
      <c r="BM41" s="87">
        <v>-13.887600752188401</v>
      </c>
      <c r="BN41" s="87">
        <v>15.712400121901432</v>
      </c>
      <c r="BO41" s="87">
        <v>-113.69062677786508</v>
      </c>
      <c r="BP41" s="87">
        <v>-5.1595179746422604</v>
      </c>
      <c r="BQ41" s="87">
        <v>0.37889679371109469</v>
      </c>
      <c r="BR41" s="87">
        <v>-2.233357233589504</v>
      </c>
      <c r="BS41" s="87">
        <v>0.14939767752200533</v>
      </c>
      <c r="BT41" s="87">
        <v>-6.8645807369986649</v>
      </c>
      <c r="BU41" s="87">
        <v>-6.5193574347019929</v>
      </c>
      <c r="BV41" s="87">
        <v>-8.7095503675090136</v>
      </c>
    </row>
    <row r="42" spans="1:74" s="85" customFormat="1" ht="15" customHeight="1">
      <c r="A42" t="s">
        <v>270</v>
      </c>
      <c r="B42" s="11" t="str">
        <f>IF('Sumário | Summary'!P1=1,"Lucro/Prejuízo do Período","Profit / Loss for the Period")</f>
        <v>Lucro/Prejuízo do Período</v>
      </c>
      <c r="C42" s="110">
        <v>22.895999999999997</v>
      </c>
      <c r="D42" s="110">
        <v>80.374000675026295</v>
      </c>
      <c r="E42" s="110">
        <v>29.214000000000006</v>
      </c>
      <c r="F42" s="110">
        <v>58.082911585553134</v>
      </c>
      <c r="G42" s="204">
        <v>192.02832534057947</v>
      </c>
      <c r="H42" s="204">
        <v>62.584999999999994</v>
      </c>
      <c r="I42" s="204">
        <v>47.374000000000009</v>
      </c>
      <c r="J42" s="204">
        <v>48.715000000000018</v>
      </c>
      <c r="K42" s="204">
        <v>32.326123100000004</v>
      </c>
      <c r="L42" s="204">
        <v>191.0001231</v>
      </c>
      <c r="M42" s="204">
        <v>48.940000000000012</v>
      </c>
      <c r="N42" s="204">
        <v>30.853000000000002</v>
      </c>
      <c r="O42" s="204">
        <v>47.289000000000001</v>
      </c>
      <c r="P42" s="204">
        <v>21.737000000000005</v>
      </c>
      <c r="Q42" s="204">
        <v>148.81899999999996</v>
      </c>
      <c r="R42" s="204">
        <v>-2.7280000000000104</v>
      </c>
      <c r="S42" s="204">
        <v>24.515999999999984</v>
      </c>
      <c r="T42" s="204">
        <v>18.877000000000006</v>
      </c>
      <c r="U42" s="3">
        <v>11.581708803000019</v>
      </c>
      <c r="V42" s="204">
        <v>52.238354436292489</v>
      </c>
      <c r="W42" s="3">
        <v>14.205907622903798</v>
      </c>
      <c r="X42" s="3">
        <v>0.12699999999996514</v>
      </c>
      <c r="Y42" s="3">
        <v>-6.7020000000000035</v>
      </c>
      <c r="Z42" s="35">
        <v>6.7289999999999983</v>
      </c>
      <c r="AA42" s="126">
        <v>50.043762664500044</v>
      </c>
      <c r="AB42" s="126">
        <v>-19.664901567472363</v>
      </c>
      <c r="AC42" s="126">
        <v>-17.046128773655738</v>
      </c>
      <c r="AD42" s="126">
        <v>218.85413871531142</v>
      </c>
      <c r="AE42" s="126">
        <v>-7.9167449853499843</v>
      </c>
      <c r="AF42" s="126">
        <v>174.205523691042</v>
      </c>
      <c r="AG42" s="126">
        <v>42.593485044981975</v>
      </c>
      <c r="AH42" s="126">
        <v>72.421800248443319</v>
      </c>
      <c r="AI42" s="126">
        <v>-14.47263293525836</v>
      </c>
      <c r="AJ42" s="126">
        <v>-1.139698378220678</v>
      </c>
      <c r="AK42" s="126">
        <v>99.402953989946241</v>
      </c>
      <c r="AL42" s="126">
        <v>3.1571418701246099</v>
      </c>
      <c r="AM42" s="126">
        <v>-17.143536670660971</v>
      </c>
      <c r="AN42" s="126">
        <v>8.7607085256640538</v>
      </c>
      <c r="AO42" s="126">
        <v>38.074105933076495</v>
      </c>
      <c r="AP42" s="126">
        <v>97.997084932475786</v>
      </c>
      <c r="AQ42" s="126">
        <v>16.414593399808069</v>
      </c>
      <c r="AR42" s="126">
        <v>0.86005137675050847</v>
      </c>
      <c r="AS42" s="126">
        <v>26.702650265712826</v>
      </c>
      <c r="AT42" s="126">
        <v>6.648022958681743</v>
      </c>
      <c r="AU42" s="126">
        <v>85.904990026541711</v>
      </c>
      <c r="AV42" s="126">
        <v>7.1247551173394328</v>
      </c>
      <c r="AW42" s="126">
        <v>7.1299492226605885</v>
      </c>
      <c r="AX42" s="126">
        <v>9.0182666844514223</v>
      </c>
      <c r="AY42" s="126">
        <v>1263.4042877978097</v>
      </c>
      <c r="AZ42" s="126">
        <v>1287.6579544622614</v>
      </c>
      <c r="BA42" s="126">
        <v>-10.920003484422462</v>
      </c>
      <c r="BB42" s="126">
        <v>-29.158816499032902</v>
      </c>
      <c r="BC42" s="126">
        <v>6.8530141910423268</v>
      </c>
      <c r="BD42" s="126">
        <v>-23.77501418458375</v>
      </c>
      <c r="BE42" s="126">
        <v>-57.000819976996802</v>
      </c>
      <c r="BF42" s="126">
        <v>-14.880684853226471</v>
      </c>
      <c r="BG42" s="126">
        <v>-4.134033493696414</v>
      </c>
      <c r="BH42" s="126">
        <v>3.5587330740419363</v>
      </c>
      <c r="BI42" s="126">
        <v>5.4143253190388991</v>
      </c>
      <c r="BJ42" s="126">
        <v>-10.041659953842151</v>
      </c>
      <c r="BK42" s="126">
        <v>6.6862206761274976</v>
      </c>
      <c r="BL42" s="126">
        <v>457.10788668578726</v>
      </c>
      <c r="BM42" s="126">
        <v>22.570896551465626</v>
      </c>
      <c r="BN42" s="126">
        <v>59.889559031990913</v>
      </c>
      <c r="BO42" s="126">
        <v>546.25456294537128</v>
      </c>
      <c r="BP42" s="126">
        <v>18.701392631464795</v>
      </c>
      <c r="BQ42" s="126">
        <v>16.572518383234982</v>
      </c>
      <c r="BR42" s="126">
        <v>23.10473512955372</v>
      </c>
      <c r="BS42" s="126">
        <v>6.2555297051328234</v>
      </c>
      <c r="BT42" s="126">
        <v>64.634175849386324</v>
      </c>
      <c r="BU42" s="126">
        <v>19.668220071150195</v>
      </c>
      <c r="BV42" s="126">
        <f>BV40+BV41</f>
        <v>5.4293345911498854</v>
      </c>
    </row>
    <row r="43" spans="1:74" s="1" customFormat="1">
      <c r="A43" s="175" t="s">
        <v>111</v>
      </c>
      <c r="B43" s="11" t="str">
        <f>IF('Sumário | Summary'!P1=1,"Margem Líquida","Net Margin")</f>
        <v>Margem Líquida</v>
      </c>
      <c r="C43" s="27">
        <v>0.46251742318647349</v>
      </c>
      <c r="D43" s="27">
        <v>0.87249121105861016</v>
      </c>
      <c r="E43" s="27">
        <v>0.48587965272926859</v>
      </c>
      <c r="F43" s="27">
        <v>0.33948641522001816</v>
      </c>
      <c r="G43" s="157">
        <f t="shared" ref="G43:Z43" si="9">G42/G14</f>
        <v>0.51504264821424051</v>
      </c>
      <c r="H43" s="157">
        <f t="shared" si="9"/>
        <v>0.89176557757797692</v>
      </c>
      <c r="I43" s="157">
        <f t="shared" si="9"/>
        <v>0.53505760108425582</v>
      </c>
      <c r="J43" s="157">
        <f t="shared" si="9"/>
        <v>0.5850175931596836</v>
      </c>
      <c r="K43" s="157">
        <f t="shared" si="9"/>
        <v>0.40255797634061496</v>
      </c>
      <c r="L43" s="157">
        <f t="shared" si="9"/>
        <v>0.59262738970379381</v>
      </c>
      <c r="M43" s="157">
        <f t="shared" si="9"/>
        <v>0.5187014446057806</v>
      </c>
      <c r="N43" s="157">
        <f t="shared" si="9"/>
        <v>0.37288197046240118</v>
      </c>
      <c r="O43" s="157">
        <f t="shared" si="9"/>
        <v>0.40947465948548317</v>
      </c>
      <c r="P43" s="157">
        <f t="shared" si="9"/>
        <v>0.24346725507106778</v>
      </c>
      <c r="Q43" s="157">
        <f t="shared" si="9"/>
        <v>0.38972034326626698</v>
      </c>
      <c r="R43" s="157">
        <f t="shared" si="9"/>
        <v>-3.3119658119658245E-2</v>
      </c>
      <c r="S43" s="157">
        <f t="shared" si="9"/>
        <v>0.26975045112451024</v>
      </c>
      <c r="T43" s="157">
        <f t="shared" si="9"/>
        <v>0.17921769676255581</v>
      </c>
      <c r="U43" s="157">
        <f t="shared" si="9"/>
        <v>0.10957181371791351</v>
      </c>
      <c r="V43" s="157">
        <f t="shared" si="9"/>
        <v>0.13593765521395715</v>
      </c>
      <c r="W43" s="157">
        <f t="shared" si="9"/>
        <v>0.15311240196789089</v>
      </c>
      <c r="X43" s="157">
        <f t="shared" si="9"/>
        <v>1.4068592697621097E-3</v>
      </c>
      <c r="Y43" s="157">
        <f t="shared" si="9"/>
        <v>-5.4085898284293971E-2</v>
      </c>
      <c r="Z43" s="157">
        <f t="shared" si="9"/>
        <v>5.8879117994487452E-2</v>
      </c>
      <c r="AA43" s="157">
        <v>0.11879853166298328</v>
      </c>
      <c r="AB43" s="157">
        <v>-0.2005026771291458</v>
      </c>
      <c r="AC43" s="157">
        <v>-0.15944521764917582</v>
      </c>
      <c r="AD43" s="157">
        <v>1.6762596695438257</v>
      </c>
      <c r="AE43" s="157">
        <v>-7.1500024356987282E-2</v>
      </c>
      <c r="AF43" s="157">
        <v>0.39035687542407599</v>
      </c>
      <c r="AG43" s="157">
        <v>0.40745987371648551</v>
      </c>
      <c r="AH43" s="157">
        <v>0.43645615703422774</v>
      </c>
      <c r="AI43" s="157">
        <v>-0.13432185253292589</v>
      </c>
      <c r="AJ43" s="157">
        <v>-1.0216484390751091E-2</v>
      </c>
      <c r="AK43" s="157">
        <v>0.20295992680815078</v>
      </c>
      <c r="AL43" s="157">
        <v>2.810912481303918E-2</v>
      </c>
      <c r="AM43" s="157">
        <v>-0.14991949920045081</v>
      </c>
      <c r="AN43" s="157">
        <v>7.5730437098896666E-2</v>
      </c>
      <c r="AO43" s="157">
        <v>0.29635650388133816</v>
      </c>
      <c r="AP43" s="157">
        <v>0.20813875848986771</v>
      </c>
      <c r="AQ43" s="157">
        <v>0.12636185790433443</v>
      </c>
      <c r="AR43" s="157">
        <v>9.2421743422140441E-3</v>
      </c>
      <c r="AS43" s="157">
        <v>0.19036552670748511</v>
      </c>
      <c r="AT43" s="157">
        <v>5.4007513717572585E-2</v>
      </c>
      <c r="AU43" s="157">
        <v>0.17664163723554061</v>
      </c>
      <c r="AV43" s="157">
        <v>6.0173990188280693E-2</v>
      </c>
      <c r="AW43" s="157">
        <v>6.3188018495880391E-2</v>
      </c>
      <c r="AX43" s="157">
        <v>7.2366106251366552E-2</v>
      </c>
      <c r="AY43" s="157">
        <v>0.64781592906325114</v>
      </c>
      <c r="AZ43" s="157">
        <v>0.55836757732399611</v>
      </c>
      <c r="BA43" s="157">
        <v>-7.1225160614598021E-2</v>
      </c>
      <c r="BB43" s="157">
        <v>-0.28991036435810358</v>
      </c>
      <c r="BC43" s="157">
        <v>6.4980980378074246E-2</v>
      </c>
      <c r="BD43" s="157">
        <v>-0.2064854881040766</v>
      </c>
      <c r="BE43" s="157">
        <v>-0.12012853996148545</v>
      </c>
      <c r="BF43" s="157">
        <v>-0.14993138080172877</v>
      </c>
      <c r="BG43" s="157">
        <v>-3.976102597008372E-2</v>
      </c>
      <c r="BH43" s="157">
        <v>3.3601720733427022E-2</v>
      </c>
      <c r="BI43" s="157">
        <v>4.6846322163770118E-2</v>
      </c>
      <c r="BJ43" s="157">
        <v>-2.3643705508903809E-2</v>
      </c>
      <c r="BK43" s="157">
        <v>5.9482255137844282E-2</v>
      </c>
      <c r="BL43" s="157">
        <v>0.42268877473854166</v>
      </c>
      <c r="BM43" s="157">
        <v>0.26256280223729755</v>
      </c>
      <c r="BN43" s="157">
        <v>0.76837194306248036</v>
      </c>
      <c r="BO43" s="157">
        <v>0.40232539006860818</v>
      </c>
      <c r="BP43" s="157">
        <v>0.22326591119095746</v>
      </c>
      <c r="BQ43" s="157">
        <v>0.22283372831562748</v>
      </c>
      <c r="BR43" s="157">
        <v>0.2654995719451459</v>
      </c>
      <c r="BS43" s="157">
        <v>7.581703790861162E-2</v>
      </c>
      <c r="BT43" s="213">
        <v>0.19725603757568341</v>
      </c>
      <c r="BU43" s="157">
        <v>0.23888750190309727</v>
      </c>
      <c r="BV43" s="157">
        <f>BV42/BV14</f>
        <v>6.6325922931676815E-2</v>
      </c>
    </row>
    <row r="44" spans="1:74" s="1" customFormat="1">
      <c r="A44" s="175" t="s">
        <v>112</v>
      </c>
      <c r="B44" s="24" t="str">
        <f>IF('Sumário | Summary'!P1=1,"Lucro Líquido por ação","Profit Per Share")</f>
        <v>Lucro Líquido por ação</v>
      </c>
      <c r="C44" s="25">
        <v>0.19900000000000001</v>
      </c>
      <c r="D44" s="25">
        <v>0.92100000000000004</v>
      </c>
      <c r="E44" s="25">
        <v>0.28499999999999998</v>
      </c>
      <c r="F44" s="25">
        <v>0.44700000000000001</v>
      </c>
      <c r="G44" s="25">
        <v>1.8520000000000001</v>
      </c>
      <c r="H44" s="25">
        <v>0.54900000000000004</v>
      </c>
      <c r="I44" s="25">
        <v>0.46</v>
      </c>
      <c r="J44" s="25">
        <v>0.49199999999999999</v>
      </c>
      <c r="K44" s="25">
        <v>0.29799999999999999</v>
      </c>
      <c r="L44" s="25">
        <v>1.7989999999999999</v>
      </c>
      <c r="M44" s="25">
        <v>0.46700000000000003</v>
      </c>
      <c r="N44" s="25">
        <v>0.24</v>
      </c>
      <c r="O44" s="25">
        <v>0.35799999999999998</v>
      </c>
      <c r="P44" s="25">
        <v>0.11799999999999999</v>
      </c>
      <c r="Q44" s="25">
        <v>1.1839999999999999</v>
      </c>
      <c r="R44" s="25">
        <v>-4.1000000000000002E-2</v>
      </c>
      <c r="S44" s="25">
        <v>0.221</v>
      </c>
      <c r="T44" s="25">
        <v>7.9000000000000001E-2</v>
      </c>
      <c r="U44" s="25">
        <v>-8.8355280216679301E-3</v>
      </c>
      <c r="V44" s="25">
        <v>0.19478230722546205</v>
      </c>
      <c r="W44" s="25">
        <v>3.6750909816292664E-2</v>
      </c>
      <c r="X44" s="42">
        <v>-9.1999999999999998E-2</v>
      </c>
      <c r="Y44" s="42">
        <v>-0.14299999999999999</v>
      </c>
      <c r="Z44" s="44">
        <v>1.9848383910089577E-2</v>
      </c>
      <c r="AA44" s="25">
        <v>-0.17821723600962525</v>
      </c>
      <c r="AB44" s="45">
        <v>-0.16500000000000001</v>
      </c>
      <c r="AC44" s="45">
        <v>-0.14199999999999999</v>
      </c>
      <c r="AD44" s="45">
        <v>1.8289329229645859</v>
      </c>
      <c r="AE44" s="45">
        <v>-6.6171591327194537E-2</v>
      </c>
      <c r="AF44" s="45">
        <v>1.4557847508581703</v>
      </c>
      <c r="AG44" s="45">
        <v>7.5145509563926544E-2</v>
      </c>
      <c r="AH44" s="45">
        <v>0.19220917132269086</v>
      </c>
      <c r="AI44" s="45">
        <v>-0.15962304305171721</v>
      </c>
      <c r="AJ44" s="45">
        <v>-0.11514068737955196</v>
      </c>
      <c r="AK44" s="45">
        <v>-7.4090495446520336E-3</v>
      </c>
      <c r="AL44" s="158">
        <v>2.6385135258315404E-2</v>
      </c>
      <c r="AM44" s="158">
        <v>-0.14327292825871196</v>
      </c>
      <c r="AN44" s="158">
        <v>7.3754687056099819E-2</v>
      </c>
      <c r="AO44" s="158">
        <v>0.31731654668877579</v>
      </c>
      <c r="AP44" s="158">
        <v>0.27418344074447903</v>
      </c>
      <c r="AQ44" s="158">
        <v>0.10753487505491317</v>
      </c>
      <c r="AR44" s="158">
        <v>5.8298169181418315E-3</v>
      </c>
      <c r="AS44" s="158">
        <v>0.1749381575616627</v>
      </c>
      <c r="AT44" s="158">
        <v>4.3537067266978299E-2</v>
      </c>
      <c r="AU44" s="158">
        <v>0.33183991680169606</v>
      </c>
      <c r="AV44" s="158">
        <v>4.6679066897274378E-2</v>
      </c>
      <c r="AW44" s="158">
        <v>4.6708404575147314E-2</v>
      </c>
      <c r="AX44" s="158">
        <v>5.9135027477285995E-2</v>
      </c>
      <c r="AY44" s="158">
        <v>8.2767786786987845</v>
      </c>
      <c r="AZ44" s="158">
        <v>8.4293011776484921</v>
      </c>
      <c r="BA44" s="158">
        <v>-7.1538820062678615E-2</v>
      </c>
      <c r="BB44" s="158">
        <v>-0.19102441951970756</v>
      </c>
      <c r="BC44" s="158">
        <v>4.4895274053650319E-2</v>
      </c>
      <c r="BD44" s="158">
        <v>-0.15575420503893075</v>
      </c>
      <c r="BE44" s="158">
        <v>-0.37342217056766658</v>
      </c>
      <c r="BF44" s="158">
        <v>-9.7485924582623895E-2</v>
      </c>
      <c r="BG44" s="158">
        <v>3.0526358534066433E-2</v>
      </c>
      <c r="BH44" s="158">
        <v>-3.4295250481981746E-2</v>
      </c>
      <c r="BI44" s="158">
        <v>3.5470175930993664E-2</v>
      </c>
      <c r="BJ44" s="158">
        <v>-6.5784640599545544E-2</v>
      </c>
      <c r="BK44" s="158">
        <v>4.3802581064299538E-2</v>
      </c>
      <c r="BL44" s="158">
        <v>2.9945923461924036</v>
      </c>
      <c r="BM44" s="158">
        <v>0.1478658234268897</v>
      </c>
      <c r="BN44" s="158">
        <v>0.3923467967143579</v>
      </c>
      <c r="BO44" s="158">
        <v>3.5786075473979508</v>
      </c>
      <c r="BP44" s="158">
        <v>0.12251603804818964</v>
      </c>
      <c r="BQ44" s="158">
        <v>0.10856941687746999</v>
      </c>
      <c r="BR44" s="158">
        <v>0.15136309172308091</v>
      </c>
      <c r="BS44" s="158">
        <v>4.0981050474078018E-2</v>
      </c>
      <c r="BT44" s="158">
        <v>0.42342959712281852</v>
      </c>
      <c r="BU44" s="158">
        <v>0.12884989081096396</v>
      </c>
      <c r="BV44" s="158">
        <v>3.5568504252807137E-2</v>
      </c>
    </row>
    <row r="46" spans="1:74">
      <c r="BJ46" s="212"/>
      <c r="BT46" s="212"/>
    </row>
    <row r="47" spans="1:74">
      <c r="BJ47" s="212"/>
      <c r="BT47" s="212"/>
    </row>
    <row r="48" spans="1:74">
      <c r="BJ48" s="212"/>
    </row>
    <row r="67" spans="29:74">
      <c r="BT67" s="155"/>
    </row>
    <row r="72" spans="29:74" s="2" customFormat="1">
      <c r="AC72" s="58"/>
      <c r="AD72" s="58"/>
      <c r="AE72" s="58"/>
      <c r="AF72" s="58"/>
      <c r="AG72" s="58"/>
      <c r="AH72" s="57"/>
      <c r="AI72" s="57"/>
      <c r="AJ72" s="57"/>
      <c r="AK72" s="57"/>
      <c r="AL72" s="57"/>
      <c r="AQ72" s="57"/>
      <c r="AR72" s="57"/>
      <c r="AS72" s="57"/>
      <c r="AT72" s="57"/>
      <c r="AV72" s="57"/>
      <c r="AW72" s="57"/>
      <c r="AX72" s="57"/>
      <c r="AY72" s="155"/>
      <c r="AZ72" s="57"/>
      <c r="BA72" s="153"/>
      <c r="BB72" s="153"/>
      <c r="BC72" s="153"/>
      <c r="BD72" s="153"/>
      <c r="BE72" s="155"/>
      <c r="BF72" s="155"/>
      <c r="BG72" s="155"/>
      <c r="BH72" s="155"/>
      <c r="BI72" s="155"/>
      <c r="BJ72" s="153"/>
      <c r="BK72" s="155"/>
      <c r="BL72" s="155"/>
      <c r="BM72" s="155"/>
      <c r="BN72" s="155"/>
      <c r="BO72" s="155"/>
      <c r="BP72" s="155"/>
      <c r="BQ72" s="155"/>
      <c r="BR72" s="155"/>
      <c r="BS72" s="155"/>
      <c r="BT72" s="153"/>
      <c r="BU72" s="155"/>
      <c r="BV72" s="155"/>
    </row>
    <row r="73" spans="29:74">
      <c r="BA73" s="155"/>
      <c r="BB73" s="155"/>
      <c r="BC73" s="155"/>
      <c r="BD73" s="155"/>
      <c r="BJ73" s="155"/>
    </row>
  </sheetData>
  <pageMargins left="0.25" right="0.25" top="0.75" bottom="0.75" header="0.3" footer="0.3"/>
  <pageSetup paperSize="9" scale="8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27C6B-9441-4F33-AB99-74DC780F8868}">
  <dimension ref="A1:BB67"/>
  <sheetViews>
    <sheetView showGridLines="0" showRowColHeaders="0" zoomScaleNormal="100" workbookViewId="0">
      <pane xSplit="2" ySplit="5" topLeftCell="AP6" activePane="bottomRight" state="frozen"/>
      <selection activeCell="B1" sqref="B1"/>
      <selection pane="topRight" activeCell="B1" sqref="B1"/>
      <selection pane="bottomLeft" activeCell="B1" sqref="B1"/>
      <selection pane="bottomRight" activeCell="B1" sqref="B1"/>
    </sheetView>
  </sheetViews>
  <sheetFormatPr defaultRowHeight="14.4"/>
  <cols>
    <col min="1" max="1" width="23.88671875" hidden="1" customWidth="1"/>
    <col min="2" max="2" width="58.44140625" bestFit="1" customWidth="1"/>
    <col min="3" max="12" width="11.77734375" style="153" bestFit="1" customWidth="1"/>
    <col min="13" max="13" width="13.109375" style="153" bestFit="1" customWidth="1"/>
    <col min="14" max="15" width="11.77734375" style="153" bestFit="1" customWidth="1"/>
    <col min="16" max="16" width="13.109375" style="153" bestFit="1" customWidth="1"/>
    <col min="17" max="19" width="11.77734375" style="153" bestFit="1" customWidth="1"/>
    <col min="20" max="20" width="13.109375" style="153" bestFit="1" customWidth="1"/>
    <col min="21" max="22" width="11.77734375" style="153" bestFit="1" customWidth="1"/>
    <col min="23" max="23" width="10.44140625" bestFit="1" customWidth="1"/>
    <col min="24" max="24" width="9.77734375" bestFit="1" customWidth="1"/>
    <col min="25" max="25" width="9.88671875" customWidth="1"/>
    <col min="26" max="26" width="9.77734375" bestFit="1" customWidth="1"/>
    <col min="27" max="30" width="9.33203125" style="151" customWidth="1"/>
    <col min="31" max="31" width="9.33203125" customWidth="1"/>
    <col min="32" max="34" width="9.33203125" style="151" customWidth="1"/>
    <col min="35" max="35" width="9.33203125" style="153" customWidth="1"/>
    <col min="36" max="36" width="9.33203125" style="151" customWidth="1"/>
    <col min="37" max="45" width="9.33203125" style="153" customWidth="1"/>
    <col min="46" max="46" width="13.109375" style="153" bestFit="1" customWidth="1"/>
    <col min="47" max="47" width="12.21875" style="153" bestFit="1" customWidth="1"/>
    <col min="48" max="54" width="11.6640625" style="153" customWidth="1"/>
  </cols>
  <sheetData>
    <row r="1" spans="1:54">
      <c r="B1" s="108" t="s">
        <v>42</v>
      </c>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row>
    <row r="2" spans="1:54">
      <c r="B2" s="108" t="s">
        <v>41</v>
      </c>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row>
    <row r="3" spans="1:54" s="223" customFormat="1">
      <c r="B3" s="224">
        <v>1</v>
      </c>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row>
    <row r="4" spans="1:54" ht="3" customHeight="1">
      <c r="B4" s="12"/>
      <c r="C4" s="154"/>
      <c r="D4" s="154"/>
      <c r="E4" s="154"/>
      <c r="F4" s="154"/>
      <c r="G4" s="154"/>
      <c r="H4" s="154"/>
      <c r="I4" s="154"/>
      <c r="J4" s="154"/>
      <c r="K4" s="154"/>
      <c r="L4" s="154"/>
      <c r="M4" s="154"/>
      <c r="N4" s="154"/>
      <c r="O4" s="154"/>
      <c r="P4" s="154"/>
      <c r="Q4" s="154"/>
      <c r="R4" s="154"/>
      <c r="S4" s="154"/>
      <c r="T4" s="154"/>
      <c r="U4" s="154"/>
      <c r="V4" s="154"/>
      <c r="W4" s="12"/>
      <c r="X4" s="12"/>
      <c r="Y4" s="12"/>
      <c r="Z4" s="12"/>
      <c r="AA4" s="152"/>
      <c r="AB4" s="152"/>
      <c r="AC4" s="152"/>
      <c r="AD4" s="152"/>
      <c r="AE4" s="12"/>
      <c r="AF4" s="152"/>
      <c r="AG4" s="152"/>
      <c r="AH4" s="152"/>
      <c r="AI4" s="154"/>
      <c r="AJ4" s="152"/>
      <c r="AK4" s="154"/>
      <c r="AL4" s="154"/>
      <c r="AM4" s="154"/>
      <c r="AN4" s="154"/>
      <c r="AO4" s="154"/>
      <c r="AP4" s="154"/>
      <c r="AQ4" s="154"/>
      <c r="AR4" s="154"/>
      <c r="AS4" s="154"/>
      <c r="AT4" s="154"/>
      <c r="AU4" s="154"/>
      <c r="AV4" s="154"/>
      <c r="AW4" s="154"/>
      <c r="AX4" s="154"/>
      <c r="AY4" s="154"/>
      <c r="AZ4" s="154"/>
      <c r="BA4" s="154"/>
      <c r="BB4" s="154"/>
    </row>
    <row r="5" spans="1:54" s="7" customFormat="1" ht="18.75" customHeight="1">
      <c r="B5" s="183" t="str">
        <f>IF('Sumário | Summary'!P1=1,"Demonstração de Resultados - Proforma (R$ MM)","Income Statement - Proforma (R$ million)")</f>
        <v>Demonstração de Resultados - Proforma (R$ MM)</v>
      </c>
      <c r="C5" s="182" t="s">
        <v>59</v>
      </c>
      <c r="D5" s="182" t="s">
        <v>60</v>
      </c>
      <c r="E5" s="182" t="s">
        <v>61</v>
      </c>
      <c r="F5" s="182" t="s">
        <v>62</v>
      </c>
      <c r="G5" s="182">
        <v>2016</v>
      </c>
      <c r="H5" s="182" t="s">
        <v>55</v>
      </c>
      <c r="I5" s="182" t="s">
        <v>56</v>
      </c>
      <c r="J5" s="182" t="s">
        <v>57</v>
      </c>
      <c r="K5" s="182" t="s">
        <v>58</v>
      </c>
      <c r="L5" s="182">
        <v>2017</v>
      </c>
      <c r="M5" s="182" t="s">
        <v>54</v>
      </c>
      <c r="N5" s="182" t="s">
        <v>53</v>
      </c>
      <c r="O5" s="182" t="s">
        <v>52</v>
      </c>
      <c r="P5" s="182" t="s">
        <v>51</v>
      </c>
      <c r="Q5" s="182">
        <v>2018</v>
      </c>
      <c r="R5" s="182" t="s">
        <v>43</v>
      </c>
      <c r="S5" s="182" t="s">
        <v>44</v>
      </c>
      <c r="T5" s="182" t="s">
        <v>46</v>
      </c>
      <c r="U5" s="182" t="s">
        <v>47</v>
      </c>
      <c r="V5" s="182">
        <v>2019</v>
      </c>
      <c r="W5" s="182" t="s">
        <v>50</v>
      </c>
      <c r="X5" s="182" t="s">
        <v>63</v>
      </c>
      <c r="Y5" s="182" t="s">
        <v>64</v>
      </c>
      <c r="Z5" s="182" t="s">
        <v>65</v>
      </c>
      <c r="AA5" s="182">
        <v>2020</v>
      </c>
      <c r="AB5" s="201" t="s">
        <v>98</v>
      </c>
      <c r="AC5" s="201" t="s">
        <v>99</v>
      </c>
      <c r="AD5" s="201" t="s">
        <v>113</v>
      </c>
      <c r="AE5" s="200" t="s">
        <v>114</v>
      </c>
      <c r="AF5" s="182">
        <v>2021</v>
      </c>
      <c r="AG5" s="198" t="s">
        <v>125</v>
      </c>
      <c r="AH5" s="198" t="s">
        <v>264</v>
      </c>
      <c r="AI5" s="185" t="s">
        <v>265</v>
      </c>
      <c r="AJ5" s="198" t="s">
        <v>271</v>
      </c>
      <c r="AK5" s="194">
        <v>2022</v>
      </c>
      <c r="AL5" s="194" t="s">
        <v>283</v>
      </c>
      <c r="AM5" s="194" t="s">
        <v>286</v>
      </c>
      <c r="AN5" s="194" t="s">
        <v>288</v>
      </c>
      <c r="AO5" s="194" t="s">
        <v>312</v>
      </c>
      <c r="AP5" s="194">
        <v>2023</v>
      </c>
      <c r="AQ5" s="194" t="s">
        <v>318</v>
      </c>
      <c r="AR5" s="194" t="s">
        <v>320</v>
      </c>
      <c r="AS5" s="194" t="s">
        <v>328</v>
      </c>
      <c r="AT5" s="194" t="s">
        <v>330</v>
      </c>
      <c r="AU5" s="194">
        <v>2024</v>
      </c>
      <c r="AV5" s="194" t="s">
        <v>332</v>
      </c>
      <c r="AW5" s="194" t="s">
        <v>333</v>
      </c>
      <c r="AX5" s="194" t="s">
        <v>334</v>
      </c>
      <c r="AY5" s="194" t="s">
        <v>335</v>
      </c>
      <c r="AZ5" s="194">
        <v>2025</v>
      </c>
      <c r="BA5" s="194" t="s">
        <v>336</v>
      </c>
      <c r="BB5" s="194" t="s">
        <v>337</v>
      </c>
    </row>
    <row r="6" spans="1:54" s="1" customFormat="1" ht="15" customHeight="1">
      <c r="A6" s="88" t="s">
        <v>126</v>
      </c>
      <c r="B6" s="8" t="str">
        <f>IF('Sumário | Summary'!P1=1,"Receita Bruta ","Gross Revenues")</f>
        <v xml:space="preserve">Receita Bruta </v>
      </c>
      <c r="C6" s="126">
        <v>107.78657109577887</v>
      </c>
      <c r="D6" s="126">
        <v>104.72299185141043</v>
      </c>
      <c r="E6" s="126">
        <v>139.72333832627226</v>
      </c>
      <c r="F6" s="126">
        <v>137.16453984149422</v>
      </c>
      <c r="G6" s="126">
        <v>489.39744111495577</v>
      </c>
      <c r="H6" s="126">
        <v>100.13205042850235</v>
      </c>
      <c r="I6" s="126">
        <v>109.37366391263639</v>
      </c>
      <c r="J6" s="126">
        <v>99.060342620004576</v>
      </c>
      <c r="K6" s="126">
        <v>92.322893939813383</v>
      </c>
      <c r="L6" s="126">
        <v>400.88895090095667</v>
      </c>
      <c r="M6" s="126">
        <v>84.684947715066713</v>
      </c>
      <c r="N6" s="126">
        <v>148.31577850850931</v>
      </c>
      <c r="O6" s="126">
        <v>89.978452663096022</v>
      </c>
      <c r="P6" s="126">
        <v>92.669049752549114</v>
      </c>
      <c r="Q6" s="126">
        <v>415.64822863922114</v>
      </c>
      <c r="R6" s="126">
        <v>88.862895242019874</v>
      </c>
      <c r="S6" s="126">
        <v>93.948435277672246</v>
      </c>
      <c r="T6" s="126">
        <v>95.812148827870104</v>
      </c>
      <c r="U6" s="126">
        <v>105.63246540481022</v>
      </c>
      <c r="V6" s="126">
        <v>384.25594475237244</v>
      </c>
      <c r="W6" s="126">
        <v>98.065788149118063</v>
      </c>
      <c r="X6" s="126">
        <v>70.395051241492411</v>
      </c>
      <c r="Y6" s="126">
        <v>102.51926202915354</v>
      </c>
      <c r="Z6" s="126">
        <v>98.69683150410458</v>
      </c>
      <c r="AA6" s="126">
        <v>369.67693292386861</v>
      </c>
      <c r="AB6" s="126">
        <v>87.978137416420537</v>
      </c>
      <c r="AC6" s="126">
        <v>90.322766462377132</v>
      </c>
      <c r="AD6" s="126">
        <v>99.596478611576686</v>
      </c>
      <c r="AE6" s="126">
        <v>1459.6954731797966</v>
      </c>
      <c r="AF6" s="126">
        <v>1737.592855670171</v>
      </c>
      <c r="AG6" s="126">
        <v>140.22337064717632</v>
      </c>
      <c r="AH6" s="126">
        <v>89.719215064606558</v>
      </c>
      <c r="AI6" s="126">
        <v>91.328593142645673</v>
      </c>
      <c r="AJ6" s="126">
        <v>101.17836327324942</v>
      </c>
      <c r="AK6" s="126">
        <v>422.449542127678</v>
      </c>
      <c r="AL6" s="126">
        <v>90.14264248012951</v>
      </c>
      <c r="AM6" s="126">
        <v>90.222286146336515</v>
      </c>
      <c r="AN6" s="126">
        <v>92.430039516420052</v>
      </c>
      <c r="AO6" s="126">
        <v>100.46642029968754</v>
      </c>
      <c r="AP6" s="126">
        <v>373.26138844257366</v>
      </c>
      <c r="AQ6" s="126">
        <v>95.322818750022122</v>
      </c>
      <c r="AR6" s="126">
        <v>834.44044518934277</v>
      </c>
      <c r="AS6" s="126">
        <v>54.540390397797573</v>
      </c>
      <c r="AT6" s="126">
        <v>74.719562945311424</v>
      </c>
      <c r="AU6" s="126">
        <v>1059.0232172824738</v>
      </c>
      <c r="AV6" s="126">
        <v>63.835743509774169</v>
      </c>
      <c r="AW6" s="126">
        <v>62.308687477175248</v>
      </c>
      <c r="AX6" s="126">
        <v>62.555540255679738</v>
      </c>
      <c r="AY6" s="126">
        <v>66.079695240892732</v>
      </c>
      <c r="AZ6" s="126">
        <v>254.77966648352188</v>
      </c>
      <c r="BA6" s="126">
        <v>64.417597598504997</v>
      </c>
      <c r="BB6" s="126">
        <v>64.199614118102019</v>
      </c>
    </row>
    <row r="7" spans="1:54" s="1" customFormat="1" ht="15" customHeight="1">
      <c r="A7" t="s">
        <v>266</v>
      </c>
      <c r="B7" s="9" t="str">
        <f>IF('Sumário | Summary'!P1=1,"Locação de Edifícios Corporativos","Leases from Corporate Buildings")</f>
        <v>Locação de Edifícios Corporativos</v>
      </c>
      <c r="C7" s="87">
        <v>34.450375902500006</v>
      </c>
      <c r="D7" s="87">
        <v>31.3216119175</v>
      </c>
      <c r="E7" s="87">
        <v>31.282233159999997</v>
      </c>
      <c r="F7" s="87">
        <v>31.579513554999998</v>
      </c>
      <c r="G7" s="87">
        <v>128.633734535</v>
      </c>
      <c r="H7" s="87">
        <v>27.671425219073619</v>
      </c>
      <c r="I7" s="87">
        <v>32.917181450438662</v>
      </c>
      <c r="J7" s="87">
        <v>4.1655723677397081</v>
      </c>
      <c r="K7" s="87">
        <v>22.155350793442</v>
      </c>
      <c r="L7" s="87">
        <v>86.909529830693984</v>
      </c>
      <c r="M7" s="87">
        <v>20.804024668757997</v>
      </c>
      <c r="N7" s="87">
        <v>22.406576637468</v>
      </c>
      <c r="O7" s="87">
        <v>22.763985100260001</v>
      </c>
      <c r="P7" s="87">
        <v>22.551721361794996</v>
      </c>
      <c r="Q7" s="87">
        <v>88.526307768281001</v>
      </c>
      <c r="R7" s="87">
        <v>23.686218063026001</v>
      </c>
      <c r="S7" s="87">
        <v>23.678885767141999</v>
      </c>
      <c r="T7" s="87">
        <v>24.361632405595994</v>
      </c>
      <c r="U7" s="87">
        <v>24.395796424194995</v>
      </c>
      <c r="V7" s="87">
        <v>96.122532659958992</v>
      </c>
      <c r="W7" s="87">
        <v>29.054118513422996</v>
      </c>
      <c r="X7" s="87">
        <v>30.869952835605996</v>
      </c>
      <c r="Y7" s="87">
        <v>31.652321039729003</v>
      </c>
      <c r="Z7" s="87">
        <v>30.989794432553001</v>
      </c>
      <c r="AA7" s="87">
        <v>122.56618682131099</v>
      </c>
      <c r="AB7" s="87">
        <v>33.879318628904997</v>
      </c>
      <c r="AC7" s="87">
        <v>31.925060844444989</v>
      </c>
      <c r="AD7" s="87">
        <v>32.809627475188009</v>
      </c>
      <c r="AE7" s="87">
        <v>24.932202273973573</v>
      </c>
      <c r="AF7" s="87">
        <v>123.54620922251156</v>
      </c>
      <c r="AG7" s="87">
        <v>11.119382647066999</v>
      </c>
      <c r="AH7" s="87">
        <v>10.231840490687</v>
      </c>
      <c r="AI7" s="87">
        <v>9.9806121877820004</v>
      </c>
      <c r="AJ7" s="87">
        <v>10.997646555162003</v>
      </c>
      <c r="AK7" s="87">
        <v>42.329481880697998</v>
      </c>
      <c r="AL7" s="87">
        <v>10.380508579689998</v>
      </c>
      <c r="AM7" s="87">
        <v>10.6525417670883</v>
      </c>
      <c r="AN7" s="87">
        <v>10.805836499112607</v>
      </c>
      <c r="AO7" s="87">
        <v>10.767157711682666</v>
      </c>
      <c r="AP7" s="87">
        <v>42.606044557573568</v>
      </c>
      <c r="AQ7" s="87">
        <v>10.753043451085</v>
      </c>
      <c r="AR7" s="87">
        <v>8.0075223553253174</v>
      </c>
      <c r="AS7" s="87">
        <v>7.0452575293806765</v>
      </c>
      <c r="AT7" s="87">
        <v>6.9455747415100015</v>
      </c>
      <c r="AU7" s="87">
        <v>32.751398077300998</v>
      </c>
      <c r="AV7" s="87">
        <v>7.2243978117209995</v>
      </c>
      <c r="AW7" s="87">
        <v>7.8900536390330007</v>
      </c>
      <c r="AX7" s="87">
        <v>7.8856703173829956</v>
      </c>
      <c r="AY7" s="87">
        <v>7.995253012091001</v>
      </c>
      <c r="AZ7" s="87">
        <v>30.995374780227998</v>
      </c>
      <c r="BA7" s="87">
        <v>8.2523799811970004</v>
      </c>
      <c r="BB7" s="87">
        <v>8.0522766413169968</v>
      </c>
    </row>
    <row r="8" spans="1:54" s="1" customFormat="1" ht="15" customHeight="1">
      <c r="A8" t="s">
        <v>267</v>
      </c>
      <c r="B8" s="9" t="str">
        <f>IF('Sumário | Summary'!P1=1,"Shopping Centers","Leases from Shopping Centers")</f>
        <v>Shopping Centers</v>
      </c>
      <c r="C8" s="87">
        <v>42.91633775322596</v>
      </c>
      <c r="D8" s="87">
        <v>43.998295932937509</v>
      </c>
      <c r="E8" s="87">
        <v>44.905669315999994</v>
      </c>
      <c r="F8" s="87">
        <v>43.31882025312499</v>
      </c>
      <c r="G8" s="87">
        <v>175.13912325528847</v>
      </c>
      <c r="H8" s="87">
        <v>40.764059612298681</v>
      </c>
      <c r="I8" s="87">
        <v>43.404407227668081</v>
      </c>
      <c r="J8" s="87">
        <v>38.876633353807321</v>
      </c>
      <c r="K8" s="87">
        <v>45.019543146371383</v>
      </c>
      <c r="L8" s="87">
        <v>169.06624472014545</v>
      </c>
      <c r="M8" s="87">
        <v>41.153923046308705</v>
      </c>
      <c r="N8" s="87">
        <v>40.627201871041301</v>
      </c>
      <c r="O8" s="87">
        <v>44.857467562836021</v>
      </c>
      <c r="P8" s="87">
        <v>44.853328390754115</v>
      </c>
      <c r="Q8" s="87">
        <v>171.49192087094013</v>
      </c>
      <c r="R8" s="87">
        <v>41.215442058791218</v>
      </c>
      <c r="S8" s="87">
        <v>44.504618223333701</v>
      </c>
      <c r="T8" s="87">
        <v>45.733125347253853</v>
      </c>
      <c r="U8" s="87">
        <v>43.714000504853495</v>
      </c>
      <c r="V8" s="87">
        <v>175.16718613423225</v>
      </c>
      <c r="W8" s="51">
        <v>44.049979540695055</v>
      </c>
      <c r="X8" s="51">
        <v>31.900098410886418</v>
      </c>
      <c r="Y8" s="51">
        <v>32.371940989424537</v>
      </c>
      <c r="Z8" s="51">
        <v>43.634037071551589</v>
      </c>
      <c r="AA8" s="87">
        <v>151.95605601255761</v>
      </c>
      <c r="AB8" s="87">
        <v>37.261818787515537</v>
      </c>
      <c r="AC8" s="87">
        <v>39.883705617932129</v>
      </c>
      <c r="AD8" s="87">
        <v>43.774851136388676</v>
      </c>
      <c r="AE8" s="87">
        <v>55.310514547151058</v>
      </c>
      <c r="AF8" s="87">
        <v>176.23089008898739</v>
      </c>
      <c r="AG8" s="87">
        <v>47.653197818387035</v>
      </c>
      <c r="AH8" s="87">
        <v>48.680994859059467</v>
      </c>
      <c r="AI8" s="87">
        <v>49.580825439239852</v>
      </c>
      <c r="AJ8" s="87">
        <v>55.19740876314652</v>
      </c>
      <c r="AK8" s="87">
        <v>201.11242687983287</v>
      </c>
      <c r="AL8" s="87">
        <v>48.344055370249997</v>
      </c>
      <c r="AM8" s="87">
        <v>47.823014723250012</v>
      </c>
      <c r="AN8" s="87">
        <v>47.622709407500004</v>
      </c>
      <c r="AO8" s="87">
        <v>52.118740069125025</v>
      </c>
      <c r="AP8" s="87">
        <v>195.90851957012501</v>
      </c>
      <c r="AQ8" s="87">
        <v>50.307908018749991</v>
      </c>
      <c r="AR8" s="87">
        <v>40.980434856645516</v>
      </c>
      <c r="AS8" s="87">
        <v>17.891091473837996</v>
      </c>
      <c r="AT8" s="87">
        <v>20.527165328827003</v>
      </c>
      <c r="AU8" s="87">
        <v>129.70659967806051</v>
      </c>
      <c r="AV8" s="87">
        <v>17.607805595729999</v>
      </c>
      <c r="AW8" s="87">
        <v>18.238268640484002</v>
      </c>
      <c r="AX8" s="87">
        <v>18.921740674407999</v>
      </c>
      <c r="AY8" s="87">
        <v>18.879887940627995</v>
      </c>
      <c r="AZ8" s="87">
        <v>73.647702851249988</v>
      </c>
      <c r="BA8" s="87">
        <v>19.227031849999999</v>
      </c>
      <c r="BB8" s="87">
        <v>19.312677179999998</v>
      </c>
    </row>
    <row r="9" spans="1:54" s="1" customFormat="1" ht="15" customHeight="1">
      <c r="A9" t="s">
        <v>268</v>
      </c>
      <c r="B9" s="9" t="str">
        <f>IF('Sumário | Summary'!P1=1,"Locação de Centros de Distribuição","Leases from Distribution Centers")</f>
        <v>Locação de Centros de Distribuição</v>
      </c>
      <c r="C9" s="87">
        <v>8.8731043802860068</v>
      </c>
      <c r="D9" s="87">
        <v>10.906685054400743</v>
      </c>
      <c r="E9" s="87">
        <v>9.8168456985025987</v>
      </c>
      <c r="F9" s="87">
        <v>11.045548057415184</v>
      </c>
      <c r="G9" s="87">
        <v>40.642183190604527</v>
      </c>
      <c r="H9" s="87">
        <v>10.175746642990068</v>
      </c>
      <c r="I9" s="87">
        <v>10.032614416702925</v>
      </c>
      <c r="J9" s="87">
        <v>2.2774155844910844</v>
      </c>
      <c r="K9" s="87">
        <v>0</v>
      </c>
      <c r="L9" s="87">
        <v>22.485777730117356</v>
      </c>
      <c r="M9" s="87">
        <v>0</v>
      </c>
      <c r="N9" s="87">
        <v>0</v>
      </c>
      <c r="O9" s="87">
        <v>0</v>
      </c>
      <c r="P9" s="87" t="s">
        <v>18</v>
      </c>
      <c r="Q9" s="87" t="s">
        <v>18</v>
      </c>
      <c r="R9" s="87">
        <v>0</v>
      </c>
      <c r="S9" s="87">
        <v>0</v>
      </c>
      <c r="T9" s="87">
        <v>0</v>
      </c>
      <c r="U9" s="87">
        <v>0</v>
      </c>
      <c r="V9" s="87">
        <v>0</v>
      </c>
      <c r="W9" s="51">
        <v>0</v>
      </c>
      <c r="X9" s="51">
        <v>0</v>
      </c>
      <c r="Y9" s="51">
        <v>0</v>
      </c>
      <c r="Z9" s="51">
        <v>0</v>
      </c>
      <c r="AA9" s="197">
        <v>0</v>
      </c>
      <c r="AB9" s="197">
        <v>0</v>
      </c>
      <c r="AC9" s="197">
        <v>0</v>
      </c>
      <c r="AD9" s="197">
        <v>0</v>
      </c>
      <c r="AE9" s="87">
        <v>0</v>
      </c>
      <c r="AF9" s="197">
        <v>0</v>
      </c>
      <c r="AG9" s="197">
        <v>0</v>
      </c>
      <c r="AH9" s="197">
        <v>0</v>
      </c>
      <c r="AI9" s="87">
        <v>0</v>
      </c>
      <c r="AJ9" s="197">
        <v>0</v>
      </c>
      <c r="AK9" s="87">
        <v>0</v>
      </c>
      <c r="AL9" s="87">
        <v>0</v>
      </c>
      <c r="AM9" s="87">
        <v>0</v>
      </c>
      <c r="AN9" s="87">
        <v>0</v>
      </c>
      <c r="AO9" s="87">
        <v>0</v>
      </c>
      <c r="AP9" s="87">
        <v>0</v>
      </c>
      <c r="AQ9" s="87">
        <v>0.25316895600000006</v>
      </c>
      <c r="AR9" s="87">
        <v>0.46801955200000001</v>
      </c>
      <c r="AS9" s="87">
        <v>0.6010010600000002</v>
      </c>
      <c r="AT9" s="87">
        <v>1.4261977219999999</v>
      </c>
      <c r="AU9" s="87">
        <v>2.7483872900000001</v>
      </c>
      <c r="AV9" s="87">
        <v>0.94701936399999997</v>
      </c>
      <c r="AW9" s="87">
        <v>0.93374685800000023</v>
      </c>
      <c r="AX9" s="87">
        <v>0.93356743600000003</v>
      </c>
      <c r="AY9" s="87">
        <v>1.3727765999999997</v>
      </c>
      <c r="AZ9" s="87">
        <v>4.1871102579999997</v>
      </c>
      <c r="BA9" s="87">
        <v>1.980099456</v>
      </c>
      <c r="BB9" s="87">
        <v>2.474267412000001</v>
      </c>
    </row>
    <row r="10" spans="1:54" s="1" customFormat="1" ht="15" customHeight="1">
      <c r="A10" t="s">
        <v>269</v>
      </c>
      <c r="B10" s="9" t="str">
        <f>IF('Sumário | Summary'!P1=1,"Locação de outros empreendimentos","Leases of other projects")</f>
        <v>Locação de outros empreendimentos</v>
      </c>
      <c r="C10" s="87" t="s">
        <v>18</v>
      </c>
      <c r="D10" s="87" t="s">
        <v>18</v>
      </c>
      <c r="E10" s="87" t="s">
        <v>18</v>
      </c>
      <c r="F10" s="87" t="s">
        <v>18</v>
      </c>
      <c r="G10" s="87" t="s">
        <v>18</v>
      </c>
      <c r="H10" s="87" t="s">
        <v>18</v>
      </c>
      <c r="I10" s="87" t="s">
        <v>18</v>
      </c>
      <c r="J10" s="87" t="s">
        <v>18</v>
      </c>
      <c r="K10" s="87" t="s">
        <v>18</v>
      </c>
      <c r="L10" s="87" t="s">
        <v>18</v>
      </c>
      <c r="M10" s="87" t="s">
        <v>18</v>
      </c>
      <c r="N10" s="87" t="s">
        <v>18</v>
      </c>
      <c r="O10" s="87" t="s">
        <v>18</v>
      </c>
      <c r="P10" s="87" t="s">
        <v>18</v>
      </c>
      <c r="Q10" s="87" t="s">
        <v>18</v>
      </c>
      <c r="R10" s="87">
        <v>0</v>
      </c>
      <c r="S10" s="87">
        <v>0</v>
      </c>
      <c r="T10" s="87">
        <v>0</v>
      </c>
      <c r="U10" s="87">
        <v>0</v>
      </c>
      <c r="V10" s="87">
        <v>0</v>
      </c>
      <c r="W10" s="51">
        <v>0</v>
      </c>
      <c r="X10" s="51">
        <v>0</v>
      </c>
      <c r="Y10" s="51">
        <v>0</v>
      </c>
      <c r="Z10" s="51">
        <v>0</v>
      </c>
      <c r="AA10" s="197">
        <v>0</v>
      </c>
      <c r="AB10" s="197">
        <v>0</v>
      </c>
      <c r="AC10" s="197">
        <v>0</v>
      </c>
      <c r="AD10" s="197">
        <v>0</v>
      </c>
      <c r="AE10" s="87">
        <v>0</v>
      </c>
      <c r="AF10" s="197">
        <v>0</v>
      </c>
      <c r="AG10" s="197">
        <v>0</v>
      </c>
      <c r="AH10" s="197">
        <v>0</v>
      </c>
      <c r="AI10" s="87">
        <v>0</v>
      </c>
      <c r="AJ10" s="197">
        <v>0</v>
      </c>
      <c r="AK10" s="87">
        <v>0</v>
      </c>
      <c r="AL10" s="87">
        <v>0</v>
      </c>
      <c r="AM10" s="87">
        <v>0</v>
      </c>
      <c r="AN10" s="87">
        <v>0</v>
      </c>
      <c r="AO10" s="87">
        <v>0</v>
      </c>
      <c r="AP10" s="87">
        <v>0</v>
      </c>
      <c r="AQ10" s="87">
        <v>0</v>
      </c>
      <c r="AR10" s="87">
        <v>0</v>
      </c>
      <c r="AS10" s="87">
        <v>0</v>
      </c>
      <c r="AT10" s="87">
        <v>0</v>
      </c>
      <c r="AU10" s="87">
        <v>0</v>
      </c>
      <c r="AV10" s="87">
        <v>0</v>
      </c>
      <c r="AW10" s="87">
        <v>0</v>
      </c>
      <c r="AX10" s="87">
        <v>0</v>
      </c>
      <c r="AY10" s="87">
        <v>0</v>
      </c>
      <c r="AZ10" s="87">
        <v>0</v>
      </c>
      <c r="BA10" s="87">
        <v>0</v>
      </c>
      <c r="BB10" s="87">
        <v>0</v>
      </c>
    </row>
    <row r="11" spans="1:54" s="1" customFormat="1" ht="15" customHeight="1">
      <c r="A11" s="175" t="s">
        <v>127</v>
      </c>
      <c r="B11" s="13" t="str">
        <f>IF('Sumário | Summary'!P1=1,"Prestação de serviços de Administração","Services Revenues")</f>
        <v>Prestação de serviços de Administração</v>
      </c>
      <c r="C11" s="87">
        <v>20.855732640229444</v>
      </c>
      <c r="D11" s="87">
        <v>20.327403694074892</v>
      </c>
      <c r="E11" s="87">
        <v>21.877481986676138</v>
      </c>
      <c r="F11" s="87">
        <v>23.730477450427898</v>
      </c>
      <c r="G11" s="87">
        <v>86.791095771408379</v>
      </c>
      <c r="H11" s="87">
        <v>21.509670337134583</v>
      </c>
      <c r="I11" s="87">
        <v>22.393788408016579</v>
      </c>
      <c r="J11" s="87">
        <v>21.272446589638523</v>
      </c>
      <c r="K11" s="87">
        <v>25.473000000000003</v>
      </c>
      <c r="L11" s="87">
        <v>90.649000000000001</v>
      </c>
      <c r="M11" s="87">
        <v>22.881</v>
      </c>
      <c r="N11" s="87">
        <v>22.565999999999999</v>
      </c>
      <c r="O11" s="87">
        <v>23.035</v>
      </c>
      <c r="P11" s="87">
        <v>25.934000000000001</v>
      </c>
      <c r="Q11" s="87">
        <v>94.415999999999997</v>
      </c>
      <c r="R11" s="87">
        <v>24.248999999999999</v>
      </c>
      <c r="S11" s="87">
        <v>25.693999999999999</v>
      </c>
      <c r="T11" s="87">
        <v>26.263999999999999</v>
      </c>
      <c r="U11" s="87">
        <v>37.399000000000001</v>
      </c>
      <c r="V11" s="87">
        <v>113.60599999999999</v>
      </c>
      <c r="W11" s="87">
        <v>24.898</v>
      </c>
      <c r="X11" s="87">
        <v>7.6079999999999997</v>
      </c>
      <c r="Y11" s="87">
        <v>14.102</v>
      </c>
      <c r="Z11" s="87">
        <v>23.382000000000001</v>
      </c>
      <c r="AA11" s="87">
        <v>69.990000000000009</v>
      </c>
      <c r="AB11" s="87">
        <v>15.692</v>
      </c>
      <c r="AC11" s="87">
        <v>17.687000000000001</v>
      </c>
      <c r="AD11" s="87">
        <v>22.238</v>
      </c>
      <c r="AE11" s="87">
        <v>31.395397948345995</v>
      </c>
      <c r="AF11" s="87">
        <v>87.012397948346006</v>
      </c>
      <c r="AG11" s="87">
        <v>27.995314644447994</v>
      </c>
      <c r="AH11" s="87">
        <v>30.716807281142003</v>
      </c>
      <c r="AI11" s="87">
        <v>31.745333289910008</v>
      </c>
      <c r="AJ11" s="87">
        <v>34.903500678438988</v>
      </c>
      <c r="AK11" s="87">
        <v>125.36095589393899</v>
      </c>
      <c r="AL11" s="87">
        <v>31.182430350051995</v>
      </c>
      <c r="AM11" s="87">
        <v>32.972435073627999</v>
      </c>
      <c r="AN11" s="87">
        <v>33.150442945879988</v>
      </c>
      <c r="AO11" s="87">
        <v>37.588407324098995</v>
      </c>
      <c r="AP11" s="87">
        <v>134.89371569365898</v>
      </c>
      <c r="AQ11" s="87">
        <v>33.959012660028002</v>
      </c>
      <c r="AR11" s="87">
        <v>33.889864595761999</v>
      </c>
      <c r="AS11" s="87">
        <v>34.816957577609998</v>
      </c>
      <c r="AT11" s="87">
        <v>40.133750824252999</v>
      </c>
      <c r="AU11" s="87">
        <v>142.79958565765298</v>
      </c>
      <c r="AV11" s="87">
        <v>34.520352014407997</v>
      </c>
      <c r="AW11" s="87">
        <v>34.388298539171991</v>
      </c>
      <c r="AX11" s="87">
        <v>34.738478062580008</v>
      </c>
      <c r="AY11" s="197">
        <v>38.591861744473995</v>
      </c>
      <c r="AZ11" s="197">
        <v>142.23899036063398</v>
      </c>
      <c r="BA11" s="197">
        <v>34.915432450555997</v>
      </c>
      <c r="BB11" s="197">
        <v>34.065579602564007</v>
      </c>
    </row>
    <row r="12" spans="1:54" s="1" customFormat="1" ht="15" customHeight="1">
      <c r="A12" s="175" t="s">
        <v>128</v>
      </c>
      <c r="B12" s="9" t="str">
        <f>IF('Sumário | Summary'!P1=1,"Vendas de Propriedades e Incorporação Imobiliária","Revenues from the Sale of Real Estate Properties")</f>
        <v>Vendas de Propriedades e Incorporação Imobiliária</v>
      </c>
      <c r="C12" s="87">
        <v>0.69102041953745208</v>
      </c>
      <c r="D12" s="87">
        <v>-1.8310047475027202</v>
      </c>
      <c r="E12" s="87">
        <v>31.841108165093534</v>
      </c>
      <c r="F12" s="87">
        <v>27.490180525526153</v>
      </c>
      <c r="G12" s="87">
        <v>58.191304362654414</v>
      </c>
      <c r="H12" s="87">
        <v>1.1148617005400032E-2</v>
      </c>
      <c r="I12" s="87">
        <v>0.62567240981012995</v>
      </c>
      <c r="J12" s="87">
        <v>32.468055345543206</v>
      </c>
      <c r="K12" s="87">
        <v>-0.32499999999999635</v>
      </c>
      <c r="L12" s="87">
        <v>32.78</v>
      </c>
      <c r="M12" s="87">
        <v>-0.154</v>
      </c>
      <c r="N12" s="87">
        <v>62.716000000000001</v>
      </c>
      <c r="O12" s="87">
        <v>-0.67800000000000005</v>
      </c>
      <c r="P12" s="87">
        <v>-0.67</v>
      </c>
      <c r="Q12" s="87">
        <v>61.213999999999999</v>
      </c>
      <c r="R12" s="87">
        <v>-0.28799999999999998</v>
      </c>
      <c r="S12" s="87">
        <v>7.0999999999999994E-2</v>
      </c>
      <c r="T12" s="87">
        <v>-0.54600000000000004</v>
      </c>
      <c r="U12" s="87">
        <v>0.107</v>
      </c>
      <c r="V12" s="87">
        <v>-0.65600000000000003</v>
      </c>
      <c r="W12" s="87">
        <v>2.5999999999999999E-2</v>
      </c>
      <c r="X12" s="87">
        <v>1.7000000000000001E-2</v>
      </c>
      <c r="Y12" s="87">
        <v>24.393000000000001</v>
      </c>
      <c r="Z12" s="87">
        <v>0.69099999999999995</v>
      </c>
      <c r="AA12" s="87">
        <v>25.126999999999999</v>
      </c>
      <c r="AB12" s="87">
        <v>1.145</v>
      </c>
      <c r="AC12" s="87">
        <v>0.82699999999999996</v>
      </c>
      <c r="AD12" s="87">
        <v>0.77400000000000002</v>
      </c>
      <c r="AE12" s="87">
        <v>1348.0573584103261</v>
      </c>
      <c r="AF12" s="87">
        <v>1350.8033584103262</v>
      </c>
      <c r="AG12" s="87">
        <v>53.455475537274289</v>
      </c>
      <c r="AH12" s="87">
        <v>8.9572433718096214E-2</v>
      </c>
      <c r="AI12" s="87">
        <v>2.1822225713782246E-2</v>
      </c>
      <c r="AJ12" s="87">
        <v>7.9807276501931479E-2</v>
      </c>
      <c r="AK12" s="87">
        <v>53.646677473208101</v>
      </c>
      <c r="AL12" s="87">
        <v>0.23564818013751812</v>
      </c>
      <c r="AM12" s="87">
        <v>-1.2257054176297755</v>
      </c>
      <c r="AN12" s="87">
        <v>0.85105066392749351</v>
      </c>
      <c r="AO12" s="87">
        <v>-7.8848052191519569E-3</v>
      </c>
      <c r="AP12" s="87">
        <v>-0.14689137878391584</v>
      </c>
      <c r="AQ12" s="87">
        <v>4.9685664159143356E-2</v>
      </c>
      <c r="AR12" s="87">
        <v>751.09460382960992</v>
      </c>
      <c r="AS12" s="87">
        <v>-5.8139172430310868</v>
      </c>
      <c r="AT12" s="87">
        <v>5.6868743287213146</v>
      </c>
      <c r="AU12" s="87">
        <v>751.0172465794592</v>
      </c>
      <c r="AV12" s="87">
        <v>3.5361687239151678</v>
      </c>
      <c r="AW12" s="87">
        <v>0.8583198004862993</v>
      </c>
      <c r="AX12" s="87">
        <v>7.6083765308260803E-2</v>
      </c>
      <c r="AY12" s="87">
        <v>-0.76008405629999876</v>
      </c>
      <c r="AZ12" s="87">
        <v>3.7104882334097291</v>
      </c>
      <c r="BA12" s="87">
        <v>4.2653860751999999E-2</v>
      </c>
      <c r="BB12" s="87">
        <v>0.29481328222099995</v>
      </c>
    </row>
    <row r="13" spans="1:54" s="1" customFormat="1" ht="15" customHeight="1">
      <c r="A13" t="s">
        <v>129</v>
      </c>
      <c r="B13" s="9" t="str">
        <f>IF('Sumário | Summary'!P1=1,"Deduções da receita bruta","Deductions")</f>
        <v>Deduções da receita bruta</v>
      </c>
      <c r="C13" s="87">
        <v>-7.1189999999999998</v>
      </c>
      <c r="D13" s="87">
        <v>-7.3040000000000003</v>
      </c>
      <c r="E13" s="87">
        <v>-8.0749999999999993</v>
      </c>
      <c r="F13" s="87">
        <v>-8.4329999999999998</v>
      </c>
      <c r="G13" s="87">
        <v>-30.931000000000001</v>
      </c>
      <c r="H13" s="87">
        <v>-6.8819999999999997</v>
      </c>
      <c r="I13" s="87">
        <v>-8.0939999999999994</v>
      </c>
      <c r="J13" s="87">
        <v>-6.1779999999999999</v>
      </c>
      <c r="K13" s="87">
        <v>-6.657</v>
      </c>
      <c r="L13" s="87">
        <v>-27.811</v>
      </c>
      <c r="M13" s="87">
        <v>-4.976</v>
      </c>
      <c r="N13" s="87">
        <v>-7.2930000000000001</v>
      </c>
      <c r="O13" s="87">
        <v>-7.0359999999999996</v>
      </c>
      <c r="P13" s="87">
        <v>-6.6779999999999999</v>
      </c>
      <c r="Q13" s="87">
        <v>-25.983000000000001</v>
      </c>
      <c r="R13" s="87">
        <v>-3.66</v>
      </c>
      <c r="S13" s="87">
        <v>-6.3019999999999996</v>
      </c>
      <c r="T13" s="87">
        <v>-6.5129999999999999</v>
      </c>
      <c r="U13" s="87">
        <v>-7.2539999999999996</v>
      </c>
      <c r="V13" s="87">
        <v>-23.728999999999999</v>
      </c>
      <c r="W13" s="87">
        <v>-5.4379999999999997</v>
      </c>
      <c r="X13" s="87">
        <v>-7.0090000000000003</v>
      </c>
      <c r="Y13" s="87">
        <v>-8.6579999999999995</v>
      </c>
      <c r="Z13" s="87">
        <v>-10.33</v>
      </c>
      <c r="AA13" s="87">
        <v>-31.434999999999995</v>
      </c>
      <c r="AB13" s="87">
        <v>-9.7266767181180871</v>
      </c>
      <c r="AC13" s="87">
        <v>-13.397468425181462</v>
      </c>
      <c r="AD13" s="87">
        <v>-10.570212046111733</v>
      </c>
      <c r="AE13" s="87">
        <v>-62.263312670478086</v>
      </c>
      <c r="AF13" s="87">
        <v>-95.957669859889364</v>
      </c>
      <c r="AG13" s="87">
        <v>-18.051883293232528</v>
      </c>
      <c r="AH13" s="87">
        <v>-20.564949639154136</v>
      </c>
      <c r="AI13" s="87">
        <v>-17.063072758618379</v>
      </c>
      <c r="AJ13" s="87">
        <v>-21.461537255111121</v>
      </c>
      <c r="AK13" s="87">
        <v>-77.141442946116172</v>
      </c>
      <c r="AL13" s="87">
        <v>-15.944512706488091</v>
      </c>
      <c r="AM13" s="87">
        <v>-12.467776066102193</v>
      </c>
      <c r="AN13" s="87">
        <v>-11.909364723598031</v>
      </c>
      <c r="AO13" s="87">
        <v>-11.722549665218066</v>
      </c>
      <c r="AP13" s="87">
        <v>-52.044203161406386</v>
      </c>
      <c r="AQ13" s="87">
        <v>-9.3930087808304989</v>
      </c>
      <c r="AR13" s="87">
        <v>-39.446896475797502</v>
      </c>
      <c r="AS13" s="87">
        <v>-6.6786524283796611</v>
      </c>
      <c r="AT13" s="87">
        <v>-7.162632240438346</v>
      </c>
      <c r="AU13" s="87">
        <v>-62.681189925446013</v>
      </c>
      <c r="AV13" s="87">
        <v>-6.1186008429330005</v>
      </c>
      <c r="AW13" s="87">
        <v>-6.0124856350889981</v>
      </c>
      <c r="AX13" s="87">
        <v>-6.5095909261140008</v>
      </c>
      <c r="AY13" s="87">
        <v>-6.3548625430200048</v>
      </c>
      <c r="AZ13" s="87">
        <v>-24.995539947156004</v>
      </c>
      <c r="BA13" s="87">
        <v>-5.0106577434010005</v>
      </c>
      <c r="BB13" s="87">
        <v>-5.2734729201950001</v>
      </c>
    </row>
    <row r="14" spans="1:54" s="1" customFormat="1" ht="15" customHeight="1">
      <c r="A14" s="175" t="s">
        <v>100</v>
      </c>
      <c r="B14" s="8" t="str">
        <f>IF('Sumário | Summary'!P1=1,"Receita Líquida","Net Operating Revenues")</f>
        <v>Receita Líquida</v>
      </c>
      <c r="C14" s="126">
        <f t="shared" ref="C14:AV14" si="0">SUM(C7:C13)</f>
        <v>100.66757109577887</v>
      </c>
      <c r="D14" s="126">
        <f t="shared" si="0"/>
        <v>97.418991851410425</v>
      </c>
      <c r="E14" s="126">
        <f t="shared" si="0"/>
        <v>131.6483383262723</v>
      </c>
      <c r="F14" s="126">
        <f t="shared" si="0"/>
        <v>128.73153984149423</v>
      </c>
      <c r="G14" s="126">
        <f t="shared" si="0"/>
        <v>458.46644111495578</v>
      </c>
      <c r="H14" s="126">
        <f t="shared" si="0"/>
        <v>93.250050428502334</v>
      </c>
      <c r="I14" s="126">
        <f t="shared" si="0"/>
        <v>101.27966391263638</v>
      </c>
      <c r="J14" s="126">
        <f t="shared" si="0"/>
        <v>92.882123241219844</v>
      </c>
      <c r="K14" s="126">
        <f t="shared" si="0"/>
        <v>85.665893939813387</v>
      </c>
      <c r="L14" s="126">
        <f t="shared" si="0"/>
        <v>374.07955228095688</v>
      </c>
      <c r="M14" s="126">
        <f t="shared" si="0"/>
        <v>79.708947715066699</v>
      </c>
      <c r="N14" s="126">
        <f t="shared" si="0"/>
        <v>141.0227785085093</v>
      </c>
      <c r="O14" s="126">
        <f t="shared" si="0"/>
        <v>82.94245266309602</v>
      </c>
      <c r="P14" s="126">
        <f t="shared" si="0"/>
        <v>85.991049752549102</v>
      </c>
      <c r="Q14" s="126">
        <f t="shared" si="0"/>
        <v>389.66522863922114</v>
      </c>
      <c r="R14" s="126">
        <f t="shared" si="0"/>
        <v>85.202660121817217</v>
      </c>
      <c r="S14" s="126">
        <f t="shared" si="0"/>
        <v>87.646503990475708</v>
      </c>
      <c r="T14" s="126">
        <f t="shared" si="0"/>
        <v>89.299757752849828</v>
      </c>
      <c r="U14" s="126">
        <f t="shared" si="0"/>
        <v>98.361796929048481</v>
      </c>
      <c r="V14" s="126">
        <f t="shared" si="0"/>
        <v>360.51071879419123</v>
      </c>
      <c r="W14" s="126">
        <f t="shared" si="0"/>
        <v>92.590098054118045</v>
      </c>
      <c r="X14" s="126">
        <f t="shared" si="0"/>
        <v>63.386051246492414</v>
      </c>
      <c r="Y14" s="126">
        <f t="shared" si="0"/>
        <v>93.861262029153536</v>
      </c>
      <c r="Z14" s="126">
        <f t="shared" si="0"/>
        <v>88.366831504104596</v>
      </c>
      <c r="AA14" s="126">
        <f t="shared" si="0"/>
        <v>338.20424283386865</v>
      </c>
      <c r="AB14" s="126">
        <f t="shared" si="0"/>
        <v>78.251460698302438</v>
      </c>
      <c r="AC14" s="126">
        <f t="shared" si="0"/>
        <v>76.92529803719566</v>
      </c>
      <c r="AD14" s="126">
        <f t="shared" si="0"/>
        <v>89.026266565464951</v>
      </c>
      <c r="AE14" s="126">
        <f t="shared" si="0"/>
        <v>1397.4321605093185</v>
      </c>
      <c r="AF14" s="126">
        <f t="shared" si="0"/>
        <v>1641.6351858102817</v>
      </c>
      <c r="AG14" s="126">
        <f t="shared" si="0"/>
        <v>122.1714873539438</v>
      </c>
      <c r="AH14" s="126">
        <f t="shared" si="0"/>
        <v>69.154265425452422</v>
      </c>
      <c r="AI14" s="126">
        <f t="shared" si="0"/>
        <v>74.265520384027269</v>
      </c>
      <c r="AJ14" s="126">
        <f t="shared" si="0"/>
        <v>79.71682601813832</v>
      </c>
      <c r="AK14" s="126">
        <f t="shared" si="0"/>
        <v>345.30809918156177</v>
      </c>
      <c r="AL14" s="126">
        <f t="shared" si="0"/>
        <v>74.198129773641426</v>
      </c>
      <c r="AM14" s="126">
        <f t="shared" si="0"/>
        <v>77.754510080234354</v>
      </c>
      <c r="AN14" s="126">
        <f t="shared" si="0"/>
        <v>80.520674792822064</v>
      </c>
      <c r="AO14" s="126">
        <f t="shared" si="0"/>
        <v>88.743870634469459</v>
      </c>
      <c r="AP14" s="126">
        <f t="shared" si="0"/>
        <v>321.2171852811673</v>
      </c>
      <c r="AQ14" s="126">
        <f t="shared" si="0"/>
        <v>85.929809969191638</v>
      </c>
      <c r="AR14" s="126">
        <f t="shared" si="0"/>
        <v>794.99354871354524</v>
      </c>
      <c r="AS14" s="126">
        <f t="shared" si="0"/>
        <v>47.861737969417923</v>
      </c>
      <c r="AT14" s="126">
        <f t="shared" si="0"/>
        <v>67.556930704872983</v>
      </c>
      <c r="AU14" s="126">
        <f t="shared" si="0"/>
        <v>996.34202735702775</v>
      </c>
      <c r="AV14" s="126">
        <f t="shared" si="0"/>
        <v>57.717142666841163</v>
      </c>
      <c r="AW14" s="126">
        <v>56.29620184208629</v>
      </c>
      <c r="AX14" s="126">
        <v>56.045949329565268</v>
      </c>
      <c r="AY14" s="126">
        <v>59.724832697872984</v>
      </c>
      <c r="AZ14" s="126">
        <v>229.7841265363657</v>
      </c>
      <c r="BA14" s="126">
        <v>59.406939855104</v>
      </c>
      <c r="BB14" s="126">
        <f>SUM(BB7:BB13)</f>
        <v>58.926141197907008</v>
      </c>
    </row>
    <row r="15" spans="1:54" s="1" customFormat="1" ht="15" customHeight="1">
      <c r="A15" s="175" t="s">
        <v>130</v>
      </c>
      <c r="B15" s="9" t="str">
        <f>IF('Sumário | Summary'!P1=1,"Custo de Edifícios Corporativos","Corporate Buildings Cost")</f>
        <v>Custo de Edifícios Corporativos</v>
      </c>
      <c r="C15" s="87">
        <v>-4.1548749250000006</v>
      </c>
      <c r="D15" s="87">
        <v>-3.3962923425000011</v>
      </c>
      <c r="E15" s="87">
        <v>-3.8068946725000008</v>
      </c>
      <c r="F15" s="87">
        <v>-11.116048514999999</v>
      </c>
      <c r="G15" s="87">
        <v>-13.560627555</v>
      </c>
      <c r="H15" s="87">
        <v>-3.8129329193559998</v>
      </c>
      <c r="I15" s="87">
        <v>-3.3357924184839995</v>
      </c>
      <c r="J15" s="87">
        <v>-3.9674193911369988</v>
      </c>
      <c r="K15" s="87">
        <v>-3.9176099495089995</v>
      </c>
      <c r="L15" s="87">
        <v>-13.496107908485998</v>
      </c>
      <c r="M15" s="87">
        <v>-3.2420478019049996</v>
      </c>
      <c r="N15" s="87">
        <v>-3.0207626581029983</v>
      </c>
      <c r="O15" s="87">
        <v>-3.6808996518664792</v>
      </c>
      <c r="P15" s="87">
        <v>-3.4904786332430002</v>
      </c>
      <c r="Q15" s="87">
        <v>-13.434188745117476</v>
      </c>
      <c r="R15" s="87">
        <v>-2.9375678472429998</v>
      </c>
      <c r="S15" s="87">
        <v>-3.2818079141200007</v>
      </c>
      <c r="T15" s="87">
        <v>-3.3935698962479997</v>
      </c>
      <c r="U15" s="87">
        <v>-3.0441916093074886</v>
      </c>
      <c r="V15" s="87">
        <v>-12.65713726691849</v>
      </c>
      <c r="W15" s="87">
        <v>-5.0999999999999996</v>
      </c>
      <c r="X15" s="87">
        <v>-4.9082134507757447</v>
      </c>
      <c r="Y15" s="203">
        <v>-5.3349346877089996</v>
      </c>
      <c r="Z15" s="87">
        <v>-6.4664273357910007</v>
      </c>
      <c r="AA15" s="87">
        <v>-21.809575474275746</v>
      </c>
      <c r="AB15" s="87">
        <v>-7.0988959655299988</v>
      </c>
      <c r="AC15" s="87">
        <v>-6.8746555326100003</v>
      </c>
      <c r="AD15" s="87">
        <v>-6.8481055917040008</v>
      </c>
      <c r="AE15" s="87">
        <v>-21.964787867125999</v>
      </c>
      <c r="AF15" s="87">
        <v>-42.786444956970001</v>
      </c>
      <c r="AG15" s="87">
        <v>-3.7825591021600005</v>
      </c>
      <c r="AH15" s="87">
        <v>-3.8302491108080003</v>
      </c>
      <c r="AI15" s="87">
        <v>-3.5782995626759986</v>
      </c>
      <c r="AJ15" s="87">
        <v>-5.443602802081001</v>
      </c>
      <c r="AK15" s="87">
        <v>-16.634710577725002</v>
      </c>
      <c r="AL15" s="87">
        <v>-4.6230276007399995</v>
      </c>
      <c r="AM15" s="87">
        <v>-4.6512421890268607</v>
      </c>
      <c r="AN15" s="87">
        <v>-4.2545383464550088</v>
      </c>
      <c r="AO15" s="87">
        <v>-4.2836842271384121</v>
      </c>
      <c r="AP15" s="87">
        <v>-17.812492363360281</v>
      </c>
      <c r="AQ15" s="203">
        <v>-4.2259300573100003</v>
      </c>
      <c r="AR15" s="87">
        <v>-3.8008217824110409</v>
      </c>
      <c r="AS15" s="87">
        <v>-3.3725234733199576</v>
      </c>
      <c r="AT15" s="87">
        <v>-1.8647601303250012</v>
      </c>
      <c r="AU15" s="87">
        <v>-13.264035443366</v>
      </c>
      <c r="AV15" s="87">
        <v>-2.9812830086469102</v>
      </c>
      <c r="AW15" s="87">
        <v>-3.6602240006707993</v>
      </c>
      <c r="AX15" s="87">
        <v>-3.5314853448682908</v>
      </c>
      <c r="AY15" s="87">
        <v>-4.4559857804739984</v>
      </c>
      <c r="AZ15" s="87">
        <v>-14.628978134659999</v>
      </c>
      <c r="BA15" s="87">
        <v>-2.668119605762</v>
      </c>
      <c r="BB15" s="87">
        <v>-3.3905717802410007</v>
      </c>
    </row>
    <row r="16" spans="1:54" s="1" customFormat="1" ht="15" customHeight="1">
      <c r="A16" s="175" t="s">
        <v>131</v>
      </c>
      <c r="B16" s="9" t="str">
        <f>IF('Sumário | Summary'!P1=1,"Custo de Shopping Centers","Shopping Malls Cost")</f>
        <v>Custo de Shopping Centers</v>
      </c>
      <c r="C16" s="87">
        <v>-12.4509899495</v>
      </c>
      <c r="D16" s="87">
        <v>-13.559971436250001</v>
      </c>
      <c r="E16" s="87">
        <v>-17.364844185874997</v>
      </c>
      <c r="F16" s="87">
        <v>-17.800957047499999</v>
      </c>
      <c r="G16" s="87">
        <v>-61.176762619125014</v>
      </c>
      <c r="H16" s="87">
        <v>-15.440065475062088</v>
      </c>
      <c r="I16" s="87">
        <v>-15.243474169750765</v>
      </c>
      <c r="J16" s="87">
        <v>-15.16457666140848</v>
      </c>
      <c r="K16" s="87">
        <v>-23.720548604790434</v>
      </c>
      <c r="L16" s="87">
        <v>-71.106311681011775</v>
      </c>
      <c r="M16" s="87">
        <v>-13.574511467919285</v>
      </c>
      <c r="N16" s="87">
        <v>-15.542517100696402</v>
      </c>
      <c r="O16" s="87">
        <v>-22.949977526270352</v>
      </c>
      <c r="P16" s="87">
        <v>-14.898824110735356</v>
      </c>
      <c r="Q16" s="87">
        <v>-66.965830205621401</v>
      </c>
      <c r="R16" s="87">
        <v>-14.567151320251964</v>
      </c>
      <c r="S16" s="87">
        <v>-13.825794170540112</v>
      </c>
      <c r="T16" s="87">
        <v>-13.823389802640817</v>
      </c>
      <c r="U16" s="87">
        <v>-14.793911912244589</v>
      </c>
      <c r="V16" s="87">
        <v>-57.01024720567748</v>
      </c>
      <c r="W16" s="87">
        <v>-13.5</v>
      </c>
      <c r="X16" s="87">
        <v>-15.527322633904443</v>
      </c>
      <c r="Y16" s="87">
        <v>-14.938989996888109</v>
      </c>
      <c r="Z16" s="87">
        <v>-17.168650157406621</v>
      </c>
      <c r="AA16" s="87">
        <v>-61.134962788199175</v>
      </c>
      <c r="AB16" s="87">
        <v>-13.719624277471164</v>
      </c>
      <c r="AC16" s="87">
        <v>-13.661572208353045</v>
      </c>
      <c r="AD16" s="87">
        <v>-14.512561575879587</v>
      </c>
      <c r="AE16" s="87">
        <v>-19.294857792776689</v>
      </c>
      <c r="AF16" s="87">
        <v>-61.188615854480481</v>
      </c>
      <c r="AG16" s="87">
        <v>-12.813144516870784</v>
      </c>
      <c r="AH16" s="87">
        <v>-10.667741001506345</v>
      </c>
      <c r="AI16" s="87">
        <v>-12.431317666965864</v>
      </c>
      <c r="AJ16" s="87">
        <v>-12.049122931086494</v>
      </c>
      <c r="AK16" s="87">
        <v>-47.961326116429483</v>
      </c>
      <c r="AL16" s="87">
        <v>-12.6519015941787</v>
      </c>
      <c r="AM16" s="87">
        <v>-12.356542504552163</v>
      </c>
      <c r="AN16" s="87">
        <v>-10.338328238715061</v>
      </c>
      <c r="AO16" s="87">
        <v>-10.726923754644879</v>
      </c>
      <c r="AP16" s="87">
        <v>-46.073696092090806</v>
      </c>
      <c r="AQ16" s="203">
        <v>-11.024068886250001</v>
      </c>
      <c r="AR16" s="87">
        <v>-129.37703785461991</v>
      </c>
      <c r="AS16" s="87">
        <v>-2.7438063452353525</v>
      </c>
      <c r="AT16" s="87">
        <v>-3.6853092499109916</v>
      </c>
      <c r="AU16" s="87">
        <v>-146.83022233601628</v>
      </c>
      <c r="AV16" s="87">
        <v>-3.2642150509060004</v>
      </c>
      <c r="AW16" s="87">
        <v>-4.975534730024</v>
      </c>
      <c r="AX16" s="87">
        <v>-3.3819339488759996</v>
      </c>
      <c r="AY16" s="87">
        <v>-3.0515800864440008</v>
      </c>
      <c r="AZ16" s="87">
        <v>-14.673263816250003</v>
      </c>
      <c r="BA16" s="87">
        <v>-2.7814606099999999</v>
      </c>
      <c r="BB16" s="87">
        <v>-2.816595009999999</v>
      </c>
    </row>
    <row r="17" spans="1:54" s="1" customFormat="1" ht="15" customHeight="1">
      <c r="A17" s="88" t="s">
        <v>329</v>
      </c>
      <c r="B17" s="9" t="str">
        <f>IF('Sumário | Summary'!P1=1,"Custo de Galpões Logísticos","Distribution Centers Cost")</f>
        <v>Custo de Galpões Logísticos</v>
      </c>
      <c r="C17" s="87">
        <v>-0.55642530689529102</v>
      </c>
      <c r="D17" s="87">
        <v>-1.4635574889188292</v>
      </c>
      <c r="E17" s="87">
        <v>-1.8761553394419082</v>
      </c>
      <c r="F17" s="87">
        <v>-3.3990053025901559</v>
      </c>
      <c r="G17" s="87">
        <v>-7.2951434378461846</v>
      </c>
      <c r="H17" s="87">
        <v>-3.6764977335122397</v>
      </c>
      <c r="I17" s="87">
        <v>-4.0767843090194535</v>
      </c>
      <c r="J17" s="87">
        <v>-2.0114130398937506</v>
      </c>
      <c r="K17" s="87">
        <v>-0.24733496999999996</v>
      </c>
      <c r="L17" s="87">
        <v>-10.012030052425445</v>
      </c>
      <c r="M17" s="87">
        <v>-0.14696628</v>
      </c>
      <c r="N17" s="87">
        <v>-0.15109148999999999</v>
      </c>
      <c r="O17" s="87">
        <v>-0.60479850000000002</v>
      </c>
      <c r="P17" s="87">
        <v>0</v>
      </c>
      <c r="Q17" s="87">
        <v>-0.90285627000000002</v>
      </c>
      <c r="R17" s="87">
        <v>0</v>
      </c>
      <c r="S17" s="87">
        <v>0</v>
      </c>
      <c r="T17" s="87">
        <v>0</v>
      </c>
      <c r="U17" s="87">
        <v>0</v>
      </c>
      <c r="V17" s="87">
        <v>0</v>
      </c>
      <c r="W17" s="87">
        <v>0</v>
      </c>
      <c r="X17" s="87">
        <v>0</v>
      </c>
      <c r="Y17" s="87">
        <v>0</v>
      </c>
      <c r="Z17" s="87">
        <v>0</v>
      </c>
      <c r="AA17" s="87">
        <v>0</v>
      </c>
      <c r="AB17" s="87">
        <v>0</v>
      </c>
      <c r="AC17" s="87">
        <v>0</v>
      </c>
      <c r="AD17" s="87">
        <v>0</v>
      </c>
      <c r="AE17" s="87">
        <v>0</v>
      </c>
      <c r="AF17" s="87">
        <v>0</v>
      </c>
      <c r="AG17" s="87">
        <v>0</v>
      </c>
      <c r="AH17" s="87">
        <v>0</v>
      </c>
      <c r="AI17" s="87">
        <v>0</v>
      </c>
      <c r="AJ17" s="87">
        <v>0</v>
      </c>
      <c r="AK17" s="87">
        <v>0</v>
      </c>
      <c r="AL17" s="87">
        <v>0</v>
      </c>
      <c r="AM17" s="87">
        <v>0</v>
      </c>
      <c r="AN17" s="87">
        <v>0</v>
      </c>
      <c r="AO17" s="87">
        <v>0</v>
      </c>
      <c r="AP17" s="87">
        <v>0</v>
      </c>
      <c r="AQ17" s="203">
        <v>-9.0568380000000004E-2</v>
      </c>
      <c r="AR17" s="87">
        <v>-2.8901874000000001E-2</v>
      </c>
      <c r="AS17" s="87">
        <v>-0.12205470599999999</v>
      </c>
      <c r="AT17" s="87">
        <v>-0.54652288000000016</v>
      </c>
      <c r="AU17" s="87">
        <v>-0.78804784000000017</v>
      </c>
      <c r="AV17" s="87">
        <v>-0.14985368000000002</v>
      </c>
      <c r="AW17" s="87">
        <v>-0.42612819000000007</v>
      </c>
      <c r="AX17" s="87">
        <v>8.3096129999999963E-2</v>
      </c>
      <c r="AY17" s="87">
        <v>-9.0307365999999945E-2</v>
      </c>
      <c r="AZ17" s="87">
        <v>-0.58319310600000018</v>
      </c>
      <c r="BA17" s="87">
        <v>-0.28787850199999998</v>
      </c>
      <c r="BB17" s="87">
        <v>-0.2168682480000001</v>
      </c>
    </row>
    <row r="18" spans="1:54" s="1" customFormat="1" ht="15" customHeight="1">
      <c r="A18" t="s">
        <v>282</v>
      </c>
      <c r="B18" s="9" t="str">
        <f>IF('Sumário | Summary'!P1=1,"Prestação de Serviços","Services")</f>
        <v>Prestação de Serviços</v>
      </c>
      <c r="C18" s="87">
        <v>-2.9175824599999989</v>
      </c>
      <c r="D18" s="87">
        <v>-2.4918884649999997</v>
      </c>
      <c r="E18" s="87">
        <v>-2.4220923050000001</v>
      </c>
      <c r="F18" s="87">
        <v>-2.5486728350000001</v>
      </c>
      <c r="G18" s="87">
        <v>-10.380236064999998</v>
      </c>
      <c r="H18" s="87">
        <v>-2.3477433549999995</v>
      </c>
      <c r="I18" s="87">
        <v>-2.292063835</v>
      </c>
      <c r="J18" s="87">
        <v>-2.0840349850000002</v>
      </c>
      <c r="K18" s="87">
        <v>-1.8290177699999997</v>
      </c>
      <c r="L18" s="87">
        <v>-8.552859944999998</v>
      </c>
      <c r="M18" s="87">
        <v>-2.6220372100000002</v>
      </c>
      <c r="N18" s="87">
        <v>-1.3854131600000006</v>
      </c>
      <c r="O18" s="87">
        <v>-1.8414797200000004</v>
      </c>
      <c r="P18" s="87">
        <v>-2.0438276600000003</v>
      </c>
      <c r="Q18" s="87">
        <v>-7.8785331800000016</v>
      </c>
      <c r="R18" s="87">
        <v>-1.9776935600000005</v>
      </c>
      <c r="S18" s="87">
        <v>-1.93255091</v>
      </c>
      <c r="T18" s="87">
        <v>-1.9230373300000001</v>
      </c>
      <c r="U18" s="87">
        <v>-1.852355064216</v>
      </c>
      <c r="V18" s="87">
        <v>-7.6856368642159998</v>
      </c>
      <c r="W18" s="87">
        <v>-1.9</v>
      </c>
      <c r="X18" s="87">
        <v>-3.9645738899999996</v>
      </c>
      <c r="Y18" s="87">
        <v>-2.8317097000000007</v>
      </c>
      <c r="Z18" s="87">
        <v>-6.2112996899999997</v>
      </c>
      <c r="AA18" s="87">
        <v>-14.907583280000001</v>
      </c>
      <c r="AB18" s="87">
        <v>-4.1733542999999989</v>
      </c>
      <c r="AC18" s="87">
        <v>-4.9820669500000001</v>
      </c>
      <c r="AD18" s="87">
        <v>-4.9159477199999984</v>
      </c>
      <c r="AE18" s="87">
        <v>-9.3446125900000006</v>
      </c>
      <c r="AF18" s="87">
        <v>-23.415981559999999</v>
      </c>
      <c r="AG18" s="87">
        <v>-4.2550171999999975</v>
      </c>
      <c r="AH18" s="87">
        <v>-8.3656043199999974</v>
      </c>
      <c r="AI18" s="87">
        <v>-3.7805615200000031</v>
      </c>
      <c r="AJ18" s="87">
        <v>-7.3860992300000285</v>
      </c>
      <c r="AK18" s="87">
        <v>-23.787282270000027</v>
      </c>
      <c r="AL18" s="87">
        <v>-6.7401593000000011</v>
      </c>
      <c r="AM18" s="87">
        <v>-3.2357254000000011</v>
      </c>
      <c r="AN18" s="87">
        <v>-3.724139799999997</v>
      </c>
      <c r="AO18" s="87">
        <v>-3.65389794000001</v>
      </c>
      <c r="AP18" s="87">
        <v>-17.353922440000009</v>
      </c>
      <c r="AQ18" s="203">
        <v>-3.2110805699999947</v>
      </c>
      <c r="AR18" s="87">
        <v>-3.5057942900000016</v>
      </c>
      <c r="AS18" s="87">
        <v>-3.1701030399999945</v>
      </c>
      <c r="AT18" s="87">
        <v>-2.5877344100000119</v>
      </c>
      <c r="AU18" s="87">
        <v>-12.474712310000003</v>
      </c>
      <c r="AV18" s="87">
        <v>-3.058185229999999</v>
      </c>
      <c r="AW18" s="87">
        <v>-2.7389395200000028</v>
      </c>
      <c r="AX18" s="87">
        <v>-2.5475281299999653</v>
      </c>
      <c r="AY18" s="87">
        <v>-2.6795289100000028</v>
      </c>
      <c r="AZ18" s="87">
        <v>-11.024181789999968</v>
      </c>
      <c r="BA18" s="87">
        <v>-2.2647235999999977</v>
      </c>
      <c r="BB18" s="87">
        <v>-2.251541089999999</v>
      </c>
    </row>
    <row r="19" spans="1:54" s="1" customFormat="1" ht="15" customHeight="1">
      <c r="A19" t="s">
        <v>132</v>
      </c>
      <c r="B19" s="9" t="str">
        <f>IF('Sumário | Summary'!P1=1,"Estacionamento","Parking Lot")</f>
        <v>Estacionamento</v>
      </c>
      <c r="C19" s="87">
        <v>-11.0278589855</v>
      </c>
      <c r="D19" s="87">
        <v>-11.684404789999999</v>
      </c>
      <c r="E19" s="87">
        <v>-10.13201193000001</v>
      </c>
      <c r="F19" s="87">
        <v>-12.596238319999989</v>
      </c>
      <c r="G19" s="87">
        <v>-45.440514025500001</v>
      </c>
      <c r="H19" s="87">
        <v>-11.744310510000005</v>
      </c>
      <c r="I19" s="87">
        <v>-12.27792769000002</v>
      </c>
      <c r="J19" s="87">
        <v>-12.057667079999995</v>
      </c>
      <c r="K19" s="87">
        <v>-13.593656710000012</v>
      </c>
      <c r="L19" s="87">
        <v>-49.673561990000024</v>
      </c>
      <c r="M19" s="87">
        <v>-12.899848279999995</v>
      </c>
      <c r="N19" s="87">
        <v>-13.259218759999987</v>
      </c>
      <c r="O19" s="87">
        <v>-13.463760979999993</v>
      </c>
      <c r="P19" s="87">
        <v>-15.027486749999982</v>
      </c>
      <c r="Q19" s="87">
        <v>-54.650314769999966</v>
      </c>
      <c r="R19" s="87">
        <v>-15.007392269999965</v>
      </c>
      <c r="S19" s="87">
        <v>-15.854841179999987</v>
      </c>
      <c r="T19" s="87">
        <v>-16.457064119999998</v>
      </c>
      <c r="U19" s="87">
        <v>-17.867810630000019</v>
      </c>
      <c r="V19" s="87">
        <v>-65.187108199999969</v>
      </c>
      <c r="W19" s="87">
        <v>-15.8</v>
      </c>
      <c r="X19" s="87">
        <v>-3.7970222200000019</v>
      </c>
      <c r="Y19" s="87">
        <v>-4.3814390600000017</v>
      </c>
      <c r="Z19" s="87">
        <v>-11.247448759999999</v>
      </c>
      <c r="AA19" s="87">
        <v>-35.225910040000002</v>
      </c>
      <c r="AB19" s="87">
        <v>-8.6140358899999949</v>
      </c>
      <c r="AC19" s="87">
        <v>-6.9133859799999993</v>
      </c>
      <c r="AD19" s="87">
        <v>-10.927970349999994</v>
      </c>
      <c r="AE19" s="87">
        <v>-15.236717499999999</v>
      </c>
      <c r="AF19" s="87">
        <v>-41.692109719999983</v>
      </c>
      <c r="AG19" s="87">
        <v>-14.675811400000001</v>
      </c>
      <c r="AH19" s="87">
        <v>-15.897009429999999</v>
      </c>
      <c r="AI19" s="87">
        <v>-16.794955560000009</v>
      </c>
      <c r="AJ19" s="87">
        <v>-20.684325820000005</v>
      </c>
      <c r="AK19" s="87">
        <v>-68.052102210000015</v>
      </c>
      <c r="AL19" s="87">
        <v>-15.794096360000005</v>
      </c>
      <c r="AM19" s="87">
        <v>-17.272593429999986</v>
      </c>
      <c r="AN19" s="87">
        <v>-17.341976940000009</v>
      </c>
      <c r="AO19" s="87">
        <v>-19.458552910000012</v>
      </c>
      <c r="AP19" s="87">
        <v>-69.867219640000016</v>
      </c>
      <c r="AQ19" s="203">
        <v>-19.073463560000015</v>
      </c>
      <c r="AR19" s="87">
        <v>-17.785351450000014</v>
      </c>
      <c r="AS19" s="87">
        <v>-20.763199380000007</v>
      </c>
      <c r="AT19" s="87">
        <v>-20.190732570000002</v>
      </c>
      <c r="AU19" s="87">
        <v>-77.812746960000027</v>
      </c>
      <c r="AV19" s="87">
        <v>-19.545772920000012</v>
      </c>
      <c r="AW19" s="87">
        <v>-18.111394430000018</v>
      </c>
      <c r="AX19" s="87">
        <v>-18.926472570000026</v>
      </c>
      <c r="AY19" s="87">
        <v>-20.124590690000026</v>
      </c>
      <c r="AZ19" s="87">
        <v>-76.708230610000072</v>
      </c>
      <c r="BA19" s="87">
        <v>-20.658131089999998</v>
      </c>
      <c r="BB19" s="87">
        <v>-18.802023229999996</v>
      </c>
    </row>
    <row r="20" spans="1:54" s="1" customFormat="1" ht="15" customHeight="1">
      <c r="A20" t="s">
        <v>133</v>
      </c>
      <c r="B20" s="9" t="str">
        <f>IF('Sumário | Summary'!P1=1,"Vendas de Propriedades","Real Estate Sales and Development")</f>
        <v>Vendas de Propriedades</v>
      </c>
      <c r="C20" s="87">
        <v>-1.0317881953889594</v>
      </c>
      <c r="D20" s="87">
        <v>-1.9318013029520669</v>
      </c>
      <c r="E20" s="87">
        <v>-16.693520685352944</v>
      </c>
      <c r="F20" s="87">
        <v>0.16608651653328635</v>
      </c>
      <c r="G20" s="87">
        <v>-28.607478837160681</v>
      </c>
      <c r="H20" s="87">
        <v>-9.2617843705810263E-2</v>
      </c>
      <c r="I20" s="87">
        <v>-0.51881041330610966</v>
      </c>
      <c r="J20" s="87">
        <v>-15.413590837179148</v>
      </c>
      <c r="K20" s="87">
        <v>0</v>
      </c>
      <c r="L20" s="87">
        <v>-16.261206367458925</v>
      </c>
      <c r="M20" s="87">
        <v>-1.5208936036413802E-2</v>
      </c>
      <c r="N20" s="87">
        <v>-40.840342304330996</v>
      </c>
      <c r="O20" s="87">
        <v>1.8167465300199581</v>
      </c>
      <c r="P20" s="87">
        <v>7.7245152319548538E-2</v>
      </c>
      <c r="Q20" s="87">
        <v>-38.9615595480279</v>
      </c>
      <c r="R20" s="87">
        <v>9.8154258596457392E-2</v>
      </c>
      <c r="S20" s="87">
        <v>-6.4071325119286716E-3</v>
      </c>
      <c r="T20" s="87">
        <v>0.33031382357486178</v>
      </c>
      <c r="U20" s="87">
        <v>-1.6775907544502873E-2</v>
      </c>
      <c r="V20" s="87">
        <v>0.40528504211488764</v>
      </c>
      <c r="W20" s="87">
        <v>2.1000000000000001E-2</v>
      </c>
      <c r="X20" s="87">
        <v>-2.1999999999999999E-2</v>
      </c>
      <c r="Y20" s="87">
        <v>-2.9750000000000001</v>
      </c>
      <c r="Z20" s="87">
        <v>-0.92100000000000004</v>
      </c>
      <c r="AA20" s="87">
        <v>-3.8970000000000002</v>
      </c>
      <c r="AB20" s="87">
        <v>-1.4660686055373138</v>
      </c>
      <c r="AC20" s="87">
        <v>-1.0018598767034015</v>
      </c>
      <c r="AD20" s="87">
        <v>-1.049240576371594</v>
      </c>
      <c r="AE20" s="87">
        <v>-304.67654159814936</v>
      </c>
      <c r="AF20" s="87">
        <v>-308.19371065676165</v>
      </c>
      <c r="AG20" s="87">
        <v>-53.477343170381154</v>
      </c>
      <c r="AH20" s="87">
        <v>-1.4882127133178713E-2</v>
      </c>
      <c r="AI20" s="87">
        <v>-3.1682355129174541E-2</v>
      </c>
      <c r="AJ20" s="87">
        <v>-9.3522543310777112E-2</v>
      </c>
      <c r="AK20" s="87">
        <v>-53.617430195954284</v>
      </c>
      <c r="AL20" s="87">
        <v>-0.66136280448852969</v>
      </c>
      <c r="AM20" s="87">
        <v>0</v>
      </c>
      <c r="AN20" s="87">
        <v>-1.3058666062153341</v>
      </c>
      <c r="AO20" s="87">
        <v>-2.4823661307763131E-2</v>
      </c>
      <c r="AP20" s="87">
        <v>-1.992053072011627</v>
      </c>
      <c r="AQ20" s="203">
        <v>0</v>
      </c>
      <c r="AR20" s="87">
        <v>-353.09503202217149</v>
      </c>
      <c r="AS20" s="87">
        <v>0.98102425335277799</v>
      </c>
      <c r="AT20" s="87">
        <v>1.2197301104590879</v>
      </c>
      <c r="AU20" s="87">
        <v>-350.89427765835967</v>
      </c>
      <c r="AV20" s="87">
        <v>0</v>
      </c>
      <c r="AW20" s="87">
        <v>-9.1944691810553078E-2</v>
      </c>
      <c r="AX20" s="87">
        <v>-9.1944690439049737E-10</v>
      </c>
      <c r="AY20" s="87">
        <v>0.23252949999999997</v>
      </c>
      <c r="AZ20" s="87">
        <v>0.14058480727</v>
      </c>
      <c r="BA20" s="87">
        <v>0</v>
      </c>
      <c r="BB20" s="87">
        <v>0</v>
      </c>
    </row>
    <row r="21" spans="1:54" s="1" customFormat="1" ht="15" customHeight="1">
      <c r="A21" s="175" t="s">
        <v>101</v>
      </c>
      <c r="B21" s="8" t="str">
        <f>IF('Sumário | Summary'!P1=1,"Custo de locação, vendas e serviços prestados","Costs of Leases, Sales and Services")</f>
        <v>Custo de locação, vendas e serviços prestados</v>
      </c>
      <c r="C21" s="126">
        <f t="shared" ref="C21:AV21" si="1">SUM(C15:C20)</f>
        <v>-32.13951982228425</v>
      </c>
      <c r="D21" s="126">
        <f t="shared" si="1"/>
        <v>-34.527915825620894</v>
      </c>
      <c r="E21" s="126">
        <f t="shared" si="1"/>
        <v>-52.295519118169857</v>
      </c>
      <c r="F21" s="126">
        <f t="shared" si="1"/>
        <v>-47.294835503556861</v>
      </c>
      <c r="G21" s="126">
        <f t="shared" si="1"/>
        <v>-166.46076253963184</v>
      </c>
      <c r="H21" s="126">
        <f t="shared" si="1"/>
        <v>-37.114167836636142</v>
      </c>
      <c r="I21" s="126">
        <f t="shared" si="1"/>
        <v>-37.744852835560351</v>
      </c>
      <c r="J21" s="126">
        <f t="shared" si="1"/>
        <v>-50.698701994618368</v>
      </c>
      <c r="K21" s="126">
        <f t="shared" si="1"/>
        <v>-43.308168004299446</v>
      </c>
      <c r="L21" s="126">
        <f t="shared" si="1"/>
        <v>-169.10207794438216</v>
      </c>
      <c r="M21" s="126">
        <f t="shared" si="1"/>
        <v>-32.500619975860694</v>
      </c>
      <c r="N21" s="126">
        <f t="shared" si="1"/>
        <v>-74.199345473130393</v>
      </c>
      <c r="O21" s="126">
        <f t="shared" si="1"/>
        <v>-40.724169848116873</v>
      </c>
      <c r="P21" s="126">
        <f t="shared" si="1"/>
        <v>-35.383372001658792</v>
      </c>
      <c r="Q21" s="126">
        <f t="shared" si="1"/>
        <v>-182.79328271876676</v>
      </c>
      <c r="R21" s="126">
        <f t="shared" si="1"/>
        <v>-34.39165073889847</v>
      </c>
      <c r="S21" s="126">
        <f t="shared" si="1"/>
        <v>-34.90140130717203</v>
      </c>
      <c r="T21" s="126">
        <f t="shared" si="1"/>
        <v>-35.266747325313951</v>
      </c>
      <c r="U21" s="126">
        <f t="shared" si="1"/>
        <v>-37.575045123312599</v>
      </c>
      <c r="V21" s="126">
        <f t="shared" si="1"/>
        <v>-142.13484449469706</v>
      </c>
      <c r="W21" s="126">
        <f t="shared" si="1"/>
        <v>-36.278999999999996</v>
      </c>
      <c r="X21" s="126">
        <f t="shared" si="1"/>
        <v>-28.219132194680189</v>
      </c>
      <c r="Y21" s="126">
        <f t="shared" si="1"/>
        <v>-30.462073444597113</v>
      </c>
      <c r="Z21" s="126">
        <f t="shared" si="1"/>
        <v>-42.014825943197621</v>
      </c>
      <c r="AA21" s="126">
        <f t="shared" si="1"/>
        <v>-136.97503158247491</v>
      </c>
      <c r="AB21" s="126">
        <f t="shared" si="1"/>
        <v>-35.071979038538473</v>
      </c>
      <c r="AC21" s="126">
        <f t="shared" si="1"/>
        <v>-33.433540547666446</v>
      </c>
      <c r="AD21" s="126">
        <f t="shared" si="1"/>
        <v>-38.253825813955174</v>
      </c>
      <c r="AE21" s="126">
        <f t="shared" si="1"/>
        <v>-370.51751734805202</v>
      </c>
      <c r="AF21" s="126">
        <f t="shared" si="1"/>
        <v>-477.27686274821212</v>
      </c>
      <c r="AG21" s="126">
        <f t="shared" si="1"/>
        <v>-89.003875389411945</v>
      </c>
      <c r="AH21" s="126">
        <f t="shared" si="1"/>
        <v>-38.775485989447517</v>
      </c>
      <c r="AI21" s="126">
        <f t="shared" si="1"/>
        <v>-36.616816664771051</v>
      </c>
      <c r="AJ21" s="126">
        <f t="shared" si="1"/>
        <v>-45.656673326478305</v>
      </c>
      <c r="AK21" s="126">
        <f t="shared" si="1"/>
        <v>-210.05285137010881</v>
      </c>
      <c r="AL21" s="126">
        <f t="shared" si="1"/>
        <v>-40.470547659407238</v>
      </c>
      <c r="AM21" s="126">
        <f t="shared" si="1"/>
        <v>-37.516103523579005</v>
      </c>
      <c r="AN21" s="126">
        <f t="shared" si="1"/>
        <v>-36.964849931385409</v>
      </c>
      <c r="AO21" s="126">
        <f t="shared" si="1"/>
        <v>-38.147882493091075</v>
      </c>
      <c r="AP21" s="126">
        <f t="shared" si="1"/>
        <v>-153.09938360746276</v>
      </c>
      <c r="AQ21" s="126">
        <f t="shared" si="1"/>
        <v>-37.62511145356001</v>
      </c>
      <c r="AR21" s="126">
        <f t="shared" si="1"/>
        <v>-507.59293927320249</v>
      </c>
      <c r="AS21" s="126">
        <f t="shared" si="1"/>
        <v>-29.190662691202533</v>
      </c>
      <c r="AT21" s="126">
        <f t="shared" si="1"/>
        <v>-27.655329129776916</v>
      </c>
      <c r="AU21" s="126">
        <f t="shared" si="1"/>
        <v>-602.06404254774202</v>
      </c>
      <c r="AV21" s="126">
        <f t="shared" si="1"/>
        <v>-28.999309889552919</v>
      </c>
      <c r="AW21" s="126">
        <v>-30.004165562505374</v>
      </c>
      <c r="AX21" s="126">
        <v>-28.304323864663726</v>
      </c>
      <c r="AY21" s="126">
        <v>-30.169463332918031</v>
      </c>
      <c r="AZ21" s="126">
        <v>-117.47726264964004</v>
      </c>
      <c r="BA21" s="126">
        <v>-28.660313407761997</v>
      </c>
      <c r="BB21" s="126">
        <f>SUM(BB15:BB20)</f>
        <v>-27.477599358240994</v>
      </c>
    </row>
    <row r="22" spans="1:54" s="1" customFormat="1" ht="15" customHeight="1">
      <c r="A22" s="175" t="s">
        <v>102</v>
      </c>
      <c r="B22" s="8" t="str">
        <f>IF('Sumário | Summary'!P1=1,"Lucro Bruto","Gross Profit")</f>
        <v>Lucro Bruto</v>
      </c>
      <c r="C22" s="126">
        <f t="shared" ref="C22:AV22" si="2">C14+C21</f>
        <v>68.528051273494611</v>
      </c>
      <c r="D22" s="126">
        <f t="shared" si="2"/>
        <v>62.89107602578953</v>
      </c>
      <c r="E22" s="126">
        <f t="shared" si="2"/>
        <v>79.352819208102432</v>
      </c>
      <c r="F22" s="126">
        <f t="shared" si="2"/>
        <v>81.436704337937357</v>
      </c>
      <c r="G22" s="126">
        <f t="shared" si="2"/>
        <v>292.00567857532394</v>
      </c>
      <c r="H22" s="126">
        <f t="shared" si="2"/>
        <v>56.135882591866192</v>
      </c>
      <c r="I22" s="126">
        <f t="shared" si="2"/>
        <v>63.534811077076029</v>
      </c>
      <c r="J22" s="126">
        <f t="shared" si="2"/>
        <v>42.183421246601476</v>
      </c>
      <c r="K22" s="126">
        <f t="shared" si="2"/>
        <v>42.35772593551394</v>
      </c>
      <c r="L22" s="126">
        <f t="shared" si="2"/>
        <v>204.97747433657472</v>
      </c>
      <c r="M22" s="126">
        <f t="shared" si="2"/>
        <v>47.208327739206005</v>
      </c>
      <c r="N22" s="126">
        <f t="shared" si="2"/>
        <v>66.823433035378912</v>
      </c>
      <c r="O22" s="126">
        <f t="shared" si="2"/>
        <v>42.218282814979148</v>
      </c>
      <c r="P22" s="126">
        <f t="shared" si="2"/>
        <v>50.607677750890311</v>
      </c>
      <c r="Q22" s="126">
        <f t="shared" si="2"/>
        <v>206.87194592045438</v>
      </c>
      <c r="R22" s="126">
        <f t="shared" si="2"/>
        <v>50.811009382918748</v>
      </c>
      <c r="S22" s="126">
        <f t="shared" si="2"/>
        <v>52.745102683303678</v>
      </c>
      <c r="T22" s="126">
        <f t="shared" si="2"/>
        <v>54.033010427535878</v>
      </c>
      <c r="U22" s="126">
        <f t="shared" si="2"/>
        <v>60.786751805735882</v>
      </c>
      <c r="V22" s="126">
        <f t="shared" si="2"/>
        <v>218.37587429949417</v>
      </c>
      <c r="W22" s="126">
        <f t="shared" si="2"/>
        <v>56.311098054118048</v>
      </c>
      <c r="X22" s="126">
        <f t="shared" si="2"/>
        <v>35.166919051812229</v>
      </c>
      <c r="Y22" s="126">
        <f t="shared" si="2"/>
        <v>63.399188584556427</v>
      </c>
      <c r="Z22" s="126">
        <f t="shared" si="2"/>
        <v>46.352005560906974</v>
      </c>
      <c r="AA22" s="126">
        <f t="shared" si="2"/>
        <v>201.22921125139374</v>
      </c>
      <c r="AB22" s="126">
        <f t="shared" si="2"/>
        <v>43.179481659763965</v>
      </c>
      <c r="AC22" s="126">
        <f t="shared" si="2"/>
        <v>43.491757489529213</v>
      </c>
      <c r="AD22" s="126">
        <f t="shared" si="2"/>
        <v>50.772440751509777</v>
      </c>
      <c r="AE22" s="126">
        <f t="shared" si="2"/>
        <v>1026.9146431612664</v>
      </c>
      <c r="AF22" s="126">
        <f t="shared" si="2"/>
        <v>1164.3583230620695</v>
      </c>
      <c r="AG22" s="126">
        <f t="shared" si="2"/>
        <v>33.167611964531858</v>
      </c>
      <c r="AH22" s="126">
        <f t="shared" si="2"/>
        <v>30.378779436004905</v>
      </c>
      <c r="AI22" s="126">
        <f t="shared" si="2"/>
        <v>37.648703719256218</v>
      </c>
      <c r="AJ22" s="126">
        <f t="shared" si="2"/>
        <v>34.060152691660015</v>
      </c>
      <c r="AK22" s="126">
        <f t="shared" si="2"/>
        <v>135.25524781145296</v>
      </c>
      <c r="AL22" s="126">
        <f t="shared" si="2"/>
        <v>33.727582114234188</v>
      </c>
      <c r="AM22" s="126">
        <f t="shared" si="2"/>
        <v>40.238406556655349</v>
      </c>
      <c r="AN22" s="126">
        <f t="shared" si="2"/>
        <v>43.555824861436655</v>
      </c>
      <c r="AO22" s="126">
        <f t="shared" si="2"/>
        <v>50.595988141378385</v>
      </c>
      <c r="AP22" s="126">
        <f t="shared" si="2"/>
        <v>168.11780167370455</v>
      </c>
      <c r="AQ22" s="126">
        <f t="shared" si="2"/>
        <v>48.304698515631628</v>
      </c>
      <c r="AR22" s="126">
        <f t="shared" si="2"/>
        <v>287.40060944034275</v>
      </c>
      <c r="AS22" s="126">
        <f t="shared" si="2"/>
        <v>18.67107527821539</v>
      </c>
      <c r="AT22" s="126">
        <f t="shared" si="2"/>
        <v>39.901601575096066</v>
      </c>
      <c r="AU22" s="126">
        <f t="shared" si="2"/>
        <v>394.27798480928573</v>
      </c>
      <c r="AV22" s="126">
        <f t="shared" si="2"/>
        <v>28.717832777288244</v>
      </c>
      <c r="AW22" s="126">
        <v>26.292036279580916</v>
      </c>
      <c r="AX22" s="126">
        <v>27.741625464901542</v>
      </c>
      <c r="AY22" s="126">
        <v>29.555369364954952</v>
      </c>
      <c r="AZ22" s="126">
        <v>112.30686388672567</v>
      </c>
      <c r="BA22" s="126">
        <v>30.746626447342003</v>
      </c>
      <c r="BB22" s="126">
        <f>BB14+BB21</f>
        <v>31.448541839666014</v>
      </c>
    </row>
    <row r="23" spans="1:54" s="1" customFormat="1" ht="15" customHeight="1">
      <c r="A23" s="175" t="s">
        <v>103</v>
      </c>
      <c r="B23" s="8" t="str">
        <f>IF('Sumário | Summary'!P1=1,"Margem Bruta","Gross Margin")</f>
        <v>Margem Bruta</v>
      </c>
      <c r="C23" s="49">
        <f t="shared" ref="C23:AV23" si="3">C22/C14</f>
        <v>0.68073611519140043</v>
      </c>
      <c r="D23" s="49">
        <f t="shared" si="3"/>
        <v>0.64557305337048609</v>
      </c>
      <c r="E23" s="49">
        <f t="shared" si="3"/>
        <v>0.6027635457990923</v>
      </c>
      <c r="F23" s="49">
        <f t="shared" si="3"/>
        <v>0.63260879531317271</v>
      </c>
      <c r="G23" s="49">
        <f t="shared" si="3"/>
        <v>0.63691832681403715</v>
      </c>
      <c r="H23" s="49">
        <f t="shared" si="3"/>
        <v>0.60199305345048892</v>
      </c>
      <c r="I23" s="49">
        <f t="shared" si="3"/>
        <v>0.62732051650448817</v>
      </c>
      <c r="J23" s="49">
        <f t="shared" si="3"/>
        <v>0.45416081991417095</v>
      </c>
      <c r="K23" s="49">
        <f t="shared" si="3"/>
        <v>0.49445262271206053</v>
      </c>
      <c r="L23" s="49">
        <f t="shared" si="3"/>
        <v>0.54795156026765124</v>
      </c>
      <c r="M23" s="49">
        <f t="shared" si="3"/>
        <v>0.59225882529474938</v>
      </c>
      <c r="N23" s="49">
        <f t="shared" si="3"/>
        <v>0.47384850690164776</v>
      </c>
      <c r="O23" s="49">
        <f t="shared" si="3"/>
        <v>0.50900692539760795</v>
      </c>
      <c r="P23" s="49">
        <f t="shared" si="3"/>
        <v>0.5885226183017972</v>
      </c>
      <c r="Q23" s="49">
        <f t="shared" si="3"/>
        <v>0.53089660230369351</v>
      </c>
      <c r="R23" s="49">
        <f t="shared" si="3"/>
        <v>0.59635473012547346</v>
      </c>
      <c r="S23" s="49">
        <f t="shared" si="3"/>
        <v>0.60179357169836845</v>
      </c>
      <c r="T23" s="49">
        <f t="shared" si="3"/>
        <v>0.60507454652990389</v>
      </c>
      <c r="U23" s="49">
        <f t="shared" si="3"/>
        <v>0.61799147335203031</v>
      </c>
      <c r="V23" s="49">
        <f t="shared" si="3"/>
        <v>0.60574030927541112</v>
      </c>
      <c r="W23" s="49">
        <f t="shared" si="3"/>
        <v>0.60817624387010305</v>
      </c>
      <c r="X23" s="49">
        <f t="shared" si="3"/>
        <v>0.55480532956780859</v>
      </c>
      <c r="Y23" s="49">
        <f t="shared" si="3"/>
        <v>0.67545638332525815</v>
      </c>
      <c r="Z23" s="49">
        <f t="shared" si="3"/>
        <v>0.52454076684591711</v>
      </c>
      <c r="AA23" s="49">
        <f t="shared" si="3"/>
        <v>0.59499316024323434</v>
      </c>
      <c r="AB23" s="49">
        <f t="shared" si="3"/>
        <v>0.55180416153817158</v>
      </c>
      <c r="AC23" s="49">
        <f t="shared" si="3"/>
        <v>0.56537652240878755</v>
      </c>
      <c r="AD23" s="49">
        <f t="shared" si="3"/>
        <v>0.57030854724402669</v>
      </c>
      <c r="AE23" s="49">
        <f t="shared" si="3"/>
        <v>0.73485831525946099</v>
      </c>
      <c r="AF23" s="49">
        <f t="shared" si="3"/>
        <v>0.70926740187245874</v>
      </c>
      <c r="AG23" s="49">
        <f t="shared" si="3"/>
        <v>0.27148406459554475</v>
      </c>
      <c r="AH23" s="49">
        <f t="shared" si="3"/>
        <v>0.43929003148407253</v>
      </c>
      <c r="AI23" s="49">
        <f t="shared" si="3"/>
        <v>0.50694728219198681</v>
      </c>
      <c r="AJ23" s="49">
        <f t="shared" si="3"/>
        <v>0.42726428525779686</v>
      </c>
      <c r="AK23" s="49">
        <f t="shared" si="3"/>
        <v>0.39169439735711564</v>
      </c>
      <c r="AL23" s="49">
        <f t="shared" si="3"/>
        <v>0.4545610814872017</v>
      </c>
      <c r="AM23" s="49">
        <f t="shared" si="3"/>
        <v>0.51750575645237307</v>
      </c>
      <c r="AN23" s="49">
        <f t="shared" si="3"/>
        <v>0.54092722115785596</v>
      </c>
      <c r="AO23" s="49">
        <f t="shared" si="3"/>
        <v>0.57013501642023423</v>
      </c>
      <c r="AP23" s="49">
        <f t="shared" si="3"/>
        <v>0.52337735767950255</v>
      </c>
      <c r="AQ23" s="49">
        <f t="shared" si="3"/>
        <v>0.56214133992557747</v>
      </c>
      <c r="AR23" s="49">
        <f t="shared" si="3"/>
        <v>0.36151313416997288</v>
      </c>
      <c r="AS23" s="49">
        <f t="shared" si="3"/>
        <v>0.39010441472362734</v>
      </c>
      <c r="AT23" s="49">
        <f t="shared" si="3"/>
        <v>0.59063668462690988</v>
      </c>
      <c r="AU23" s="49">
        <f t="shared" si="3"/>
        <v>0.39572553800142041</v>
      </c>
      <c r="AV23" s="49">
        <f t="shared" si="3"/>
        <v>0.49756158136682688</v>
      </c>
      <c r="AW23" s="49">
        <v>0.46703037539426578</v>
      </c>
      <c r="AX23" s="49">
        <v>0.49498002615270764</v>
      </c>
      <c r="AY23" s="49">
        <v>0.49485897289097847</v>
      </c>
      <c r="AZ23" s="49">
        <v>0.48874944313854485</v>
      </c>
      <c r="BA23" s="49">
        <v>0.51755950604987067</v>
      </c>
      <c r="BB23" s="49">
        <f>BB22/BB14</f>
        <v>0.5336942348565501</v>
      </c>
    </row>
    <row r="24" spans="1:54" s="1" customFormat="1" ht="15" customHeight="1">
      <c r="A24" s="175" t="s">
        <v>104</v>
      </c>
      <c r="B24" s="11" t="str">
        <f>IF('Sumário | Summary'!P1=1,"Despesas/ Receitas Operacionais","Operating Expenses/Revenues")</f>
        <v>Despesas/ Receitas Operacionais</v>
      </c>
      <c r="C24" s="126">
        <f t="shared" ref="C24:AV24" si="4">SUM(C25:C32)</f>
        <v>24.662264098033894</v>
      </c>
      <c r="D24" s="126">
        <f t="shared" si="4"/>
        <v>-8.3666845582166509</v>
      </c>
      <c r="E24" s="126">
        <f t="shared" si="4"/>
        <v>-22.118679756793828</v>
      </c>
      <c r="F24" s="126">
        <f t="shared" si="4"/>
        <v>-11.809927998689204</v>
      </c>
      <c r="G24" s="126">
        <f t="shared" si="4"/>
        <v>-17.633028215665796</v>
      </c>
      <c r="H24" s="126">
        <f t="shared" si="4"/>
        <v>-16.253</v>
      </c>
      <c r="I24" s="126">
        <f t="shared" si="4"/>
        <v>-16.544</v>
      </c>
      <c r="J24" s="126">
        <f t="shared" si="4"/>
        <v>256.56900000000002</v>
      </c>
      <c r="K24" s="126">
        <f t="shared" si="4"/>
        <v>-18.423999999999999</v>
      </c>
      <c r="L24" s="126">
        <f t="shared" si="4"/>
        <v>205.34799999999998</v>
      </c>
      <c r="M24" s="126">
        <f t="shared" si="4"/>
        <v>-0.70600000000000129</v>
      </c>
      <c r="N24" s="126">
        <f t="shared" si="4"/>
        <v>2.7999999999998693E-2</v>
      </c>
      <c r="O24" s="126">
        <f t="shared" si="4"/>
        <v>-36.424999999999997</v>
      </c>
      <c r="P24" s="126">
        <f t="shared" si="4"/>
        <v>-28.687000000000001</v>
      </c>
      <c r="Q24" s="126">
        <f t="shared" si="4"/>
        <v>-65.790000000000006</v>
      </c>
      <c r="R24" s="126">
        <f t="shared" si="4"/>
        <v>-7.4291543470330019</v>
      </c>
      <c r="S24" s="126">
        <f t="shared" si="4"/>
        <v>-30.759</v>
      </c>
      <c r="T24" s="126">
        <f t="shared" si="4"/>
        <v>-5.7423023286300143</v>
      </c>
      <c r="U24" s="126">
        <f t="shared" si="4"/>
        <v>11.947000000000003</v>
      </c>
      <c r="V24" s="126">
        <f t="shared" si="4"/>
        <v>-31.983456675663021</v>
      </c>
      <c r="W24" s="126">
        <f t="shared" si="4"/>
        <v>-9.9400000000000013</v>
      </c>
      <c r="X24" s="126">
        <f t="shared" si="4"/>
        <v>-19.084</v>
      </c>
      <c r="Y24" s="126">
        <f t="shared" si="4"/>
        <v>-14.744999999999999</v>
      </c>
      <c r="Z24" s="126">
        <f t="shared" si="4"/>
        <v>-13.392000000000001</v>
      </c>
      <c r="AA24" s="126">
        <f t="shared" si="4"/>
        <v>-57.161000000000001</v>
      </c>
      <c r="AB24" s="126">
        <f t="shared" si="4"/>
        <v>-9.6381739930610006</v>
      </c>
      <c r="AC24" s="126">
        <f t="shared" si="4"/>
        <v>-7.6935084345932214</v>
      </c>
      <c r="AD24" s="126">
        <f t="shared" si="4"/>
        <v>-5.3881379561069727</v>
      </c>
      <c r="AE24" s="126">
        <f t="shared" si="4"/>
        <v>321.35823668092956</v>
      </c>
      <c r="AF24" s="126">
        <f t="shared" si="4"/>
        <v>298.63841629716836</v>
      </c>
      <c r="AG24" s="126">
        <f t="shared" si="4"/>
        <v>-3.3321703540830074</v>
      </c>
      <c r="AH24" s="126">
        <f t="shared" si="4"/>
        <v>-16.027586769973752</v>
      </c>
      <c r="AI24" s="126">
        <f t="shared" si="4"/>
        <v>-8.4124065593763611</v>
      </c>
      <c r="AJ24" s="126">
        <f t="shared" si="4"/>
        <v>-34.352629567902049</v>
      </c>
      <c r="AK24" s="126">
        <f t="shared" si="4"/>
        <v>-62.12479325133517</v>
      </c>
      <c r="AL24" s="126">
        <f t="shared" si="4"/>
        <v>-10.822134959613127</v>
      </c>
      <c r="AM24" s="126">
        <f t="shared" si="4"/>
        <v>-15.849162826106982</v>
      </c>
      <c r="AN24" s="126">
        <f t="shared" si="4"/>
        <v>-13.432768507193298</v>
      </c>
      <c r="AO24" s="126">
        <f t="shared" si="4"/>
        <v>-18.128696300014603</v>
      </c>
      <c r="AP24" s="126">
        <f t="shared" si="4"/>
        <v>-58.232762592928005</v>
      </c>
      <c r="AQ24" s="126">
        <f t="shared" si="4"/>
        <v>-13.048668319769675</v>
      </c>
      <c r="AR24" s="126">
        <f t="shared" si="4"/>
        <v>292.60670388049101</v>
      </c>
      <c r="AS24" s="126">
        <f t="shared" si="4"/>
        <v>-15.726846822001939</v>
      </c>
      <c r="AT24" s="126">
        <f t="shared" si="4"/>
        <v>18.417245626476298</v>
      </c>
      <c r="AU24" s="126">
        <f t="shared" si="4"/>
        <v>282.24843436519569</v>
      </c>
      <c r="AV24" s="126">
        <f t="shared" si="4"/>
        <v>-0.44714788328358779</v>
      </c>
      <c r="AW24" s="126">
        <v>2.6376949088134349</v>
      </c>
      <c r="AX24" s="126">
        <v>-2.6461023457771375</v>
      </c>
      <c r="AY24" s="126">
        <v>-13.101199297070963</v>
      </c>
      <c r="AZ24" s="126">
        <v>-13.556754617318255</v>
      </c>
      <c r="BA24" s="126">
        <v>-4.1793598643759999</v>
      </c>
      <c r="BB24" s="126">
        <f>SUM(BB25:BB32)</f>
        <v>-11.48799703863199</v>
      </c>
    </row>
    <row r="25" spans="1:54" s="1" customFormat="1" ht="15" customHeight="1">
      <c r="A25" t="s">
        <v>134</v>
      </c>
      <c r="B25" s="89" t="str">
        <f>IF('Sumário | Summary'!P1=1,"Comerciais ","Commercial")</f>
        <v xml:space="preserve">Comerciais </v>
      </c>
      <c r="C25" s="87">
        <v>-1.5247359019661109</v>
      </c>
      <c r="D25" s="87">
        <v>-2.4076845582166495</v>
      </c>
      <c r="E25" s="87">
        <v>-3.0196797567938258</v>
      </c>
      <c r="F25" s="87">
        <f>G25-SUM(C25:E25)</f>
        <v>-6.7094646475459303</v>
      </c>
      <c r="G25" s="87">
        <v>-13.661564864522516</v>
      </c>
      <c r="H25" s="87">
        <v>-6.65</v>
      </c>
      <c r="I25" s="87">
        <v>-2.492</v>
      </c>
      <c r="J25" s="87">
        <v>-4.4800000000000004</v>
      </c>
      <c r="K25" s="87">
        <v>-4.0579999999999998</v>
      </c>
      <c r="L25" s="87">
        <v>-17.68</v>
      </c>
      <c r="M25" s="87">
        <v>-2.9630000000000001</v>
      </c>
      <c r="N25" s="87">
        <v>-2.4529999999999998</v>
      </c>
      <c r="O25" s="87">
        <v>-2.9769999999999999</v>
      </c>
      <c r="P25" s="87">
        <v>-4.83</v>
      </c>
      <c r="Q25" s="87">
        <v>-13.223000000000001</v>
      </c>
      <c r="R25" s="87">
        <v>-3.2280000000000002</v>
      </c>
      <c r="S25" s="87">
        <v>-1.9810000000000001</v>
      </c>
      <c r="T25" s="87">
        <v>-4.5969168986675006</v>
      </c>
      <c r="U25" s="87">
        <v>-1.2729999999999999</v>
      </c>
      <c r="V25" s="87">
        <v>-11.078916898667501</v>
      </c>
      <c r="W25" s="87">
        <v>-3.004</v>
      </c>
      <c r="X25" s="87">
        <v>-8.4749999999999996</v>
      </c>
      <c r="Y25" s="87">
        <v>-6.1390000000000002</v>
      </c>
      <c r="Z25" s="87">
        <v>-1.115</v>
      </c>
      <c r="AA25" s="87">
        <v>-18.732999999999997</v>
      </c>
      <c r="AB25" s="87">
        <v>-5.700333736316999</v>
      </c>
      <c r="AC25" s="87">
        <v>2.1873111368674998</v>
      </c>
      <c r="AD25" s="87">
        <v>-0.76932741494848511</v>
      </c>
      <c r="AE25" s="87">
        <v>-45.06200045983352</v>
      </c>
      <c r="AF25" s="87">
        <v>-49.344350474231504</v>
      </c>
      <c r="AG25" s="87">
        <v>-0.74327468314749967</v>
      </c>
      <c r="AH25" s="87">
        <v>-3.7192542866382872</v>
      </c>
      <c r="AI25" s="87">
        <v>-1.3913861330931314</v>
      </c>
      <c r="AJ25" s="87">
        <v>-3.8388589700267239</v>
      </c>
      <c r="AK25" s="87">
        <v>-9.6927740729056424</v>
      </c>
      <c r="AL25" s="87">
        <v>-3.289297240994847E-2</v>
      </c>
      <c r="AM25" s="87">
        <v>-1.6273192763139963</v>
      </c>
      <c r="AN25" s="87">
        <v>-2.5688398959654668</v>
      </c>
      <c r="AO25" s="87">
        <v>-1.6331938598407996</v>
      </c>
      <c r="AP25" s="87">
        <v>-5.8622460045302116</v>
      </c>
      <c r="AQ25" s="87">
        <v>-4.3149235097944993</v>
      </c>
      <c r="AR25" s="87">
        <v>-5.4164097460141667</v>
      </c>
      <c r="AS25" s="87">
        <v>-2.3960374443399997</v>
      </c>
      <c r="AT25" s="87">
        <v>-1.1126449591899983</v>
      </c>
      <c r="AU25" s="87">
        <v>-13.240015659338663</v>
      </c>
      <c r="AV25" s="87">
        <v>-1.1474907052959999</v>
      </c>
      <c r="AW25" s="87">
        <v>-2.0750788883949998</v>
      </c>
      <c r="AX25" s="87">
        <v>-1.3585150502449992</v>
      </c>
      <c r="AY25" s="87">
        <v>-1.4688700370189991</v>
      </c>
      <c r="AZ25" s="87">
        <v>-6.0499546809549978</v>
      </c>
      <c r="BA25" s="87">
        <v>-1.8384119457070001</v>
      </c>
      <c r="BB25" s="87">
        <v>-1.8823845441249991</v>
      </c>
    </row>
    <row r="26" spans="1:54" s="1" customFormat="1" ht="15" customHeight="1">
      <c r="A26" t="s">
        <v>135</v>
      </c>
      <c r="B26" s="84" t="str">
        <f>IF('Sumário | Summary'!P1=1,"Gerais e Administrativas","General and Administrative")</f>
        <v>Gerais e Administrativas</v>
      </c>
      <c r="C26" s="87">
        <v>-5.6</v>
      </c>
      <c r="D26" s="87">
        <v>-6.3250000000000002</v>
      </c>
      <c r="E26" s="87">
        <v>-17.844000000000001</v>
      </c>
      <c r="F26" s="87">
        <f>G26-SUM(C26:E26)</f>
        <v>-6.6933136046969572</v>
      </c>
      <c r="G26" s="87">
        <v>-36.462313604696959</v>
      </c>
      <c r="H26" s="87">
        <v>-8.298</v>
      </c>
      <c r="I26" s="87">
        <v>-10.923999999999999</v>
      </c>
      <c r="J26" s="87">
        <v>-10.419</v>
      </c>
      <c r="K26" s="87">
        <v>-8.8710000000000004</v>
      </c>
      <c r="L26" s="87">
        <v>-38.512</v>
      </c>
      <c r="M26" s="87">
        <v>-5.617</v>
      </c>
      <c r="N26" s="87">
        <v>-6.7030000000000003</v>
      </c>
      <c r="O26" s="87">
        <v>-8.2319999999999993</v>
      </c>
      <c r="P26" s="87">
        <v>-8.6630000000000003</v>
      </c>
      <c r="Q26" s="87">
        <v>-29.215</v>
      </c>
      <c r="R26" s="87">
        <v>-0.96399999999999997</v>
      </c>
      <c r="S26" s="87">
        <v>-5.4029999999999996</v>
      </c>
      <c r="T26" s="87">
        <v>-7.896166802444502</v>
      </c>
      <c r="U26" s="87">
        <v>-9.8940000000000001</v>
      </c>
      <c r="V26" s="87">
        <v>-24.1571668024445</v>
      </c>
      <c r="W26" s="87">
        <v>-5.6079999999999997</v>
      </c>
      <c r="X26" s="87">
        <v>-4.2960000000000003</v>
      </c>
      <c r="Y26" s="87">
        <v>-5.117</v>
      </c>
      <c r="Z26" s="87">
        <v>-7.548</v>
      </c>
      <c r="AA26" s="87">
        <v>-22.569000000000003</v>
      </c>
      <c r="AB26" s="87">
        <v>-6.4649939467440012</v>
      </c>
      <c r="AC26" s="87">
        <v>-7.0930693199824999</v>
      </c>
      <c r="AD26" s="87">
        <v>-3.9381532735114977</v>
      </c>
      <c r="AE26" s="87">
        <v>-12.873819682208506</v>
      </c>
      <c r="AF26" s="87">
        <v>-30.370036222446505</v>
      </c>
      <c r="AG26" s="87">
        <v>-6.4120837892831677</v>
      </c>
      <c r="AH26" s="87">
        <v>-5.8049279990127998</v>
      </c>
      <c r="AI26" s="87">
        <v>-9.3571505146761993</v>
      </c>
      <c r="AJ26" s="87">
        <v>-4.9059999999999997</v>
      </c>
      <c r="AK26" s="87">
        <v>-26.480162302972165</v>
      </c>
      <c r="AL26" s="87">
        <v>-7.2392057075854988</v>
      </c>
      <c r="AM26" s="87">
        <v>-7.7504898690107913</v>
      </c>
      <c r="AN26" s="87">
        <v>-7.305537088252799</v>
      </c>
      <c r="AO26" s="87">
        <v>-10.510357505051132</v>
      </c>
      <c r="AP26" s="87">
        <v>-32.805590169900221</v>
      </c>
      <c r="AQ26" s="87">
        <v>-6.7490537696498416</v>
      </c>
      <c r="AR26" s="87">
        <v>-12.869714041153186</v>
      </c>
      <c r="AS26" s="87">
        <v>-6.4802180775995364</v>
      </c>
      <c r="AT26" s="87">
        <v>-17.186881714768596</v>
      </c>
      <c r="AU26" s="87">
        <v>-43.285867603171162</v>
      </c>
      <c r="AV26" s="87">
        <v>-7.220533318696611</v>
      </c>
      <c r="AW26" s="87">
        <v>-5.8685208746391249</v>
      </c>
      <c r="AX26" s="87">
        <v>-5.3870978804239149</v>
      </c>
      <c r="AY26" s="87">
        <v>-8.8086564562570064</v>
      </c>
      <c r="AZ26" s="87">
        <v>-27.284808530016655</v>
      </c>
      <c r="BA26" s="87">
        <v>-6.675315426669</v>
      </c>
      <c r="BB26" s="87">
        <v>-5.8115731724469955</v>
      </c>
    </row>
    <row r="27" spans="1:54" s="1" customFormat="1" ht="15" customHeight="1">
      <c r="A27" s="175" t="s">
        <v>105</v>
      </c>
      <c r="B27" s="86" t="str">
        <f>IF('Sumário | Summary'!P1=1,"Plano de Opções","Options Plan")</f>
        <v>Plano de Opções</v>
      </c>
      <c r="C27" s="87" t="s">
        <v>18</v>
      </c>
      <c r="D27" s="87" t="s">
        <v>18</v>
      </c>
      <c r="E27" s="87" t="s">
        <v>18</v>
      </c>
      <c r="F27" s="87" t="s">
        <v>18</v>
      </c>
      <c r="G27" s="87" t="s">
        <v>18</v>
      </c>
      <c r="H27" s="87" t="s">
        <v>18</v>
      </c>
      <c r="I27" s="87" t="s">
        <v>18</v>
      </c>
      <c r="J27" s="87" t="s">
        <v>18</v>
      </c>
      <c r="K27" s="87" t="s">
        <v>18</v>
      </c>
      <c r="L27" s="87" t="s">
        <v>18</v>
      </c>
      <c r="M27" s="87" t="s">
        <v>18</v>
      </c>
      <c r="N27" s="87" t="s">
        <v>18</v>
      </c>
      <c r="O27" s="87" t="s">
        <v>18</v>
      </c>
      <c r="P27" s="87">
        <v>0</v>
      </c>
      <c r="Q27" s="87">
        <v>0</v>
      </c>
      <c r="R27" s="87">
        <v>0</v>
      </c>
      <c r="S27" s="87">
        <v>0</v>
      </c>
      <c r="T27" s="87">
        <v>0</v>
      </c>
      <c r="U27" s="87">
        <v>0</v>
      </c>
      <c r="V27" s="87">
        <v>0</v>
      </c>
      <c r="W27" s="87">
        <v>0</v>
      </c>
      <c r="X27" s="87">
        <v>0</v>
      </c>
      <c r="Y27" s="87">
        <v>0</v>
      </c>
      <c r="Z27" s="87">
        <v>0</v>
      </c>
      <c r="AA27" s="87">
        <v>0</v>
      </c>
      <c r="AB27" s="87">
        <v>0</v>
      </c>
      <c r="AC27" s="87">
        <v>0</v>
      </c>
      <c r="AD27" s="87">
        <v>0</v>
      </c>
      <c r="AE27" s="87">
        <v>0</v>
      </c>
      <c r="AF27" s="87">
        <v>0</v>
      </c>
      <c r="AG27" s="87">
        <v>0</v>
      </c>
      <c r="AH27" s="87">
        <v>0</v>
      </c>
      <c r="AI27" s="87">
        <v>0</v>
      </c>
      <c r="AJ27" s="87">
        <v>0</v>
      </c>
      <c r="AK27" s="87">
        <v>0</v>
      </c>
      <c r="AL27" s="87">
        <v>0</v>
      </c>
      <c r="AM27" s="87">
        <v>0</v>
      </c>
      <c r="AN27" s="87">
        <v>0</v>
      </c>
      <c r="AO27" s="87">
        <v>0</v>
      </c>
      <c r="AP27" s="87">
        <v>0</v>
      </c>
      <c r="AQ27" s="87">
        <v>0</v>
      </c>
      <c r="AR27" s="87">
        <v>0</v>
      </c>
      <c r="AS27" s="87">
        <v>0</v>
      </c>
      <c r="AT27" s="87">
        <v>0</v>
      </c>
      <c r="AU27" s="87">
        <v>0</v>
      </c>
      <c r="AV27" s="87">
        <v>0</v>
      </c>
      <c r="AW27" s="87">
        <v>0</v>
      </c>
      <c r="AX27" s="87">
        <v>0</v>
      </c>
      <c r="AY27" s="87">
        <v>0</v>
      </c>
      <c r="AZ27" s="87">
        <v>0</v>
      </c>
      <c r="BA27" s="87">
        <v>0</v>
      </c>
      <c r="BB27" s="87">
        <v>0</v>
      </c>
    </row>
    <row r="28" spans="1:54" s="1" customFormat="1" ht="15" customHeight="1">
      <c r="A28" t="s">
        <v>136</v>
      </c>
      <c r="B28" s="86" t="str">
        <f>IF('Sumário | Summary'!P1=1,"Remuneração da administração","Management Compensation")</f>
        <v>Remuneração da administração</v>
      </c>
      <c r="C28" s="87">
        <v>-1.7669999999999999</v>
      </c>
      <c r="D28" s="87">
        <v>-1.8029999999999999</v>
      </c>
      <c r="E28" s="87">
        <v>-1.617</v>
      </c>
      <c r="F28" s="87">
        <f>G28-SUM(C28:E28)</f>
        <v>-3.1534732400000003</v>
      </c>
      <c r="G28" s="87">
        <v>-8.3404732399999997</v>
      </c>
      <c r="H28" s="87">
        <v>-1.5509999999999999</v>
      </c>
      <c r="I28" s="87">
        <v>-1.8979999999999999</v>
      </c>
      <c r="J28" s="87">
        <v>-1.893</v>
      </c>
      <c r="K28" s="87">
        <v>-1.3660000000000001</v>
      </c>
      <c r="L28" s="87">
        <v>-6.7080000000000002</v>
      </c>
      <c r="M28" s="87">
        <v>-1.3169999999999999</v>
      </c>
      <c r="N28" s="87">
        <v>-1.323</v>
      </c>
      <c r="O28" s="87">
        <v>-1.331</v>
      </c>
      <c r="P28" s="87">
        <v>-1.339</v>
      </c>
      <c r="Q28" s="87">
        <v>-5.31</v>
      </c>
      <c r="R28" s="87">
        <v>-1.3959999999999999</v>
      </c>
      <c r="S28" s="87">
        <v>-1.883</v>
      </c>
      <c r="T28" s="87">
        <v>-1.1648207436840001</v>
      </c>
      <c r="U28" s="87">
        <v>-1.222</v>
      </c>
      <c r="V28" s="87">
        <v>-5.6658207436839998</v>
      </c>
      <c r="W28" s="87">
        <v>-2.319</v>
      </c>
      <c r="X28" s="87">
        <v>-1.18</v>
      </c>
      <c r="Y28" s="87">
        <v>-1.179</v>
      </c>
      <c r="Z28" s="87">
        <v>-1.179</v>
      </c>
      <c r="AA28" s="87">
        <v>-5.8570000000000002</v>
      </c>
      <c r="AB28" s="87">
        <v>-3.3119999999999998</v>
      </c>
      <c r="AC28" s="87">
        <v>-1.034</v>
      </c>
      <c r="AD28" s="87">
        <v>-1.002</v>
      </c>
      <c r="AE28" s="87">
        <v>-1.0109999999999999</v>
      </c>
      <c r="AF28" s="87">
        <v>-6.359</v>
      </c>
      <c r="AG28" s="87">
        <v>-1.8455999999999999</v>
      </c>
      <c r="AH28" s="87">
        <v>-2.3469711500000003</v>
      </c>
      <c r="AI28" s="87">
        <v>-1.2275999999999994</v>
      </c>
      <c r="AJ28" s="87">
        <v>-1.0835999999999995</v>
      </c>
      <c r="AK28" s="87">
        <v>-6.5037711499999995</v>
      </c>
      <c r="AL28" s="87">
        <v>-2</v>
      </c>
      <c r="AM28" s="87">
        <v>-1.0595999999999994</v>
      </c>
      <c r="AN28" s="87">
        <v>-1.0813118900000001</v>
      </c>
      <c r="AO28" s="87">
        <v>-1.1126057099999989</v>
      </c>
      <c r="AP28" s="87">
        <v>-5.2535175999999986</v>
      </c>
      <c r="AQ28" s="87">
        <v>-2.4001218799999999</v>
      </c>
      <c r="AR28" s="87">
        <v>-1.2800057099999995</v>
      </c>
      <c r="AS28" s="87">
        <v>-2.5400057099999991</v>
      </c>
      <c r="AT28" s="87">
        <v>-1.0395610399999995</v>
      </c>
      <c r="AU28" s="87">
        <v>-7.2596943399999985</v>
      </c>
      <c r="AV28" s="87">
        <v>-1.32800571</v>
      </c>
      <c r="AW28" s="87">
        <v>-3.0768852</v>
      </c>
      <c r="AX28" s="87">
        <v>-1.2373774199999998</v>
      </c>
      <c r="AY28" s="87">
        <v>-1.2370474199999999</v>
      </c>
      <c r="AZ28" s="87">
        <v>-6.8793157499999991</v>
      </c>
      <c r="BA28" s="87">
        <v>-1.2373774200000003</v>
      </c>
      <c r="BB28" s="87">
        <v>-2.2012043199999995</v>
      </c>
    </row>
    <row r="29" spans="1:54" s="1" customFormat="1" ht="15" customHeight="1">
      <c r="A29" t="s">
        <v>137</v>
      </c>
      <c r="B29" s="9" t="str">
        <f>IF('Sumário | Summary'!P1=1,"Participação de empregados e administradores","Profit Sharing")</f>
        <v>Participação de empregados e administradores</v>
      </c>
      <c r="C29" s="87">
        <v>1.43</v>
      </c>
      <c r="D29" s="87">
        <v>-2.27</v>
      </c>
      <c r="E29" s="87">
        <v>-2.27</v>
      </c>
      <c r="F29" s="87">
        <f>G29-SUM(C29:E29)</f>
        <v>0.83750666000000029</v>
      </c>
      <c r="G29" s="87">
        <v>-2.27249334</v>
      </c>
      <c r="H29" s="87">
        <v>-1.831</v>
      </c>
      <c r="I29" s="87">
        <v>-0.92900000000000005</v>
      </c>
      <c r="J29" s="87">
        <v>-1.3460000000000001</v>
      </c>
      <c r="K29" s="87">
        <v>-2.1179999999999999</v>
      </c>
      <c r="L29" s="87">
        <v>-6.2240000000000002</v>
      </c>
      <c r="M29" s="87">
        <v>-0.90700000000000003</v>
      </c>
      <c r="N29" s="87">
        <v>-2.0449999999999999</v>
      </c>
      <c r="O29" s="87">
        <v>-4.1719999999999997</v>
      </c>
      <c r="P29" s="87">
        <v>-1.7470000000000001</v>
      </c>
      <c r="Q29" s="87">
        <v>-8.8710000000000004</v>
      </c>
      <c r="R29" s="87">
        <v>-1.5620000000000001</v>
      </c>
      <c r="S29" s="87">
        <v>-1.7470000000000001</v>
      </c>
      <c r="T29" s="87">
        <v>-1.5477710099999999</v>
      </c>
      <c r="U29" s="87">
        <v>-7.3570000000000002</v>
      </c>
      <c r="V29" s="87">
        <v>-12.21377101</v>
      </c>
      <c r="W29" s="87">
        <v>1.1830000000000001</v>
      </c>
      <c r="X29" s="87">
        <v>-1.968</v>
      </c>
      <c r="Y29" s="87">
        <v>-2.8639999999999999</v>
      </c>
      <c r="Z29" s="87">
        <v>-2.278</v>
      </c>
      <c r="AA29" s="87">
        <v>-5.9269999999999996</v>
      </c>
      <c r="AB29" s="87">
        <v>5.7960000000000003</v>
      </c>
      <c r="AC29" s="87">
        <v>-1.5820000000000001</v>
      </c>
      <c r="AD29" s="87">
        <v>-1.581</v>
      </c>
      <c r="AE29" s="87">
        <v>-8.2840000000000007</v>
      </c>
      <c r="AF29" s="87">
        <v>-5.6509999999999998</v>
      </c>
      <c r="AG29" s="87">
        <v>3.9534925600000017</v>
      </c>
      <c r="AH29" s="87">
        <v>-1.9423237900000003</v>
      </c>
      <c r="AI29" s="87">
        <v>-1.9055391600000002</v>
      </c>
      <c r="AJ29" s="87">
        <v>-2.34466697</v>
      </c>
      <c r="AK29" s="87">
        <v>-2.2390373599999993</v>
      </c>
      <c r="AL29" s="87">
        <v>-2.0994662600000011</v>
      </c>
      <c r="AM29" s="87">
        <v>-2.1906572900000012</v>
      </c>
      <c r="AN29" s="87">
        <v>-2.0333110800000012</v>
      </c>
      <c r="AO29" s="87">
        <v>-3.3533110800000014</v>
      </c>
      <c r="AP29" s="87">
        <v>-9.6767457100000041</v>
      </c>
      <c r="AQ29" s="87">
        <v>-0.91292494000000002</v>
      </c>
      <c r="AR29" s="87">
        <v>-9.6748360900000012</v>
      </c>
      <c r="AS29" s="87">
        <v>-0.87483609000000073</v>
      </c>
      <c r="AT29" s="87">
        <v>-3.3148360900000009</v>
      </c>
      <c r="AU29" s="87">
        <v>-14.777433210000002</v>
      </c>
      <c r="AV29" s="87">
        <v>-2.1088607399999999</v>
      </c>
      <c r="AW29" s="87">
        <v>-0.46358396000000174</v>
      </c>
      <c r="AX29" s="87">
        <v>-2.1088607400000008</v>
      </c>
      <c r="AY29" s="87">
        <v>-3.0494377800000021</v>
      </c>
      <c r="AZ29" s="87">
        <v>-7.7307432200000044</v>
      </c>
      <c r="BA29" s="87">
        <v>-2.3615435100000002</v>
      </c>
      <c r="BB29" s="87">
        <v>-0.42285218999999913</v>
      </c>
    </row>
    <row r="30" spans="1:54" s="1" customFormat="1" ht="15" customHeight="1">
      <c r="A30" t="s">
        <v>138</v>
      </c>
      <c r="B30" s="9" t="str">
        <f>IF('Sumário | Summary'!P1=1,"Equivalência patrimonial","Equity")</f>
        <v>Equivalência patrimonial</v>
      </c>
      <c r="C30" s="87">
        <v>0</v>
      </c>
      <c r="D30" s="87">
        <v>0</v>
      </c>
      <c r="E30" s="87">
        <v>-0.29299999999999998</v>
      </c>
      <c r="F30" s="87">
        <f>G30-SUM(C30:E30)</f>
        <v>0.23721299155566095</v>
      </c>
      <c r="G30" s="87">
        <v>-5.5787008444339037E-2</v>
      </c>
      <c r="H30" s="87">
        <v>2.3159999999999998</v>
      </c>
      <c r="I30" s="87">
        <v>-1.4570000000000001</v>
      </c>
      <c r="J30" s="87">
        <v>-0.501</v>
      </c>
      <c r="K30" s="87">
        <v>0.33700000000000002</v>
      </c>
      <c r="L30" s="87">
        <v>0.69499999999999995</v>
      </c>
      <c r="M30" s="87">
        <v>-0.31900000000000001</v>
      </c>
      <c r="N30" s="87">
        <v>0.503</v>
      </c>
      <c r="O30" s="87">
        <v>3.9E-2</v>
      </c>
      <c r="P30" s="87">
        <v>0.74399999999999999</v>
      </c>
      <c r="Q30" s="87">
        <v>0.96699999999999997</v>
      </c>
      <c r="R30" s="87">
        <v>0.30526678364199772</v>
      </c>
      <c r="S30" s="87">
        <v>0.29699999999999999</v>
      </c>
      <c r="T30" s="87">
        <v>0.19028876999998837</v>
      </c>
      <c r="U30" s="87">
        <v>0.29699999999999999</v>
      </c>
      <c r="V30" s="87">
        <v>1.0895555536419861</v>
      </c>
      <c r="W30" s="87">
        <v>0.26400000000000001</v>
      </c>
      <c r="X30" s="87">
        <v>0.154</v>
      </c>
      <c r="Y30" s="87">
        <v>-0.52900000000000003</v>
      </c>
      <c r="Z30" s="87">
        <v>1.1359999999999999</v>
      </c>
      <c r="AA30" s="87">
        <v>1.0249999999999999</v>
      </c>
      <c r="AB30" s="87">
        <v>-9.8000000000000004E-2</v>
      </c>
      <c r="AC30" s="87">
        <v>2.5999999999999999E-2</v>
      </c>
      <c r="AD30" s="87">
        <v>0.79</v>
      </c>
      <c r="AE30" s="87">
        <v>0.18123650862855323</v>
      </c>
      <c r="AF30" s="87">
        <v>0.8992365086285532</v>
      </c>
      <c r="AG30" s="87">
        <v>5.6785118725988994E-2</v>
      </c>
      <c r="AH30" s="87">
        <v>2.996851843994483E-2</v>
      </c>
      <c r="AI30" s="87">
        <v>0.16330127224488933</v>
      </c>
      <c r="AJ30" s="87">
        <v>-1.8275036278753245</v>
      </c>
      <c r="AK30" s="87">
        <v>-1.5774487184645014</v>
      </c>
      <c r="AL30" s="87">
        <v>2.009821413232386E-2</v>
      </c>
      <c r="AM30" s="87">
        <v>-0.53728662574221198</v>
      </c>
      <c r="AN30" s="87">
        <v>-0.2919620161310138</v>
      </c>
      <c r="AO30" s="87">
        <v>-0.97250746846011293</v>
      </c>
      <c r="AP30" s="87">
        <v>-1.7816578962010148</v>
      </c>
      <c r="AQ30" s="87">
        <v>-9.3826401213333008E-2</v>
      </c>
      <c r="AR30" s="87">
        <v>-0.82112372199310368</v>
      </c>
      <c r="AS30" s="87">
        <v>-1.5302067312895951</v>
      </c>
      <c r="AT30" s="87">
        <v>1.3794013437722024</v>
      </c>
      <c r="AU30" s="87">
        <v>-1.0657555107238292</v>
      </c>
      <c r="AV30" s="87">
        <v>-0.47152647760564087</v>
      </c>
      <c r="AW30" s="87">
        <v>-3.5468461324670755</v>
      </c>
      <c r="AX30" s="87">
        <v>5.5316021645210771</v>
      </c>
      <c r="AY30" s="87">
        <v>-3.4640403730929457</v>
      </c>
      <c r="AZ30" s="87">
        <v>-1.9508108186445847</v>
      </c>
      <c r="BA30" s="87">
        <v>-0.57910115000000006</v>
      </c>
      <c r="BB30" s="87">
        <v>-0.24191667999999994</v>
      </c>
    </row>
    <row r="31" spans="1:54" s="1" customFormat="1" ht="15" customHeight="1">
      <c r="A31" t="s">
        <v>106</v>
      </c>
      <c r="B31" s="9" t="str">
        <f>IF('Sumário | Summary'!P1=1,"Amortização de Ágios e outros resultados em investimentos","Amortization of goodwill and other income from investments ")</f>
        <v>Amortização de Ágios e outros resultados em investimentos</v>
      </c>
      <c r="C31" s="87">
        <v>0</v>
      </c>
      <c r="D31" s="87">
        <v>0</v>
      </c>
      <c r="E31" s="87">
        <v>0</v>
      </c>
      <c r="F31" s="87">
        <v>0</v>
      </c>
      <c r="G31" s="87">
        <v>0</v>
      </c>
      <c r="H31" s="87">
        <v>0</v>
      </c>
      <c r="I31" s="87">
        <v>0</v>
      </c>
      <c r="J31" s="87">
        <v>0</v>
      </c>
      <c r="K31" s="87">
        <v>0</v>
      </c>
      <c r="L31" s="87">
        <v>0</v>
      </c>
      <c r="M31" s="87">
        <v>0</v>
      </c>
      <c r="N31" s="87">
        <v>0</v>
      </c>
      <c r="O31" s="87">
        <v>0</v>
      </c>
      <c r="P31" s="87">
        <v>0</v>
      </c>
      <c r="Q31" s="87">
        <v>0</v>
      </c>
      <c r="R31" s="87">
        <v>0</v>
      </c>
      <c r="S31" s="87">
        <v>0</v>
      </c>
      <c r="T31" s="87">
        <v>0</v>
      </c>
      <c r="U31" s="87">
        <v>0</v>
      </c>
      <c r="V31" s="87">
        <v>0</v>
      </c>
      <c r="W31" s="87">
        <v>0</v>
      </c>
      <c r="X31" s="87">
        <v>0</v>
      </c>
      <c r="Y31" s="87">
        <v>0</v>
      </c>
      <c r="Z31" s="87">
        <v>0</v>
      </c>
      <c r="AA31" s="87">
        <v>0</v>
      </c>
      <c r="AB31" s="87">
        <v>0</v>
      </c>
      <c r="AC31" s="87">
        <v>0</v>
      </c>
      <c r="AD31" s="87">
        <v>0</v>
      </c>
      <c r="AE31" s="87">
        <v>0</v>
      </c>
      <c r="AF31" s="87">
        <v>0</v>
      </c>
      <c r="AG31" s="87">
        <v>0</v>
      </c>
      <c r="AH31" s="87">
        <v>0</v>
      </c>
      <c r="AI31" s="87">
        <v>0</v>
      </c>
      <c r="AJ31" s="87">
        <v>0</v>
      </c>
      <c r="AK31" s="87">
        <v>0</v>
      </c>
      <c r="AL31" s="87">
        <v>0</v>
      </c>
      <c r="AM31" s="87">
        <v>0</v>
      </c>
      <c r="AN31" s="87">
        <v>0</v>
      </c>
      <c r="AO31" s="87">
        <v>0</v>
      </c>
      <c r="AP31" s="87">
        <v>0</v>
      </c>
      <c r="AQ31" s="87">
        <v>0</v>
      </c>
      <c r="AR31" s="87">
        <v>0</v>
      </c>
      <c r="AS31" s="87">
        <v>0</v>
      </c>
      <c r="AT31" s="87">
        <v>0</v>
      </c>
      <c r="AU31" s="87">
        <v>0</v>
      </c>
      <c r="AV31" s="87">
        <v>0</v>
      </c>
      <c r="AW31" s="87">
        <v>0</v>
      </c>
      <c r="AX31" s="87">
        <v>0</v>
      </c>
      <c r="AY31" s="87">
        <v>0</v>
      </c>
      <c r="AZ31" s="87">
        <v>0</v>
      </c>
      <c r="BA31" s="87">
        <v>0</v>
      </c>
      <c r="BB31" s="87">
        <v>0</v>
      </c>
    </row>
    <row r="32" spans="1:54" s="1" customFormat="1" ht="15" customHeight="1">
      <c r="A32" t="s">
        <v>107</v>
      </c>
      <c r="B32" s="90" t="str">
        <f>IF('Sumário | Summary'!P1=1,"Outras receitas (despesas) operacionais líquidas","
Other net operating revenues (expenses)")</f>
        <v>Outras receitas (despesas) operacionais líquidas</v>
      </c>
      <c r="C32" s="87">
        <v>32.124000000000002</v>
      </c>
      <c r="D32" s="87">
        <v>4.4390000000000001</v>
      </c>
      <c r="E32" s="87">
        <v>2.9249999999999998</v>
      </c>
      <c r="F32" s="87">
        <f>G32-SUM(C32:E32)</f>
        <v>3.6716038419980208</v>
      </c>
      <c r="G32" s="87">
        <v>43.15960384199802</v>
      </c>
      <c r="H32" s="87">
        <v>-0.23899999999999999</v>
      </c>
      <c r="I32" s="87">
        <v>1.1559999999999999</v>
      </c>
      <c r="J32" s="87">
        <v>275.20800000000003</v>
      </c>
      <c r="K32" s="87">
        <v>-2.3479999999999999</v>
      </c>
      <c r="L32" s="87">
        <v>273.77699999999999</v>
      </c>
      <c r="M32" s="87">
        <v>10.417</v>
      </c>
      <c r="N32" s="87">
        <v>12.048999999999999</v>
      </c>
      <c r="O32" s="87">
        <v>-19.751999999999999</v>
      </c>
      <c r="P32" s="87">
        <v>-12.852</v>
      </c>
      <c r="Q32" s="87">
        <v>-10.138</v>
      </c>
      <c r="R32" s="87">
        <v>-0.5844211306749999</v>
      </c>
      <c r="S32" s="87">
        <v>-20.042000000000002</v>
      </c>
      <c r="T32" s="87">
        <v>9.2730843561660006</v>
      </c>
      <c r="U32" s="87">
        <v>31.396000000000001</v>
      </c>
      <c r="V32" s="87">
        <v>20.042663225490998</v>
      </c>
      <c r="W32" s="87">
        <v>-0.45600000000000002</v>
      </c>
      <c r="X32" s="87">
        <v>-3.319</v>
      </c>
      <c r="Y32" s="87">
        <v>1.083</v>
      </c>
      <c r="Z32" s="87">
        <v>-2.4079999999999999</v>
      </c>
      <c r="AA32" s="87">
        <v>-5.0999999999999996</v>
      </c>
      <c r="AB32" s="87">
        <v>0.14115368999999994</v>
      </c>
      <c r="AC32" s="87">
        <v>-0.19775025147822123</v>
      </c>
      <c r="AD32" s="87">
        <v>1.1123427323530102</v>
      </c>
      <c r="AE32" s="87">
        <v>388.40782031434304</v>
      </c>
      <c r="AF32" s="87">
        <v>389.46356648521783</v>
      </c>
      <c r="AG32" s="87">
        <v>1.6585104396216699</v>
      </c>
      <c r="AH32" s="87">
        <v>-2.2440780627626102</v>
      </c>
      <c r="AI32" s="87">
        <v>5.3059679761480805</v>
      </c>
      <c r="AJ32" s="87">
        <v>-20.352</v>
      </c>
      <c r="AK32" s="87">
        <v>-15.631599646992861</v>
      </c>
      <c r="AL32" s="87">
        <v>0.52933176624999911</v>
      </c>
      <c r="AM32" s="87">
        <v>-2.6838097650399817</v>
      </c>
      <c r="AN32" s="87">
        <v>-0.15180653684401751</v>
      </c>
      <c r="AO32" s="87">
        <v>-0.54672067666256041</v>
      </c>
      <c r="AP32" s="87">
        <v>-2.8530052122965603</v>
      </c>
      <c r="AQ32" s="87">
        <v>1.4221821808879982</v>
      </c>
      <c r="AR32" s="87">
        <v>322.66879318965147</v>
      </c>
      <c r="AS32" s="87">
        <v>-1.9055427687728079</v>
      </c>
      <c r="AT32" s="87">
        <v>39.691768086662691</v>
      </c>
      <c r="AU32" s="87">
        <v>361.87720068842935</v>
      </c>
      <c r="AV32" s="87">
        <v>11.829269068314664</v>
      </c>
      <c r="AW32" s="87">
        <v>17.668609964314637</v>
      </c>
      <c r="AX32" s="87">
        <v>1.9141465803706996</v>
      </c>
      <c r="AY32" s="87">
        <v>4.9268527692979882</v>
      </c>
      <c r="AZ32" s="87">
        <v>36.338878382297985</v>
      </c>
      <c r="BA32" s="87">
        <v>8.5123895879999996</v>
      </c>
      <c r="BB32" s="87">
        <v>-0.92806613205999744</v>
      </c>
    </row>
    <row r="33" spans="1:54" s="1" customFormat="1" ht="15" customHeight="1">
      <c r="A33" s="175" t="s">
        <v>108</v>
      </c>
      <c r="B33" s="11" t="str">
        <f>IF('Sumário | Summary'!P1=1,"Lucro antes do Resultado Financeiro","Profit Before Financial Results")</f>
        <v>Lucro antes do Resultado Financeiro</v>
      </c>
      <c r="C33" s="126">
        <f t="shared" ref="C33:AV33" si="5">C22+C24</f>
        <v>93.190315371528499</v>
      </c>
      <c r="D33" s="126">
        <f t="shared" si="5"/>
        <v>54.524391467572883</v>
      </c>
      <c r="E33" s="126">
        <f t="shared" si="5"/>
        <v>57.234139451308607</v>
      </c>
      <c r="F33" s="126">
        <f t="shared" si="5"/>
        <v>69.626776339248153</v>
      </c>
      <c r="G33" s="126">
        <f t="shared" si="5"/>
        <v>274.37265035965817</v>
      </c>
      <c r="H33" s="126">
        <f t="shared" si="5"/>
        <v>39.882882591866192</v>
      </c>
      <c r="I33" s="126">
        <f t="shared" si="5"/>
        <v>46.990811077076032</v>
      </c>
      <c r="J33" s="126">
        <f t="shared" si="5"/>
        <v>298.7524212466015</v>
      </c>
      <c r="K33" s="126">
        <f t="shared" si="5"/>
        <v>23.933725935513941</v>
      </c>
      <c r="L33" s="126">
        <f t="shared" si="5"/>
        <v>410.3254743365747</v>
      </c>
      <c r="M33" s="126">
        <f t="shared" si="5"/>
        <v>46.502327739206002</v>
      </c>
      <c r="N33" s="126">
        <f t="shared" si="5"/>
        <v>66.851433035378903</v>
      </c>
      <c r="O33" s="126">
        <f t="shared" si="5"/>
        <v>5.7932828149791504</v>
      </c>
      <c r="P33" s="126">
        <f t="shared" si="5"/>
        <v>21.920677750890309</v>
      </c>
      <c r="Q33" s="126">
        <f t="shared" si="5"/>
        <v>141.08194592045436</v>
      </c>
      <c r="R33" s="126">
        <f t="shared" si="5"/>
        <v>43.381855035885749</v>
      </c>
      <c r="S33" s="126">
        <f t="shared" si="5"/>
        <v>21.986102683303677</v>
      </c>
      <c r="T33" s="126">
        <f t="shared" si="5"/>
        <v>48.290708098905867</v>
      </c>
      <c r="U33" s="126">
        <f t="shared" si="5"/>
        <v>72.733751805735892</v>
      </c>
      <c r="V33" s="126">
        <f t="shared" si="5"/>
        <v>186.39241762383114</v>
      </c>
      <c r="W33" s="126">
        <f t="shared" si="5"/>
        <v>46.37109805411805</v>
      </c>
      <c r="X33" s="126">
        <f t="shared" si="5"/>
        <v>16.08291905181223</v>
      </c>
      <c r="Y33" s="126">
        <f t="shared" si="5"/>
        <v>48.654188584556429</v>
      </c>
      <c r="Z33" s="126">
        <f t="shared" si="5"/>
        <v>32.960005560906971</v>
      </c>
      <c r="AA33" s="126">
        <f t="shared" si="5"/>
        <v>144.06821125139373</v>
      </c>
      <c r="AB33" s="126">
        <f t="shared" si="5"/>
        <v>33.541307666702963</v>
      </c>
      <c r="AC33" s="126">
        <f t="shared" si="5"/>
        <v>35.798249054935994</v>
      </c>
      <c r="AD33" s="126">
        <f t="shared" si="5"/>
        <v>45.384302795402803</v>
      </c>
      <c r="AE33" s="126">
        <f t="shared" si="5"/>
        <v>1348.2728798421961</v>
      </c>
      <c r="AF33" s="126">
        <f t="shared" si="5"/>
        <v>1462.9967393592378</v>
      </c>
      <c r="AG33" s="126">
        <f t="shared" si="5"/>
        <v>29.83544161044885</v>
      </c>
      <c r="AH33" s="126">
        <f t="shared" si="5"/>
        <v>14.351192666031153</v>
      </c>
      <c r="AI33" s="126">
        <f t="shared" si="5"/>
        <v>29.236297159879857</v>
      </c>
      <c r="AJ33" s="126">
        <f t="shared" si="5"/>
        <v>-0.29247687624203422</v>
      </c>
      <c r="AK33" s="126">
        <f t="shared" si="5"/>
        <v>73.130454560117784</v>
      </c>
      <c r="AL33" s="126">
        <f t="shared" si="5"/>
        <v>22.905447154621061</v>
      </c>
      <c r="AM33" s="126">
        <f t="shared" si="5"/>
        <v>24.389243730548365</v>
      </c>
      <c r="AN33" s="126">
        <f t="shared" si="5"/>
        <v>30.123056354243356</v>
      </c>
      <c r="AO33" s="126">
        <f t="shared" si="5"/>
        <v>32.467291841363782</v>
      </c>
      <c r="AP33" s="126">
        <f t="shared" si="5"/>
        <v>109.88503908077655</v>
      </c>
      <c r="AQ33" s="126">
        <f t="shared" si="5"/>
        <v>35.256030195861953</v>
      </c>
      <c r="AR33" s="126">
        <f t="shared" si="5"/>
        <v>580.00731332083376</v>
      </c>
      <c r="AS33" s="126">
        <f t="shared" si="5"/>
        <v>2.9442284562134518</v>
      </c>
      <c r="AT33" s="126">
        <f t="shared" si="5"/>
        <v>58.318847201572368</v>
      </c>
      <c r="AU33" s="126">
        <f t="shared" si="5"/>
        <v>676.52641917448136</v>
      </c>
      <c r="AV33" s="126">
        <f t="shared" si="5"/>
        <v>28.270684894004656</v>
      </c>
      <c r="AW33" s="126">
        <v>28.929731188394349</v>
      </c>
      <c r="AX33" s="126">
        <v>25.095523119124405</v>
      </c>
      <c r="AY33" s="126">
        <v>16.45417006788399</v>
      </c>
      <c r="AZ33" s="126">
        <v>98.750109269407403</v>
      </c>
      <c r="BA33" s="126">
        <v>26.567266582966003</v>
      </c>
      <c r="BB33" s="126">
        <f>BB22+BB24</f>
        <v>19.960544801034025</v>
      </c>
    </row>
    <row r="34" spans="1:54" s="1" customFormat="1" ht="15" customHeight="1">
      <c r="A34" t="s">
        <v>139</v>
      </c>
      <c r="B34" s="9" t="str">
        <f>IF('Sumário | Summary'!P1=1,"Despesas financeiras","Financial Expenses")</f>
        <v>Despesas financeiras</v>
      </c>
      <c r="C34" s="87">
        <v>-91.603999999999999</v>
      </c>
      <c r="D34" s="87">
        <v>-65.691999999999993</v>
      </c>
      <c r="E34" s="87">
        <v>-71.986999999999995</v>
      </c>
      <c r="F34" s="87">
        <v>-70.42</v>
      </c>
      <c r="G34" s="87">
        <v>-299.70299999999997</v>
      </c>
      <c r="H34" s="87">
        <v>-65.165999999999997</v>
      </c>
      <c r="I34" s="87">
        <v>-64.251000000000005</v>
      </c>
      <c r="J34" s="87">
        <v>-73.944000000000003</v>
      </c>
      <c r="K34" s="87">
        <v>-39.345999999999997</v>
      </c>
      <c r="L34" s="87">
        <v>-242.70699999999999</v>
      </c>
      <c r="M34" s="87">
        <v>-38.274000000000001</v>
      </c>
      <c r="N34" s="87">
        <v>-44.040999999999997</v>
      </c>
      <c r="O34" s="87">
        <v>-26.975000000000001</v>
      </c>
      <c r="P34" s="87">
        <v>-36.726999999999997</v>
      </c>
      <c r="Q34" s="87">
        <v>-146.017</v>
      </c>
      <c r="R34" s="87">
        <v>-34.468667505993551</v>
      </c>
      <c r="S34" s="87">
        <v>-36.994999999999997</v>
      </c>
      <c r="T34" s="87">
        <v>-36.259553186967914</v>
      </c>
      <c r="U34" s="87">
        <v>-35.886000000000003</v>
      </c>
      <c r="V34" s="87">
        <v>-143.60922069296146</v>
      </c>
      <c r="W34" s="87">
        <v>-28.257000000000001</v>
      </c>
      <c r="X34" s="87">
        <v>-16.97</v>
      </c>
      <c r="Y34" s="87">
        <v>-20.422999999999998</v>
      </c>
      <c r="Z34" s="87">
        <v>-24.968</v>
      </c>
      <c r="AA34" s="87">
        <v>-90.618000000000009</v>
      </c>
      <c r="AB34" s="87">
        <v>-23.428999999999998</v>
      </c>
      <c r="AC34" s="87">
        <v>-29.280999999999999</v>
      </c>
      <c r="AD34" s="87">
        <v>-37.64</v>
      </c>
      <c r="AE34" s="87">
        <v>-48.988652842270426</v>
      </c>
      <c r="AF34" s="87">
        <v>-139.33865284227042</v>
      </c>
      <c r="AG34" s="87">
        <v>-50.593527983567462</v>
      </c>
      <c r="AH34" s="87">
        <v>-51.484774535347405</v>
      </c>
      <c r="AI34" s="87">
        <v>-37.122601641386424</v>
      </c>
      <c r="AJ34" s="87">
        <v>-36.766009231092056</v>
      </c>
      <c r="AK34" s="87">
        <v>-175.96691339139335</v>
      </c>
      <c r="AL34" s="87">
        <v>-41.203511667332954</v>
      </c>
      <c r="AM34" s="87">
        <v>-39.120648844036602</v>
      </c>
      <c r="AN34" s="87">
        <v>-34.340069407438641</v>
      </c>
      <c r="AO34" s="87">
        <v>-33.220223423031548</v>
      </c>
      <c r="AP34" s="87">
        <v>-147.88445334183973</v>
      </c>
      <c r="AQ34" s="87">
        <v>-36.179262103229433</v>
      </c>
      <c r="AR34" s="87">
        <v>-34.452704506700343</v>
      </c>
      <c r="AS34" s="87">
        <v>-25.30961838532194</v>
      </c>
      <c r="AT34" s="87">
        <v>-28.17564474883223</v>
      </c>
      <c r="AU34" s="87">
        <v>-124.11722974408394</v>
      </c>
      <c r="AV34" s="87">
        <v>-34.50960398624337</v>
      </c>
      <c r="AW34" s="87">
        <v>-28.621685170770782</v>
      </c>
      <c r="AX34" s="87">
        <v>-13.386311668437346</v>
      </c>
      <c r="AY34" s="87">
        <v>-14.753864989739988</v>
      </c>
      <c r="AZ34" s="87">
        <v>-91.271465815191476</v>
      </c>
      <c r="BA34" s="87">
        <v>-17.784641352658927</v>
      </c>
      <c r="BB34" s="87">
        <v>-18.815928165723935</v>
      </c>
    </row>
    <row r="35" spans="1:54" s="1" customFormat="1" ht="15" customHeight="1">
      <c r="A35" t="s">
        <v>140</v>
      </c>
      <c r="B35" s="9" t="str">
        <f>IF('Sumário | Summary'!P1=1,"Receitas financeiras","Financial Revenues")</f>
        <v>Receitas financeiras</v>
      </c>
      <c r="C35" s="87">
        <v>16.885999999999999</v>
      </c>
      <c r="D35" s="87">
        <v>14.74</v>
      </c>
      <c r="E35" s="87">
        <v>14.255000000000001</v>
      </c>
      <c r="F35" s="87">
        <v>18.132000000000001</v>
      </c>
      <c r="G35" s="87">
        <v>64.013000000000005</v>
      </c>
      <c r="H35" s="87">
        <v>14.135999999999999</v>
      </c>
      <c r="I35" s="87">
        <v>7.8789999999999996</v>
      </c>
      <c r="J35" s="87">
        <v>10.311999999999999</v>
      </c>
      <c r="K35" s="87">
        <v>8.8219999999999992</v>
      </c>
      <c r="L35" s="87">
        <v>41.149000000000001</v>
      </c>
      <c r="M35" s="87">
        <v>6.9130000000000003</v>
      </c>
      <c r="N35" s="87">
        <v>8.5120000000000005</v>
      </c>
      <c r="O35" s="87">
        <v>9.0150000000000006</v>
      </c>
      <c r="P35" s="87">
        <v>8.1869999999999994</v>
      </c>
      <c r="Q35" s="87">
        <v>32.627000000000002</v>
      </c>
      <c r="R35" s="87">
        <v>5.0015921854664995</v>
      </c>
      <c r="S35" s="87">
        <v>6.9059999999999997</v>
      </c>
      <c r="T35" s="87">
        <v>5.5310510005804989</v>
      </c>
      <c r="U35" s="87">
        <v>9.6620000000000008</v>
      </c>
      <c r="V35" s="87">
        <v>27.100643186046995</v>
      </c>
      <c r="W35" s="87">
        <v>5.4249999999999998</v>
      </c>
      <c r="X35" s="87">
        <v>6.75</v>
      </c>
      <c r="Y35" s="87">
        <v>4.0789999999999997</v>
      </c>
      <c r="Z35" s="87">
        <v>4.7460000000000004</v>
      </c>
      <c r="AA35" s="87">
        <v>21</v>
      </c>
      <c r="AB35" s="87">
        <v>2.68</v>
      </c>
      <c r="AC35" s="87">
        <v>6.3970000000000002</v>
      </c>
      <c r="AD35" s="87">
        <v>8.0960000000000001</v>
      </c>
      <c r="AE35" s="87">
        <v>12.035965664525985</v>
      </c>
      <c r="AF35" s="87">
        <v>29.208965664525987</v>
      </c>
      <c r="AG35" s="87">
        <v>15.594044398662495</v>
      </c>
      <c r="AH35" s="87">
        <v>13.587636536524998</v>
      </c>
      <c r="AI35" s="87">
        <v>20.255905045539524</v>
      </c>
      <c r="AJ35" s="87">
        <v>17.185877792403975</v>
      </c>
      <c r="AK35" s="87">
        <v>66.623463773130993</v>
      </c>
      <c r="AL35" s="87">
        <v>10.455316772238996</v>
      </c>
      <c r="AM35" s="87">
        <v>18.097257413212834</v>
      </c>
      <c r="AN35" s="87">
        <v>15.20874436712802</v>
      </c>
      <c r="AO35" s="87">
        <v>15.409501923401505</v>
      </c>
      <c r="AP35" s="87">
        <v>59.170820475981358</v>
      </c>
      <c r="AQ35" s="87">
        <v>14.299461850928497</v>
      </c>
      <c r="AR35" s="87">
        <v>17.709231223475662</v>
      </c>
      <c r="AS35" s="87">
        <v>49.072981827537049</v>
      </c>
      <c r="AT35" s="87">
        <v>53.507886367361294</v>
      </c>
      <c r="AU35" s="87">
        <v>134.58956126930249</v>
      </c>
      <c r="AV35" s="87">
        <v>32.820231058541971</v>
      </c>
      <c r="AW35" s="87">
        <v>21.351967402022421</v>
      </c>
      <c r="AX35" s="87">
        <v>20.726640055764403</v>
      </c>
      <c r="AY35" s="87">
        <v>9.4913242890850089</v>
      </c>
      <c r="AZ35" s="87">
        <v>84.390162805413809</v>
      </c>
      <c r="BA35" s="87">
        <v>15.757966113086001</v>
      </c>
      <c r="BB35" s="87">
        <v>7.2191083234420006</v>
      </c>
    </row>
    <row r="36" spans="1:54" s="1" customFormat="1" ht="15" customHeight="1">
      <c r="A36" t="s">
        <v>141</v>
      </c>
      <c r="B36" s="11" t="str">
        <f>IF('Sumário | Summary'!P1=1,"Lucro antes de IR e CS","Pre Tax Profit")</f>
        <v>Lucro antes de IR e CS</v>
      </c>
      <c r="C36" s="126">
        <f t="shared" ref="C36:AV36" si="6">SUM(C33:C35)</f>
        <v>18.472315371528499</v>
      </c>
      <c r="D36" s="126">
        <f t="shared" si="6"/>
        <v>3.5723914675728903</v>
      </c>
      <c r="E36" s="126">
        <f t="shared" si="6"/>
        <v>-0.49786054869138674</v>
      </c>
      <c r="F36" s="126">
        <f t="shared" si="6"/>
        <v>17.338776339248152</v>
      </c>
      <c r="G36" s="126">
        <f t="shared" si="6"/>
        <v>38.682650359658197</v>
      </c>
      <c r="H36" s="126">
        <f t="shared" si="6"/>
        <v>-11.147117408133806</v>
      </c>
      <c r="I36" s="126">
        <f t="shared" si="6"/>
        <v>-9.3811889229239735</v>
      </c>
      <c r="J36" s="126">
        <f t="shared" si="6"/>
        <v>235.1204212466015</v>
      </c>
      <c r="K36" s="126">
        <f t="shared" si="6"/>
        <v>-6.5902740644860565</v>
      </c>
      <c r="L36" s="126">
        <f t="shared" si="6"/>
        <v>208.76747433657471</v>
      </c>
      <c r="M36" s="126">
        <f t="shared" si="6"/>
        <v>15.141327739206002</v>
      </c>
      <c r="N36" s="126">
        <f t="shared" si="6"/>
        <v>31.322433035378907</v>
      </c>
      <c r="O36" s="126">
        <f t="shared" si="6"/>
        <v>-12.16671718502085</v>
      </c>
      <c r="P36" s="126">
        <f t="shared" si="6"/>
        <v>-6.6193222491096879</v>
      </c>
      <c r="Q36" s="126">
        <f t="shared" si="6"/>
        <v>27.691945920454366</v>
      </c>
      <c r="R36" s="126">
        <f t="shared" si="6"/>
        <v>13.914779715358698</v>
      </c>
      <c r="S36" s="126">
        <f t="shared" si="6"/>
        <v>-8.1028973166963212</v>
      </c>
      <c r="T36" s="126">
        <f t="shared" si="6"/>
        <v>17.562205912518451</v>
      </c>
      <c r="U36" s="126">
        <f t="shared" si="6"/>
        <v>46.509751805735888</v>
      </c>
      <c r="V36" s="126">
        <f t="shared" si="6"/>
        <v>69.883840116916673</v>
      </c>
      <c r="W36" s="126">
        <f t="shared" si="6"/>
        <v>23.53909805411805</v>
      </c>
      <c r="X36" s="126">
        <f t="shared" si="6"/>
        <v>5.8629190518122307</v>
      </c>
      <c r="Y36" s="126">
        <f t="shared" si="6"/>
        <v>32.310188584556428</v>
      </c>
      <c r="Z36" s="126">
        <f t="shared" si="6"/>
        <v>12.738005560906972</v>
      </c>
      <c r="AA36" s="126">
        <f t="shared" si="6"/>
        <v>74.450211251393725</v>
      </c>
      <c r="AB36" s="126">
        <f t="shared" si="6"/>
        <v>12.792307666702964</v>
      </c>
      <c r="AC36" s="126">
        <f t="shared" si="6"/>
        <v>12.914249054935995</v>
      </c>
      <c r="AD36" s="126">
        <f t="shared" si="6"/>
        <v>15.840302795402803</v>
      </c>
      <c r="AE36" s="126">
        <f t="shared" si="6"/>
        <v>1311.3201926644515</v>
      </c>
      <c r="AF36" s="126">
        <f t="shared" si="6"/>
        <v>1352.8670521814934</v>
      </c>
      <c r="AG36" s="126">
        <f t="shared" si="6"/>
        <v>-5.1640419744561168</v>
      </c>
      <c r="AH36" s="126">
        <f t="shared" si="6"/>
        <v>-23.545945332791256</v>
      </c>
      <c r="AI36" s="126">
        <f t="shared" si="6"/>
        <v>12.369600564032957</v>
      </c>
      <c r="AJ36" s="126">
        <f t="shared" si="6"/>
        <v>-19.872608314930115</v>
      </c>
      <c r="AK36" s="126">
        <f t="shared" si="6"/>
        <v>-36.212995058144571</v>
      </c>
      <c r="AL36" s="126">
        <f t="shared" si="6"/>
        <v>-7.8427477404728965</v>
      </c>
      <c r="AM36" s="126">
        <f t="shared" si="6"/>
        <v>3.3658522997245974</v>
      </c>
      <c r="AN36" s="126">
        <f t="shared" si="6"/>
        <v>10.991731313932736</v>
      </c>
      <c r="AO36" s="126">
        <f t="shared" si="6"/>
        <v>14.656570341733739</v>
      </c>
      <c r="AP36" s="126">
        <f t="shared" si="6"/>
        <v>21.171406214918179</v>
      </c>
      <c r="AQ36" s="126">
        <f t="shared" si="6"/>
        <v>13.376229943561016</v>
      </c>
      <c r="AR36" s="126">
        <f t="shared" si="6"/>
        <v>563.26384003760904</v>
      </c>
      <c r="AS36" s="126">
        <f t="shared" si="6"/>
        <v>26.707591898428561</v>
      </c>
      <c r="AT36" s="126">
        <f t="shared" si="6"/>
        <v>83.651088820101435</v>
      </c>
      <c r="AU36" s="126">
        <f t="shared" si="6"/>
        <v>686.99875069969994</v>
      </c>
      <c r="AV36" s="126">
        <f t="shared" si="6"/>
        <v>26.581311966303257</v>
      </c>
      <c r="AW36" s="126">
        <v>21.660013419645988</v>
      </c>
      <c r="AX36" s="126">
        <v>32.435851506451463</v>
      </c>
      <c r="AY36" s="126">
        <v>11.191629367229011</v>
      </c>
      <c r="AZ36" s="126">
        <v>91.868806259629736</v>
      </c>
      <c r="BA36" s="126">
        <v>24.540591343393075</v>
      </c>
      <c r="BB36" s="126">
        <f>SUM(BB33:BB35)</f>
        <v>8.3637249587520905</v>
      </c>
    </row>
    <row r="37" spans="1:54" s="1" customFormat="1" ht="15" customHeight="1">
      <c r="A37" t="s">
        <v>142</v>
      </c>
      <c r="B37" s="11" t="str">
        <f>IF('Sumário | Summary'!P1=1,"Imposto de Renda e Contribuição Social","Income and Social Contribution Taxes")</f>
        <v>Imposto de Renda e Contribuição Social</v>
      </c>
      <c r="C37" s="126">
        <f t="shared" ref="C37:AV37" si="7">SUM(C38:C39)</f>
        <v>-7.5129999999999999</v>
      </c>
      <c r="D37" s="126">
        <f t="shared" si="7"/>
        <v>-8.1110000000000007</v>
      </c>
      <c r="E37" s="126">
        <f t="shared" si="7"/>
        <v>-10.095999999999998</v>
      </c>
      <c r="F37" s="126">
        <f t="shared" si="7"/>
        <v>-8.5620000000000012</v>
      </c>
      <c r="G37" s="126">
        <f t="shared" si="7"/>
        <v>-34.282000000000004</v>
      </c>
      <c r="H37" s="126">
        <f t="shared" si="7"/>
        <v>-8.5380000000000003</v>
      </c>
      <c r="I37" s="126">
        <f t="shared" si="7"/>
        <v>-7.6629999999999994</v>
      </c>
      <c r="J37" s="126">
        <f t="shared" si="7"/>
        <v>-16.253</v>
      </c>
      <c r="K37" s="126">
        <f t="shared" si="7"/>
        <v>-1.0840000000000001</v>
      </c>
      <c r="L37" s="126">
        <f t="shared" si="7"/>
        <v>-33.538000000000004</v>
      </c>
      <c r="M37" s="126">
        <f t="shared" si="7"/>
        <v>-6.1550000000000002</v>
      </c>
      <c r="N37" s="126">
        <f t="shared" si="7"/>
        <v>-8.3130000000000006</v>
      </c>
      <c r="O37" s="126">
        <f t="shared" si="7"/>
        <v>-6.9279999999999999</v>
      </c>
      <c r="P37" s="126">
        <f t="shared" si="7"/>
        <v>-7.157</v>
      </c>
      <c r="Q37" s="126">
        <f t="shared" si="7"/>
        <v>-28.552999999999997</v>
      </c>
      <c r="R37" s="126">
        <f t="shared" si="7"/>
        <v>-10.752141377127998</v>
      </c>
      <c r="S37" s="126">
        <f t="shared" si="7"/>
        <v>-9.0329999999999995</v>
      </c>
      <c r="T37" s="126">
        <f t="shared" si="7"/>
        <v>-8.7310666341100038</v>
      </c>
      <c r="U37" s="126">
        <f t="shared" si="7"/>
        <v>-8.4849999999999994</v>
      </c>
      <c r="V37" s="126">
        <f t="shared" si="7"/>
        <v>-37.001208011238006</v>
      </c>
      <c r="W37" s="126">
        <f t="shared" si="7"/>
        <v>-7.008</v>
      </c>
      <c r="X37" s="126">
        <f t="shared" si="7"/>
        <v>-4.9669999999999996</v>
      </c>
      <c r="Y37" s="126">
        <f t="shared" si="7"/>
        <v>-5.6020000000000003</v>
      </c>
      <c r="Z37" s="126">
        <f t="shared" si="7"/>
        <v>-6.0829999999999993</v>
      </c>
      <c r="AA37" s="126">
        <f t="shared" si="7"/>
        <v>-23.66</v>
      </c>
      <c r="AB37" s="126">
        <f t="shared" si="7"/>
        <v>-5.6609999999999996</v>
      </c>
      <c r="AC37" s="126">
        <f t="shared" si="7"/>
        <v>-5.7809999999999997</v>
      </c>
      <c r="AD37" s="126">
        <f t="shared" si="7"/>
        <v>-6.8070000000000004</v>
      </c>
      <c r="AE37" s="126">
        <f t="shared" si="7"/>
        <v>-47.909702201879483</v>
      </c>
      <c r="AF37" s="126">
        <f t="shared" si="7"/>
        <v>-66.158702201879493</v>
      </c>
      <c r="AG37" s="126">
        <f t="shared" si="7"/>
        <v>-5.7486972707369999</v>
      </c>
      <c r="AH37" s="126">
        <f t="shared" si="7"/>
        <v>-5.6062316623249995</v>
      </c>
      <c r="AI37" s="126">
        <f t="shared" si="7"/>
        <v>-5.5091119353080016</v>
      </c>
      <c r="AJ37" s="126">
        <f t="shared" si="7"/>
        <v>-3.8948220796159951</v>
      </c>
      <c r="AK37" s="126">
        <f t="shared" si="7"/>
        <v>-20.758862947985996</v>
      </c>
      <c r="AL37" s="126">
        <f t="shared" si="7"/>
        <v>-7.0297088088569994</v>
      </c>
      <c r="AM37" s="126">
        <f t="shared" si="7"/>
        <v>-7.4916093259529974</v>
      </c>
      <c r="AN37" s="126">
        <f t="shared" si="7"/>
        <v>-7.423517620891003</v>
      </c>
      <c r="AO37" s="126">
        <f t="shared" si="7"/>
        <v>-9.1799844637309977</v>
      </c>
      <c r="AP37" s="126">
        <f t="shared" si="7"/>
        <v>-31.124820219431996</v>
      </c>
      <c r="AQ37" s="126">
        <f t="shared" si="7"/>
        <v>-6.6816161431189984</v>
      </c>
      <c r="AR37" s="126">
        <f t="shared" si="7"/>
        <v>-104.59473908840897</v>
      </c>
      <c r="AS37" s="126">
        <f t="shared" si="7"/>
        <v>-6.8732714528581775</v>
      </c>
      <c r="AT37" s="126">
        <f t="shared" si="7"/>
        <v>-24.412276287351844</v>
      </c>
      <c r="AU37" s="126">
        <f t="shared" si="7"/>
        <v>-142.56190297173799</v>
      </c>
      <c r="AV37" s="126">
        <f t="shared" si="7"/>
        <v>-7.8799193354033452</v>
      </c>
      <c r="AW37" s="126">
        <v>-5.0874950356831601</v>
      </c>
      <c r="AX37" s="126">
        <v>-9.3311160182863073</v>
      </c>
      <c r="AY37" s="126">
        <v>-4.936083665411009</v>
      </c>
      <c r="AZ37" s="126">
        <v>-27.234614054783822</v>
      </c>
      <c r="BA37" s="126">
        <v>-4.872386345183001</v>
      </c>
      <c r="BB37" s="126">
        <f>SUM(BB38:BB39)</f>
        <v>-2.9343903650170007</v>
      </c>
    </row>
    <row r="38" spans="1:54" s="1" customFormat="1" ht="15" customHeight="1">
      <c r="A38" t="s">
        <v>109</v>
      </c>
      <c r="B38" s="13" t="str">
        <f>IF('Sumário | Summary'!P1=1,"Diferidos","Deferred")</f>
        <v>Diferidos</v>
      </c>
      <c r="C38" s="87">
        <v>-0.13900000000000001</v>
      </c>
      <c r="D38" s="87">
        <v>-3.6999999999999998E-2</v>
      </c>
      <c r="E38" s="87">
        <v>-0.96299999999999997</v>
      </c>
      <c r="F38" s="87">
        <v>0.13300000000000001</v>
      </c>
      <c r="G38" s="87">
        <v>-1.006</v>
      </c>
      <c r="H38" s="87">
        <v>0.121</v>
      </c>
      <c r="I38" s="87">
        <v>0.34399999999999997</v>
      </c>
      <c r="J38" s="87">
        <v>0.315</v>
      </c>
      <c r="K38" s="87">
        <v>6.5000000000000002E-2</v>
      </c>
      <c r="L38" s="87">
        <v>0.84499999999999997</v>
      </c>
      <c r="M38" s="87">
        <v>0.189</v>
      </c>
      <c r="N38" s="87">
        <v>-8.5999999999999993E-2</v>
      </c>
      <c r="O38" s="87">
        <v>-0.01</v>
      </c>
      <c r="P38" s="87">
        <v>2.7E-2</v>
      </c>
      <c r="Q38" s="87">
        <v>0.12</v>
      </c>
      <c r="R38" s="87">
        <v>6.580552134800001E-2</v>
      </c>
      <c r="S38" s="87">
        <v>6.0000000000000001E-3</v>
      </c>
      <c r="T38" s="87">
        <v>1.4755873380000001E-2</v>
      </c>
      <c r="U38" s="87">
        <v>5.0000000000000001E-3</v>
      </c>
      <c r="V38" s="87">
        <v>9.1561394728000026E-2</v>
      </c>
      <c r="W38" s="87">
        <v>7.0000000000000001E-3</v>
      </c>
      <c r="X38" s="87">
        <v>6.0000000000000001E-3</v>
      </c>
      <c r="Y38" s="87">
        <v>3.0000000000000001E-3</v>
      </c>
      <c r="Z38" s="87">
        <v>-4.0000000000000001E-3</v>
      </c>
      <c r="AA38" s="87">
        <v>1.2E-2</v>
      </c>
      <c r="AB38" s="87">
        <v>8.9999999999999993E-3</v>
      </c>
      <c r="AC38" s="87">
        <v>-8.0000000000000002E-3</v>
      </c>
      <c r="AD38" s="87">
        <v>-6.2E-2</v>
      </c>
      <c r="AE38" s="87">
        <v>6.6000000000000003E-2</v>
      </c>
      <c r="AF38" s="87">
        <v>5.0000000000000044E-3</v>
      </c>
      <c r="AG38" s="87">
        <v>-8.7701669020000001E-3</v>
      </c>
      <c r="AH38" s="87">
        <v>-2.951697097E-2</v>
      </c>
      <c r="AI38" s="87">
        <v>1.2201730739999945E-3</v>
      </c>
      <c r="AJ38" s="87">
        <v>-3.7150159889999992E-2</v>
      </c>
      <c r="AK38" s="87">
        <v>-7.4217124688E-2</v>
      </c>
      <c r="AL38" s="87">
        <v>-2.5543798106E-2</v>
      </c>
      <c r="AM38" s="87">
        <v>-2.3338059273999998E-2</v>
      </c>
      <c r="AN38" s="87">
        <v>-5.3879662773999998E-2</v>
      </c>
      <c r="AO38" s="87">
        <v>-4.9650565380000133E-3</v>
      </c>
      <c r="AP38" s="87">
        <v>-0.10772657669200002</v>
      </c>
      <c r="AQ38" s="87">
        <v>-4.2090305936000008E-2</v>
      </c>
      <c r="AR38" s="87">
        <v>-6.2558092768000007E-2</v>
      </c>
      <c r="AS38" s="87">
        <v>-7.6031149372000048E-2</v>
      </c>
      <c r="AT38" s="87">
        <v>-0.17315934882199996</v>
      </c>
      <c r="AU38" s="87">
        <v>-0.35383889689800002</v>
      </c>
      <c r="AV38" s="87">
        <v>-0.11897536572999998</v>
      </c>
      <c r="AW38" s="87">
        <v>2.0947104039999685E-3</v>
      </c>
      <c r="AX38" s="87">
        <v>-0.11521987922999996</v>
      </c>
      <c r="AY38" s="87">
        <v>-0.28577119810399998</v>
      </c>
      <c r="AZ38" s="87">
        <v>-0.51787173265999997</v>
      </c>
      <c r="BA38" s="87">
        <v>-0.21431350694999998</v>
      </c>
      <c r="BB38" s="87">
        <v>-1.0186220174000027E-2</v>
      </c>
    </row>
    <row r="39" spans="1:54" s="1" customFormat="1" ht="15" customHeight="1">
      <c r="A39" t="s">
        <v>110</v>
      </c>
      <c r="B39" s="13" t="str">
        <f>IF('Sumário | Summary'!P1=1,"Correntes","Current")</f>
        <v>Correntes</v>
      </c>
      <c r="C39" s="87">
        <v>-7.3739999999999997</v>
      </c>
      <c r="D39" s="87">
        <v>-8.0739999999999998</v>
      </c>
      <c r="E39" s="87">
        <v>-9.1329999999999991</v>
      </c>
      <c r="F39" s="87">
        <v>-8.6950000000000003</v>
      </c>
      <c r="G39" s="87">
        <v>-33.276000000000003</v>
      </c>
      <c r="H39" s="87">
        <v>-8.6590000000000007</v>
      </c>
      <c r="I39" s="87">
        <v>-8.0069999999999997</v>
      </c>
      <c r="J39" s="87">
        <v>-16.568000000000001</v>
      </c>
      <c r="K39" s="87">
        <v>-1.149</v>
      </c>
      <c r="L39" s="87">
        <v>-34.383000000000003</v>
      </c>
      <c r="M39" s="87">
        <v>-6.3440000000000003</v>
      </c>
      <c r="N39" s="87">
        <v>-8.2270000000000003</v>
      </c>
      <c r="O39" s="87">
        <v>-6.9180000000000001</v>
      </c>
      <c r="P39" s="87">
        <v>-7.1840000000000002</v>
      </c>
      <c r="Q39" s="87">
        <v>-28.672999999999998</v>
      </c>
      <c r="R39" s="87">
        <v>-10.817946898475999</v>
      </c>
      <c r="S39" s="87">
        <v>-9.0389999999999997</v>
      </c>
      <c r="T39" s="87">
        <v>-8.7458225074900042</v>
      </c>
      <c r="U39" s="87">
        <v>-8.49</v>
      </c>
      <c r="V39" s="87">
        <v>-37.092769405966003</v>
      </c>
      <c r="W39" s="87">
        <v>-7.0149999999999997</v>
      </c>
      <c r="X39" s="87">
        <v>-4.9729999999999999</v>
      </c>
      <c r="Y39" s="87">
        <v>-5.6050000000000004</v>
      </c>
      <c r="Z39" s="87">
        <v>-6.0789999999999997</v>
      </c>
      <c r="AA39" s="87">
        <v>-23.672000000000001</v>
      </c>
      <c r="AB39" s="87">
        <v>-5.67</v>
      </c>
      <c r="AC39" s="87">
        <v>-5.7729999999999997</v>
      </c>
      <c r="AD39" s="87">
        <v>-6.7450000000000001</v>
      </c>
      <c r="AE39" s="87">
        <v>-47.975702201879486</v>
      </c>
      <c r="AF39" s="87">
        <v>-66.163702201879488</v>
      </c>
      <c r="AG39" s="87">
        <v>-5.7399271038349999</v>
      </c>
      <c r="AH39" s="87">
        <v>-5.5767146913549999</v>
      </c>
      <c r="AI39" s="87">
        <v>-5.5103321083820012</v>
      </c>
      <c r="AJ39" s="87">
        <v>-3.8576719197259952</v>
      </c>
      <c r="AK39" s="87">
        <v>-20.684645823297995</v>
      </c>
      <c r="AL39" s="87">
        <v>-7.0041650107509996</v>
      </c>
      <c r="AM39" s="87">
        <v>-7.4682712666789977</v>
      </c>
      <c r="AN39" s="87">
        <v>-7.3696379581170026</v>
      </c>
      <c r="AO39" s="87">
        <v>-9.1750194071929982</v>
      </c>
      <c r="AP39" s="87">
        <v>-31.017093642739997</v>
      </c>
      <c r="AQ39" s="87">
        <v>-6.6395258371829984</v>
      </c>
      <c r="AR39" s="87">
        <v>-104.53218099564097</v>
      </c>
      <c r="AS39" s="87">
        <v>-6.7972403034861779</v>
      </c>
      <c r="AT39" s="87">
        <v>-24.239116938529843</v>
      </c>
      <c r="AU39" s="87">
        <v>-142.20806407484</v>
      </c>
      <c r="AV39" s="87">
        <v>-7.7609439696733453</v>
      </c>
      <c r="AW39" s="87">
        <v>-5.0895897460871602</v>
      </c>
      <c r="AX39" s="87">
        <v>-9.2158961390563068</v>
      </c>
      <c r="AY39" s="87">
        <v>-4.6503124673070086</v>
      </c>
      <c r="AZ39" s="87">
        <v>-26.716742322123821</v>
      </c>
      <c r="BA39" s="87">
        <v>-4.658072838233001</v>
      </c>
      <c r="BB39" s="87">
        <v>-2.9242041448430007</v>
      </c>
    </row>
    <row r="40" spans="1:54" s="85" customFormat="1" ht="15" customHeight="1">
      <c r="A40" t="s">
        <v>277</v>
      </c>
      <c r="B40" s="11" t="str">
        <f>IF('Sumário | Summary'!P1=1,"Lucro antes da participação dos minoritários","Profit before minority
interest")</f>
        <v>Lucro antes da participação dos minoritários</v>
      </c>
      <c r="C40" s="126">
        <f t="shared" ref="C40:AV40" si="8">C36+C37</f>
        <v>10.959315371528499</v>
      </c>
      <c r="D40" s="126">
        <f t="shared" si="8"/>
        <v>-4.5386085324271104</v>
      </c>
      <c r="E40" s="126">
        <f t="shared" si="8"/>
        <v>-10.593860548691385</v>
      </c>
      <c r="F40" s="126">
        <f t="shared" si="8"/>
        <v>8.7767763392481513</v>
      </c>
      <c r="G40" s="126">
        <f t="shared" si="8"/>
        <v>4.4006503596581936</v>
      </c>
      <c r="H40" s="126">
        <f t="shared" si="8"/>
        <v>-19.685117408133806</v>
      </c>
      <c r="I40" s="126">
        <f t="shared" si="8"/>
        <v>-17.044188922923972</v>
      </c>
      <c r="J40" s="126">
        <f t="shared" si="8"/>
        <v>218.86742124660151</v>
      </c>
      <c r="K40" s="126">
        <f t="shared" si="8"/>
        <v>-7.6742740644860561</v>
      </c>
      <c r="L40" s="126">
        <f t="shared" si="8"/>
        <v>175.2294743365747</v>
      </c>
      <c r="M40" s="126">
        <f t="shared" si="8"/>
        <v>8.9863277392060006</v>
      </c>
      <c r="N40" s="126">
        <f t="shared" si="8"/>
        <v>23.009433035378905</v>
      </c>
      <c r="O40" s="126">
        <f t="shared" si="8"/>
        <v>-19.094717185020851</v>
      </c>
      <c r="P40" s="126">
        <f t="shared" si="8"/>
        <v>-13.776322249109688</v>
      </c>
      <c r="Q40" s="126">
        <f t="shared" si="8"/>
        <v>-0.86105407954563162</v>
      </c>
      <c r="R40" s="126">
        <f t="shared" si="8"/>
        <v>3.1626383382306997</v>
      </c>
      <c r="S40" s="126">
        <f t="shared" si="8"/>
        <v>-17.135897316696322</v>
      </c>
      <c r="T40" s="126">
        <f t="shared" si="8"/>
        <v>8.8311392784084468</v>
      </c>
      <c r="U40" s="126">
        <f t="shared" si="8"/>
        <v>38.024751805735889</v>
      </c>
      <c r="V40" s="126">
        <f t="shared" si="8"/>
        <v>32.882632105678667</v>
      </c>
      <c r="W40" s="126">
        <f t="shared" si="8"/>
        <v>16.531098054118051</v>
      </c>
      <c r="X40" s="126">
        <f t="shared" si="8"/>
        <v>0.89591905181223108</v>
      </c>
      <c r="Y40" s="126">
        <f t="shared" si="8"/>
        <v>26.708188584556428</v>
      </c>
      <c r="Z40" s="126">
        <f t="shared" si="8"/>
        <v>6.6550055609069725</v>
      </c>
      <c r="AA40" s="126">
        <f t="shared" si="8"/>
        <v>50.790211251393728</v>
      </c>
      <c r="AB40" s="126">
        <f t="shared" si="8"/>
        <v>7.1313076667029645</v>
      </c>
      <c r="AC40" s="126">
        <f t="shared" si="8"/>
        <v>7.1332490549359955</v>
      </c>
      <c r="AD40" s="126">
        <f t="shared" si="8"/>
        <v>9.0333027954028022</v>
      </c>
      <c r="AE40" s="126">
        <f t="shared" si="8"/>
        <v>1263.4104904625719</v>
      </c>
      <c r="AF40" s="126">
        <f t="shared" si="8"/>
        <v>1286.7083499796138</v>
      </c>
      <c r="AG40" s="126">
        <f t="shared" si="8"/>
        <v>-10.912739245193116</v>
      </c>
      <c r="AH40" s="126">
        <f t="shared" si="8"/>
        <v>-29.152176995116257</v>
      </c>
      <c r="AI40" s="126">
        <f t="shared" si="8"/>
        <v>6.8604886287249558</v>
      </c>
      <c r="AJ40" s="126">
        <f t="shared" si="8"/>
        <v>-23.767430394546111</v>
      </c>
      <c r="AK40" s="126">
        <f t="shared" si="8"/>
        <v>-56.971858006130567</v>
      </c>
      <c r="AL40" s="126">
        <f t="shared" si="8"/>
        <v>-14.872456549329897</v>
      </c>
      <c r="AM40" s="126">
        <f t="shared" si="8"/>
        <v>-4.1257570262284</v>
      </c>
      <c r="AN40" s="126">
        <f t="shared" si="8"/>
        <v>3.5682136930417325</v>
      </c>
      <c r="AO40" s="126">
        <f t="shared" si="8"/>
        <v>5.4765858780027408</v>
      </c>
      <c r="AP40" s="126">
        <f t="shared" si="8"/>
        <v>-9.9534140045138173</v>
      </c>
      <c r="AQ40" s="126">
        <f t="shared" si="8"/>
        <v>6.6946138004420179</v>
      </c>
      <c r="AR40" s="126">
        <f t="shared" si="8"/>
        <v>458.66910094920007</v>
      </c>
      <c r="AS40" s="126">
        <f t="shared" si="8"/>
        <v>19.834320445570384</v>
      </c>
      <c r="AT40" s="126">
        <f t="shared" si="8"/>
        <v>59.238812532749591</v>
      </c>
      <c r="AU40" s="126">
        <f t="shared" si="8"/>
        <v>544.436847727962</v>
      </c>
      <c r="AV40" s="126">
        <f t="shared" si="8"/>
        <v>18.70139263089991</v>
      </c>
      <c r="AW40" s="126">
        <v>16.57251838396283</v>
      </c>
      <c r="AX40" s="126">
        <v>23.104735488165154</v>
      </c>
      <c r="AY40" s="126">
        <v>6.2555457018180016</v>
      </c>
      <c r="AZ40" s="126">
        <v>64.634192204845917</v>
      </c>
      <c r="BA40" s="126">
        <v>19.668204998210072</v>
      </c>
      <c r="BB40" s="126">
        <f>BB36+BB37</f>
        <v>5.4293345937350903</v>
      </c>
    </row>
    <row r="41" spans="1:54" s="85" customFormat="1" ht="15" customHeight="1">
      <c r="A41" t="s">
        <v>278</v>
      </c>
      <c r="B41" s="112" t="str">
        <f>IF('Sumário | Summary'!P1=1,"Participação dos minoritários","Minority interest")</f>
        <v>Participação dos minoritários</v>
      </c>
      <c r="C41" s="87">
        <v>6.5640000000000001</v>
      </c>
      <c r="D41" s="87">
        <v>6.4189999999999996</v>
      </c>
      <c r="E41" s="87">
        <v>6.5439999999999996</v>
      </c>
      <c r="F41" s="87">
        <v>6.1980000000000004</v>
      </c>
      <c r="G41" s="87">
        <v>25.725000000000001</v>
      </c>
      <c r="H41" s="87">
        <v>2E-3</v>
      </c>
      <c r="I41" s="87">
        <v>2E-3</v>
      </c>
      <c r="J41" s="87">
        <v>1.0999999999999999E-2</v>
      </c>
      <c r="K41" s="87">
        <v>8.9999999999999993E-3</v>
      </c>
      <c r="L41" s="87">
        <v>2.4E-2</v>
      </c>
      <c r="M41" s="87">
        <v>8.0000000000000002E-3</v>
      </c>
      <c r="N41" s="87">
        <v>8.9999999999999993E-3</v>
      </c>
      <c r="O41" s="87">
        <v>5.0000000000000001E-3</v>
      </c>
      <c r="P41" s="87">
        <v>4.0000000000000001E-3</v>
      </c>
      <c r="Q41" s="87">
        <v>2.5999999999999999E-2</v>
      </c>
      <c r="R41" s="87">
        <v>-5.0656458847500004E-3</v>
      </c>
      <c r="S41" s="87">
        <v>6.0000000000000001E-3</v>
      </c>
      <c r="T41" s="87">
        <v>-6.3634360927499979E-3</v>
      </c>
      <c r="U41" s="87">
        <v>-5.0000000000000001E-3</v>
      </c>
      <c r="V41" s="87">
        <v>-1.0429081977499997E-2</v>
      </c>
      <c r="W41" s="87">
        <v>6.0000000000000001E-3</v>
      </c>
      <c r="X41" s="87">
        <v>5.0000000000000001E-3</v>
      </c>
      <c r="Y41" s="87">
        <v>-5.0000000000000001E-3</v>
      </c>
      <c r="Z41" s="87">
        <v>6.0000000000000001E-3</v>
      </c>
      <c r="AA41" s="87">
        <v>1.2E-2</v>
      </c>
      <c r="AB41" s="87">
        <v>-5.2765735398799998E-3</v>
      </c>
      <c r="AC41" s="87">
        <v>-5.4324716985000004E-3</v>
      </c>
      <c r="AD41" s="87">
        <v>-5.5367712675000007E-3</v>
      </c>
      <c r="AE41" s="87">
        <v>-6.1970202360000001E-3</v>
      </c>
      <c r="AF41" s="87">
        <v>-2.2442836741880003E-2</v>
      </c>
      <c r="AG41" s="87">
        <v>-6.8031771142500006E-3</v>
      </c>
      <c r="AH41" s="87">
        <v>-6.559818952500001E-3</v>
      </c>
      <c r="AI41" s="87">
        <v>-7.4044744784999995E-3</v>
      </c>
      <c r="AJ41" s="87">
        <v>-7.7120432047400062E-3</v>
      </c>
      <c r="AK41" s="87">
        <v>-2.8479513749990006E-2</v>
      </c>
      <c r="AL41" s="87">
        <v>-8.1535162499999994E-3</v>
      </c>
      <c r="AM41" s="87">
        <v>-8.206406250000001E-3</v>
      </c>
      <c r="AN41" s="87">
        <v>-9.4105574999999997E-3</v>
      </c>
      <c r="AO41" s="87">
        <v>-8.5819687500000089E-3</v>
      </c>
      <c r="AP41" s="87">
        <v>-3.4352448750000007E-2</v>
      </c>
      <c r="AQ41" s="87">
        <v>-8.3931187500000011E-3</v>
      </c>
      <c r="AR41" s="87">
        <v>-1.5612141666028321</v>
      </c>
      <c r="AS41" s="87">
        <v>2.7365761355741833</v>
      </c>
      <c r="AT41" s="87">
        <v>0.65074641907817132</v>
      </c>
      <c r="AU41" s="87">
        <v>1.8177152692995227</v>
      </c>
      <c r="AV41" s="87">
        <v>0</v>
      </c>
      <c r="AW41" s="87">
        <v>0</v>
      </c>
      <c r="AX41" s="87">
        <v>-3.3228899687310328E-7</v>
      </c>
      <c r="AY41" s="87">
        <v>-3.2526065174565134E-22</v>
      </c>
      <c r="AZ41" s="87">
        <v>-3.3228899687310359E-7</v>
      </c>
      <c r="BA41" s="87">
        <v>0</v>
      </c>
      <c r="BB41" s="87">
        <v>0</v>
      </c>
    </row>
    <row r="42" spans="1:54" s="1" customFormat="1" ht="15" customHeight="1">
      <c r="A42" t="s">
        <v>270</v>
      </c>
      <c r="B42" s="11" t="str">
        <f>IF('Sumário | Summary'!P1=1,"Lucro/Prejuízo do Período","Profit / Loss for the Period")</f>
        <v>Lucro/Prejuízo do Período</v>
      </c>
      <c r="C42" s="126">
        <f t="shared" ref="C42:AV42" si="9">SUM(C40:C41)</f>
        <v>17.523315371528497</v>
      </c>
      <c r="D42" s="126">
        <f t="shared" si="9"/>
        <v>1.8803914675728892</v>
      </c>
      <c r="E42" s="126">
        <f t="shared" si="9"/>
        <v>-4.0498605486913855</v>
      </c>
      <c r="F42" s="126">
        <f t="shared" si="9"/>
        <v>14.974776339248152</v>
      </c>
      <c r="G42" s="126">
        <f t="shared" si="9"/>
        <v>30.125650359658195</v>
      </c>
      <c r="H42" s="126">
        <f t="shared" si="9"/>
        <v>-19.683117408133807</v>
      </c>
      <c r="I42" s="126">
        <f t="shared" si="9"/>
        <v>-17.042188922923973</v>
      </c>
      <c r="J42" s="126">
        <f t="shared" si="9"/>
        <v>218.8784212466015</v>
      </c>
      <c r="K42" s="126">
        <f t="shared" si="9"/>
        <v>-7.6652740644860557</v>
      </c>
      <c r="L42" s="126">
        <f t="shared" si="9"/>
        <v>175.2534743365747</v>
      </c>
      <c r="M42" s="126">
        <f t="shared" si="9"/>
        <v>8.9943277392059997</v>
      </c>
      <c r="N42" s="126">
        <f t="shared" si="9"/>
        <v>23.018433035378905</v>
      </c>
      <c r="O42" s="126">
        <f t="shared" si="9"/>
        <v>-19.089717185020852</v>
      </c>
      <c r="P42" s="126">
        <f t="shared" si="9"/>
        <v>-13.772322249109688</v>
      </c>
      <c r="Q42" s="126">
        <f t="shared" si="9"/>
        <v>-0.8350540795456316</v>
      </c>
      <c r="R42" s="126">
        <f t="shared" si="9"/>
        <v>3.1575726923459499</v>
      </c>
      <c r="S42" s="126">
        <f t="shared" si="9"/>
        <v>-17.129897316696322</v>
      </c>
      <c r="T42" s="126">
        <f t="shared" si="9"/>
        <v>8.824775842315697</v>
      </c>
      <c r="U42" s="126">
        <f t="shared" si="9"/>
        <v>38.019751805735886</v>
      </c>
      <c r="V42" s="126">
        <f t="shared" si="9"/>
        <v>32.872203023701168</v>
      </c>
      <c r="W42" s="126">
        <f t="shared" si="9"/>
        <v>16.537098054118051</v>
      </c>
      <c r="X42" s="126">
        <f t="shared" si="9"/>
        <v>0.90091905181223109</v>
      </c>
      <c r="Y42" s="126">
        <f t="shared" si="9"/>
        <v>26.703188584556429</v>
      </c>
      <c r="Z42" s="126">
        <f t="shared" si="9"/>
        <v>6.6610055609069727</v>
      </c>
      <c r="AA42" s="126">
        <f t="shared" si="9"/>
        <v>50.802211251393729</v>
      </c>
      <c r="AB42" s="126">
        <f t="shared" si="9"/>
        <v>7.1260310931630846</v>
      </c>
      <c r="AC42" s="126">
        <f t="shared" si="9"/>
        <v>7.1278165832374958</v>
      </c>
      <c r="AD42" s="126">
        <f t="shared" si="9"/>
        <v>9.0277660241353015</v>
      </c>
      <c r="AE42" s="126">
        <f t="shared" si="9"/>
        <v>1263.404293442336</v>
      </c>
      <c r="AF42" s="126">
        <f t="shared" si="9"/>
        <v>1286.6859071428719</v>
      </c>
      <c r="AG42" s="126">
        <f t="shared" si="9"/>
        <v>-10.919542422307366</v>
      </c>
      <c r="AH42" s="126">
        <f t="shared" si="9"/>
        <v>-29.158736814068757</v>
      </c>
      <c r="AI42" s="126">
        <f t="shared" si="9"/>
        <v>6.8530841542464556</v>
      </c>
      <c r="AJ42" s="126">
        <f t="shared" si="9"/>
        <v>-23.775142437750851</v>
      </c>
      <c r="AK42" s="126">
        <f t="shared" si="9"/>
        <v>-57.00033751988056</v>
      </c>
      <c r="AL42" s="126">
        <f t="shared" si="9"/>
        <v>-14.880610065579896</v>
      </c>
      <c r="AM42" s="126">
        <f t="shared" si="9"/>
        <v>-4.1339634324784003</v>
      </c>
      <c r="AN42" s="126">
        <f t="shared" si="9"/>
        <v>3.5588031355417327</v>
      </c>
      <c r="AO42" s="126">
        <f t="shared" si="9"/>
        <v>5.468003909252741</v>
      </c>
      <c r="AP42" s="126">
        <f t="shared" si="9"/>
        <v>-9.9877664532638182</v>
      </c>
      <c r="AQ42" s="126">
        <f t="shared" si="9"/>
        <v>6.686220681692018</v>
      </c>
      <c r="AR42" s="126">
        <f t="shared" si="9"/>
        <v>457.10788678259723</v>
      </c>
      <c r="AS42" s="126">
        <f t="shared" si="9"/>
        <v>22.570896581144567</v>
      </c>
      <c r="AT42" s="126">
        <f t="shared" si="9"/>
        <v>59.889558951827766</v>
      </c>
      <c r="AU42" s="126">
        <f t="shared" si="9"/>
        <v>546.25456299726147</v>
      </c>
      <c r="AV42" s="126">
        <f t="shared" si="9"/>
        <v>18.70139263089991</v>
      </c>
      <c r="AW42" s="126">
        <v>16.57251838396283</v>
      </c>
      <c r="AX42" s="126">
        <v>23.104735155876156</v>
      </c>
      <c r="AY42" s="126">
        <v>6.2555457018180016</v>
      </c>
      <c r="AZ42" s="126">
        <v>64.634191872556926</v>
      </c>
      <c r="BA42" s="126">
        <v>19.668204998210072</v>
      </c>
      <c r="BB42" s="126">
        <f>SUM(BB40:BB41)</f>
        <v>5.4293345937350903</v>
      </c>
    </row>
    <row r="43" spans="1:54" s="1" customFormat="1">
      <c r="A43" s="175" t="s">
        <v>111</v>
      </c>
      <c r="B43" s="11" t="str">
        <f>IF('Sumário | Summary'!P1=1,"Margem Líquida","Net Margin")</f>
        <v>Margem Líquida</v>
      </c>
      <c r="C43" s="213">
        <f t="shared" ref="C43:AV43" si="10">C42/C14</f>
        <v>0.17407110532999912</v>
      </c>
      <c r="D43" s="213">
        <f t="shared" si="10"/>
        <v>1.930210354097054E-2</v>
      </c>
      <c r="E43" s="213">
        <f t="shared" si="10"/>
        <v>-3.0762716796731329E-2</v>
      </c>
      <c r="F43" s="213">
        <f t="shared" si="10"/>
        <v>0.11632562119342653</v>
      </c>
      <c r="G43" s="213">
        <f t="shared" si="10"/>
        <v>6.5709608507865669E-2</v>
      </c>
      <c r="H43" s="213">
        <f t="shared" si="10"/>
        <v>-0.21107889290875456</v>
      </c>
      <c r="I43" s="213">
        <f t="shared" si="10"/>
        <v>-0.16826861646800614</v>
      </c>
      <c r="J43" s="213">
        <f t="shared" si="10"/>
        <v>2.3565182793912078</v>
      </c>
      <c r="K43" s="213">
        <f t="shared" si="10"/>
        <v>-8.9478714479667681E-2</v>
      </c>
      <c r="L43" s="213">
        <f t="shared" si="10"/>
        <v>0.46849252590248103</v>
      </c>
      <c r="M43" s="213">
        <f t="shared" si="10"/>
        <v>0.11283962462229168</v>
      </c>
      <c r="N43" s="213">
        <f t="shared" si="10"/>
        <v>0.16322492918397558</v>
      </c>
      <c r="O43" s="213">
        <f t="shared" si="10"/>
        <v>-0.23015616939327055</v>
      </c>
      <c r="P43" s="213">
        <f t="shared" si="10"/>
        <v>-0.16015995023600027</v>
      </c>
      <c r="Q43" s="213">
        <f t="shared" si="10"/>
        <v>-2.1430038355277066E-3</v>
      </c>
      <c r="R43" s="213">
        <f t="shared" si="10"/>
        <v>3.7059555274817219E-2</v>
      </c>
      <c r="S43" s="213">
        <f t="shared" si="10"/>
        <v>-0.19544301868056002</v>
      </c>
      <c r="T43" s="213">
        <f t="shared" si="10"/>
        <v>9.8821946043118711E-2</v>
      </c>
      <c r="U43" s="213">
        <f t="shared" si="10"/>
        <v>0.38652965879792489</v>
      </c>
      <c r="V43" s="213">
        <f t="shared" si="10"/>
        <v>9.1182318056033412E-2</v>
      </c>
      <c r="W43" s="213">
        <f t="shared" si="10"/>
        <v>0.17860547079723657</v>
      </c>
      <c r="X43" s="213">
        <f t="shared" si="10"/>
        <v>1.4213206755990896E-2</v>
      </c>
      <c r="Y43" s="213">
        <f t="shared" si="10"/>
        <v>0.28449637270232264</v>
      </c>
      <c r="Z43" s="213">
        <f t="shared" si="10"/>
        <v>7.5379024544945605E-2</v>
      </c>
      <c r="AA43" s="213">
        <f t="shared" si="10"/>
        <v>0.15021163195858719</v>
      </c>
      <c r="AB43" s="213">
        <f t="shared" si="10"/>
        <v>9.1065790076908737E-2</v>
      </c>
      <c r="AC43" s="213">
        <f t="shared" si="10"/>
        <v>9.2658940103046275E-2</v>
      </c>
      <c r="AD43" s="213">
        <f t="shared" si="10"/>
        <v>0.10140564546191304</v>
      </c>
      <c r="AE43" s="213">
        <f t="shared" si="10"/>
        <v>0.90408989369606774</v>
      </c>
      <c r="AF43" s="213">
        <f t="shared" si="10"/>
        <v>0.7837830952117335</v>
      </c>
      <c r="AG43" s="213">
        <f t="shared" si="10"/>
        <v>-8.9378812182848266E-2</v>
      </c>
      <c r="AH43" s="213">
        <f t="shared" si="10"/>
        <v>-0.42164769786328754</v>
      </c>
      <c r="AI43" s="213">
        <f t="shared" si="10"/>
        <v>9.2278140903196165E-2</v>
      </c>
      <c r="AJ43" s="213">
        <f t="shared" si="10"/>
        <v>-0.29824497067082412</v>
      </c>
      <c r="AK43" s="213">
        <f t="shared" si="10"/>
        <v>-0.16507095447509323</v>
      </c>
      <c r="AL43" s="213">
        <f t="shared" si="10"/>
        <v>-0.20055236042979308</v>
      </c>
      <c r="AM43" s="213">
        <f t="shared" si="10"/>
        <v>-5.3166863609745485E-2</v>
      </c>
      <c r="AN43" s="213">
        <f t="shared" si="10"/>
        <v>4.4197383401200441E-2</v>
      </c>
      <c r="AO43" s="213">
        <f t="shared" si="10"/>
        <v>6.1615567026314558E-2</v>
      </c>
      <c r="AP43" s="213">
        <f t="shared" si="10"/>
        <v>-3.1093499697163907E-2</v>
      </c>
      <c r="AQ43" s="213">
        <f t="shared" si="10"/>
        <v>7.7810257977868502E-2</v>
      </c>
      <c r="AR43" s="213">
        <f t="shared" si="10"/>
        <v>0.57498313982835081</v>
      </c>
      <c r="AS43" s="213">
        <f t="shared" si="10"/>
        <v>0.4715853944870666</v>
      </c>
      <c r="AT43" s="213">
        <f t="shared" si="10"/>
        <v>0.88650503104499156</v>
      </c>
      <c r="AU43" s="213">
        <f t="shared" si="10"/>
        <v>0.54826008338351206</v>
      </c>
      <c r="AV43" s="213">
        <f t="shared" si="10"/>
        <v>0.32401799130718179</v>
      </c>
      <c r="AW43" s="213">
        <v>0.2943807546812765</v>
      </c>
      <c r="AX43" s="213">
        <v>0.41224629847937971</v>
      </c>
      <c r="AY43" s="213">
        <v>0.10473944286227836</v>
      </c>
      <c r="AZ43" s="213">
        <v>0.28128223148750836</v>
      </c>
      <c r="BA43" s="213">
        <v>0.33107588181080599</v>
      </c>
      <c r="BB43" s="213">
        <f>BB42/BB14</f>
        <v>9.2137962597963807E-2</v>
      </c>
    </row>
    <row r="44" spans="1:54" s="1" customFormat="1">
      <c r="A44" s="175" t="s">
        <v>112</v>
      </c>
      <c r="B44" s="24" t="str">
        <f>IF('Sumário | Summary'!P1=1,"Lucro Líquido por ação","Profit Per Share")</f>
        <v>Lucro Líquido por ação</v>
      </c>
      <c r="C44" s="158">
        <v>3.6750909816292664E-2</v>
      </c>
      <c r="D44" s="158">
        <v>-9.1565079521330001E-2</v>
      </c>
      <c r="E44" s="158">
        <v>-0.14325709701732667</v>
      </c>
      <c r="F44" s="158">
        <v>1.9851814614239054E-2</v>
      </c>
      <c r="G44" s="158">
        <v>-0.17821256210320849</v>
      </c>
      <c r="H44" s="158">
        <v>-0.16451909851674587</v>
      </c>
      <c r="I44" s="158">
        <v>-0.14245212727962459</v>
      </c>
      <c r="J44" s="158">
        <v>1.8289297720680917</v>
      </c>
      <c r="K44" s="158">
        <v>-6.6178063053843134E-2</v>
      </c>
      <c r="L44" s="158">
        <v>1.4557804832178785</v>
      </c>
      <c r="M44" s="158">
        <v>7.5143542508701047E-2</v>
      </c>
      <c r="N44" s="158">
        <v>0.19221196923680781</v>
      </c>
      <c r="O44" s="158">
        <v>-0.15961867620128317</v>
      </c>
      <c r="P44" s="158">
        <v>-0.11514737034221308</v>
      </c>
      <c r="Q44" s="158">
        <v>-7.4105347979871432E-3</v>
      </c>
      <c r="R44" s="158">
        <v>2.6500504531685475E-2</v>
      </c>
      <c r="S44" s="158">
        <v>-0.1432729279278315</v>
      </c>
      <c r="T44" s="158">
        <v>7.4069630034729453E-2</v>
      </c>
      <c r="U44" s="158">
        <v>0.24051746847709043</v>
      </c>
      <c r="V44" s="158">
        <v>0.19781467511567385</v>
      </c>
      <c r="W44" s="158">
        <v>0.10753695958315501</v>
      </c>
      <c r="X44" s="158">
        <v>5.8339134030301549E-3</v>
      </c>
      <c r="Y44" s="158">
        <v>0.17490384759609479</v>
      </c>
      <c r="Z44" s="158">
        <v>4.3566919715912054E-2</v>
      </c>
      <c r="AA44" s="158">
        <v>0.33184164029819202</v>
      </c>
      <c r="AB44" s="158">
        <v>4.6679056527871847E-2</v>
      </c>
      <c r="AC44" s="158">
        <v>4.6708404258523246E-2</v>
      </c>
      <c r="AD44" s="158">
        <v>5.9135027035655298E-2</v>
      </c>
      <c r="AE44" s="158">
        <v>8.2767786898264397</v>
      </c>
      <c r="AF44" s="158">
        <v>8.4293011776484903</v>
      </c>
      <c r="AG44" s="158">
        <v>-7.1536105295593094E-2</v>
      </c>
      <c r="AH44" s="158">
        <v>-0.19102435608494467</v>
      </c>
      <c r="AI44" s="158">
        <v>4.4895273799491459E-2</v>
      </c>
      <c r="AJ44" s="158">
        <v>-0.15575420315091579</v>
      </c>
      <c r="AK44" s="158">
        <v>-0.37341939073196212</v>
      </c>
      <c r="AL44" s="158">
        <v>-9.7485893231030421E-2</v>
      </c>
      <c r="AM44" s="158">
        <v>-2.7082763702789364E-2</v>
      </c>
      <c r="AN44" s="158">
        <v>2.3313872532614757E-2</v>
      </c>
      <c r="AO44" s="158">
        <v>3.5470173862224383E-2</v>
      </c>
      <c r="AP44" s="158">
        <v>-6.5784610538980645E-2</v>
      </c>
      <c r="AQ44" s="158">
        <v>4.380258110075344E-2</v>
      </c>
      <c r="AR44" s="158">
        <v>2.9945923468266225</v>
      </c>
      <c r="AS44" s="158">
        <v>0.14786582362132172</v>
      </c>
      <c r="AT44" s="158">
        <v>0.39234679618919577</v>
      </c>
      <c r="AU44" s="158">
        <v>3.5786075477378936</v>
      </c>
      <c r="AV44" s="158">
        <v>0.12251603804448896</v>
      </c>
      <c r="AW44" s="158">
        <v>0.1085694168822381</v>
      </c>
      <c r="AX44" s="158">
        <v>0.15136309189552333</v>
      </c>
      <c r="AY44" s="158">
        <v>4.0981155271115066E-2</v>
      </c>
      <c r="AZ44" s="158">
        <v>0.42342970209336545</v>
      </c>
      <c r="BA44" s="158">
        <v>0.12884979206554206</v>
      </c>
      <c r="BB44" s="158">
        <v>3.5568504269743229E-2</v>
      </c>
    </row>
    <row r="45" spans="1:54">
      <c r="Y45" s="227"/>
    </row>
    <row r="46" spans="1:54">
      <c r="C46" s="212"/>
      <c r="D46" s="212"/>
      <c r="E46" s="212"/>
      <c r="F46" s="212"/>
      <c r="G46" s="212"/>
      <c r="H46" s="212"/>
      <c r="I46" s="212"/>
      <c r="J46" s="212"/>
      <c r="K46" s="212"/>
      <c r="L46" s="212"/>
      <c r="M46" s="212"/>
      <c r="N46" s="212"/>
      <c r="O46" s="212"/>
      <c r="P46" s="212"/>
      <c r="Q46" s="212"/>
      <c r="R46" s="212"/>
      <c r="S46" s="212"/>
      <c r="T46" s="212"/>
      <c r="U46" s="212"/>
      <c r="V46" s="212"/>
      <c r="AM46" s="212"/>
      <c r="AN46" s="212"/>
      <c r="AO46" s="212"/>
      <c r="AP46" s="212"/>
      <c r="AQ46" s="212"/>
      <c r="AR46" s="212"/>
      <c r="AS46" s="212"/>
      <c r="AT46" s="212"/>
      <c r="AU46" s="212"/>
      <c r="AV46" s="212"/>
      <c r="AW46" s="212"/>
      <c r="AX46" s="212"/>
      <c r="AY46" s="212"/>
      <c r="AZ46" s="212"/>
      <c r="BA46" s="212"/>
      <c r="BB46" s="212"/>
    </row>
    <row r="47" spans="1:54">
      <c r="C47" s="212"/>
      <c r="D47" s="212"/>
      <c r="E47" s="212"/>
      <c r="F47" s="212"/>
      <c r="G47" s="212"/>
      <c r="H47" s="212"/>
      <c r="I47" s="212"/>
      <c r="J47" s="212"/>
      <c r="K47" s="212"/>
      <c r="L47" s="212"/>
      <c r="M47" s="212"/>
      <c r="N47" s="212"/>
      <c r="O47" s="212"/>
      <c r="P47" s="212"/>
      <c r="Q47" s="212"/>
      <c r="R47" s="212"/>
      <c r="S47" s="212"/>
      <c r="T47" s="212"/>
      <c r="U47" s="212"/>
      <c r="V47" s="212"/>
      <c r="AM47" s="212"/>
      <c r="AN47" s="212"/>
      <c r="AO47" s="212"/>
      <c r="AP47" s="212"/>
      <c r="AQ47" s="212"/>
      <c r="AR47" s="212"/>
      <c r="AS47" s="212"/>
      <c r="AT47" s="212"/>
      <c r="AU47" s="212"/>
      <c r="AV47" s="212"/>
      <c r="AW47" s="212"/>
      <c r="AX47" s="212"/>
      <c r="AY47" s="212"/>
      <c r="AZ47" s="212"/>
      <c r="BA47" s="212"/>
      <c r="BB47" s="212"/>
    </row>
    <row r="67" spans="3:54" s="2" customFormat="1">
      <c r="C67" s="155"/>
      <c r="D67" s="155"/>
      <c r="E67" s="155"/>
      <c r="F67" s="155"/>
      <c r="G67" s="155"/>
      <c r="H67" s="155"/>
      <c r="I67" s="155"/>
      <c r="J67" s="155"/>
      <c r="K67" s="155"/>
      <c r="L67" s="155"/>
      <c r="M67" s="155"/>
      <c r="N67" s="155"/>
      <c r="O67" s="155"/>
      <c r="P67" s="155"/>
      <c r="Q67" s="155"/>
      <c r="R67" s="155"/>
      <c r="S67" s="155"/>
      <c r="T67" s="155"/>
      <c r="U67" s="155"/>
      <c r="V67" s="155"/>
      <c r="W67" s="57"/>
      <c r="X67" s="57"/>
      <c r="Y67" s="57"/>
      <c r="Z67" s="57"/>
      <c r="AA67" s="199"/>
      <c r="AB67" s="199"/>
      <c r="AC67" s="199"/>
      <c r="AD67" s="199"/>
      <c r="AE67" s="57"/>
      <c r="AF67" s="199"/>
      <c r="AG67" s="199"/>
      <c r="AH67" s="199"/>
      <c r="AI67" s="155"/>
      <c r="AJ67" s="199"/>
      <c r="AK67" s="155"/>
      <c r="AL67" s="155"/>
      <c r="AM67" s="155"/>
      <c r="AN67" s="155"/>
      <c r="AO67" s="155"/>
      <c r="AP67" s="155"/>
      <c r="AQ67" s="155"/>
      <c r="AR67" s="155"/>
      <c r="AS67" s="155"/>
      <c r="AT67" s="155"/>
      <c r="AU67" s="155"/>
      <c r="AV67" s="155"/>
      <c r="AW67" s="155"/>
      <c r="AX67" s="155"/>
      <c r="AY67" s="155"/>
      <c r="AZ67" s="155"/>
      <c r="BA67" s="155"/>
      <c r="BB67" s="155"/>
    </row>
  </sheetData>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dimension ref="A1:BV72"/>
  <sheetViews>
    <sheetView showGridLines="0" showRowColHeaders="0" zoomScaleNormal="100" workbookViewId="0">
      <pane xSplit="2" ySplit="5" topLeftCell="BM6" activePane="bottomRight" state="frozen"/>
      <selection activeCell="B1" sqref="B1"/>
      <selection pane="topRight" activeCell="B1" sqref="B1"/>
      <selection pane="bottomLeft" activeCell="B1" sqref="B1"/>
      <selection pane="bottomRight" activeCell="B1" sqref="B1"/>
    </sheetView>
  </sheetViews>
  <sheetFormatPr defaultRowHeight="14.4" outlineLevelCol="1"/>
  <cols>
    <col min="1" max="1" width="57.33203125" hidden="1" customWidth="1"/>
    <col min="2" max="2" width="42.77734375" customWidth="1"/>
    <col min="3" max="6" width="15.109375" hidden="1" customWidth="1" outlineLevel="1"/>
    <col min="7" max="7" width="15.109375" customWidth="1" collapsed="1"/>
    <col min="8" max="11" width="15.109375" hidden="1" customWidth="1" outlineLevel="1"/>
    <col min="12" max="12" width="15.109375" customWidth="1" collapsed="1"/>
    <col min="13" max="16" width="15.109375" hidden="1" customWidth="1" outlineLevel="1"/>
    <col min="17" max="17" width="15.109375" customWidth="1" collapsed="1"/>
    <col min="18" max="21" width="15.109375" hidden="1" customWidth="1" outlineLevel="1"/>
    <col min="22" max="22" width="15.109375" customWidth="1" collapsed="1"/>
    <col min="23" max="26" width="15.109375" hidden="1" customWidth="1" outlineLevel="1"/>
    <col min="27" max="27" width="10.5546875" bestFit="1" customWidth="1" collapsed="1"/>
    <col min="28" max="28" width="15.109375" hidden="1" customWidth="1" outlineLevel="1" collapsed="1"/>
    <col min="29" max="31" width="15.109375" hidden="1" customWidth="1" outlineLevel="1"/>
    <col min="32" max="32" width="15.109375" customWidth="1" collapsed="1"/>
    <col min="33" max="36" width="15.109375" hidden="1" customWidth="1" outlineLevel="1"/>
    <col min="37" max="37" width="15.109375" customWidth="1" collapsed="1"/>
    <col min="38" max="41" width="15.109375" hidden="1" customWidth="1" outlineLevel="1"/>
    <col min="42" max="42" width="15.109375" customWidth="1" collapsed="1"/>
    <col min="43" max="46" width="15.109375" hidden="1" customWidth="1" outlineLevel="1"/>
    <col min="47" max="47" width="15.109375" style="7" customWidth="1" collapsed="1"/>
    <col min="48" max="48" width="15.109375" style="7" hidden="1" customWidth="1" outlineLevel="1"/>
    <col min="49" max="49" width="11.5546875" style="153" bestFit="1" customWidth="1" collapsed="1"/>
    <col min="50" max="51" width="15.109375" style="7" hidden="1" customWidth="1" outlineLevel="1"/>
    <col min="52" max="52" width="15.109375" style="7" customWidth="1" collapsed="1"/>
    <col min="53" max="57" width="15.109375" style="7" hidden="1" customWidth="1" outlineLevel="1"/>
    <col min="58" max="58" width="15.109375" style="7" customWidth="1" collapsed="1"/>
    <col min="59" max="74" width="15.109375" style="7" customWidth="1"/>
  </cols>
  <sheetData>
    <row r="1" spans="1:74">
      <c r="B1" s="108" t="s">
        <v>42</v>
      </c>
      <c r="AL1" s="221"/>
      <c r="AM1" s="221"/>
      <c r="AN1" s="221"/>
      <c r="AO1" s="221"/>
      <c r="AQ1" s="221"/>
      <c r="AR1" s="221"/>
      <c r="AS1" s="221"/>
      <c r="AT1" s="221"/>
      <c r="AU1" s="221"/>
      <c r="AV1" s="221"/>
      <c r="AX1" s="221"/>
      <c r="AY1" s="221"/>
      <c r="BA1" s="221"/>
      <c r="BB1" s="221"/>
      <c r="BC1" s="221"/>
      <c r="BD1" s="221"/>
      <c r="BE1" s="221"/>
      <c r="BF1" s="221"/>
      <c r="BG1" s="221"/>
      <c r="BH1" s="221"/>
      <c r="BI1" s="221"/>
      <c r="BJ1" s="221"/>
      <c r="BK1" s="221"/>
      <c r="BL1" s="221"/>
      <c r="BM1" s="221"/>
      <c r="BN1" s="221"/>
      <c r="BO1" s="221"/>
      <c r="BP1" s="221"/>
      <c r="BQ1" s="221"/>
      <c r="BR1" s="221"/>
      <c r="BS1" s="221"/>
      <c r="BT1" s="232" t="s">
        <v>321</v>
      </c>
      <c r="BU1" s="221"/>
      <c r="BV1" s="221"/>
    </row>
    <row r="2" spans="1:74">
      <c r="B2" s="108" t="s">
        <v>41</v>
      </c>
      <c r="AL2" s="221"/>
      <c r="AM2" s="221"/>
      <c r="AN2" s="221"/>
      <c r="AO2" s="221"/>
      <c r="AQ2" s="221"/>
      <c r="AR2" s="221"/>
      <c r="AS2" s="221"/>
      <c r="AT2" s="221"/>
      <c r="AU2" s="221"/>
      <c r="AV2" s="221"/>
      <c r="AX2" s="221"/>
      <c r="AY2" s="221"/>
      <c r="BA2" s="221"/>
      <c r="BB2" s="221"/>
      <c r="BC2" s="221"/>
      <c r="BD2" s="221"/>
      <c r="BE2" s="221"/>
      <c r="BF2" s="221"/>
      <c r="BG2" s="221"/>
      <c r="BH2" s="221"/>
      <c r="BI2" s="221"/>
      <c r="BJ2" s="221"/>
      <c r="BK2" s="221"/>
      <c r="BL2" s="221"/>
      <c r="BM2" s="221"/>
      <c r="BN2" s="221"/>
      <c r="BO2" s="221"/>
      <c r="BP2" s="221"/>
      <c r="BQ2" s="221"/>
      <c r="BR2" s="221"/>
      <c r="BS2" s="221"/>
      <c r="BT2" s="221"/>
      <c r="BU2" s="221"/>
      <c r="BV2" s="221"/>
    </row>
    <row r="3" spans="1:74" s="223" customFormat="1">
      <c r="A3"/>
      <c r="B3" s="224">
        <v>1</v>
      </c>
      <c r="AL3" s="222"/>
      <c r="AM3" s="222"/>
      <c r="AN3" s="222"/>
      <c r="AO3" s="222"/>
      <c r="AQ3" s="222"/>
      <c r="AR3" s="222"/>
      <c r="AS3" s="222"/>
      <c r="AT3" s="222"/>
      <c r="AU3" s="222"/>
      <c r="AV3" s="222"/>
      <c r="AW3" s="222"/>
      <c r="AX3" s="222"/>
      <c r="AY3" s="222"/>
      <c r="AZ3" s="225"/>
      <c r="BA3" s="222"/>
      <c r="BB3" s="222"/>
      <c r="BC3" s="222"/>
      <c r="BD3" s="222"/>
      <c r="BE3" s="222"/>
      <c r="BF3" s="222"/>
      <c r="BG3" s="222"/>
      <c r="BH3" s="222"/>
      <c r="BI3" s="222"/>
      <c r="BJ3" s="222"/>
      <c r="BK3" s="222"/>
      <c r="BL3" s="222"/>
      <c r="BM3" s="222"/>
      <c r="BN3" s="222"/>
      <c r="BO3" s="222"/>
      <c r="BP3" s="222"/>
      <c r="BQ3" s="222"/>
      <c r="BR3" s="222"/>
      <c r="BS3" s="222"/>
      <c r="BT3" s="222"/>
      <c r="BU3" s="222"/>
      <c r="BV3" s="222"/>
    </row>
    <row r="4" spans="1:74" ht="13.2"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13"/>
      <c r="AW4" s="154"/>
      <c r="BE4" s="7">
        <v>2022</v>
      </c>
      <c r="BF4" s="196" t="s">
        <v>283</v>
      </c>
      <c r="BG4" s="196" t="s">
        <v>286</v>
      </c>
      <c r="BH4" s="196" t="s">
        <v>288</v>
      </c>
      <c r="BI4" s="196" t="s">
        <v>312</v>
      </c>
      <c r="BJ4" s="196">
        <v>2023</v>
      </c>
      <c r="BK4" s="196" t="s">
        <v>318</v>
      </c>
      <c r="BL4" s="229"/>
      <c r="BM4" s="229"/>
      <c r="BN4" s="196" t="s">
        <v>330</v>
      </c>
      <c r="BO4" s="196">
        <v>2024</v>
      </c>
      <c r="BP4" s="196" t="s">
        <v>332</v>
      </c>
      <c r="BQ4" s="196" t="s">
        <v>333</v>
      </c>
    </row>
    <row r="5" spans="1:74" s="171" customFormat="1" ht="18.75" customHeight="1">
      <c r="A5"/>
      <c r="B5" s="186" t="str">
        <f>IF('Sumário | Summary'!P1=1,"Principais Indicadores","Main indicators")</f>
        <v>Principais Indicadores</v>
      </c>
      <c r="C5" s="186" t="s">
        <v>78</v>
      </c>
      <c r="D5" s="186" t="s">
        <v>79</v>
      </c>
      <c r="E5" s="186" t="s">
        <v>80</v>
      </c>
      <c r="F5" s="186" t="s">
        <v>81</v>
      </c>
      <c r="G5" s="186">
        <v>2012</v>
      </c>
      <c r="H5" s="186" t="s">
        <v>77</v>
      </c>
      <c r="I5" s="186" t="s">
        <v>76</v>
      </c>
      <c r="J5" s="186" t="s">
        <v>75</v>
      </c>
      <c r="K5" s="186" t="s">
        <v>74</v>
      </c>
      <c r="L5" s="186">
        <v>2013</v>
      </c>
      <c r="M5" s="186" t="s">
        <v>73</v>
      </c>
      <c r="N5" s="186" t="s">
        <v>72</v>
      </c>
      <c r="O5" s="186" t="s">
        <v>71</v>
      </c>
      <c r="P5" s="186" t="s">
        <v>70</v>
      </c>
      <c r="Q5" s="186">
        <v>2014</v>
      </c>
      <c r="R5" s="186" t="s">
        <v>69</v>
      </c>
      <c r="S5" s="186" t="s">
        <v>68</v>
      </c>
      <c r="T5" s="186" t="s">
        <v>67</v>
      </c>
      <c r="U5" s="186" t="s">
        <v>66</v>
      </c>
      <c r="V5" s="186">
        <v>2015</v>
      </c>
      <c r="W5" s="186" t="s">
        <v>59</v>
      </c>
      <c r="X5" s="186" t="s">
        <v>60</v>
      </c>
      <c r="Y5" s="186" t="s">
        <v>61</v>
      </c>
      <c r="Z5" s="187" t="s">
        <v>62</v>
      </c>
      <c r="AA5" s="186">
        <v>2016</v>
      </c>
      <c r="AB5" s="187" t="s">
        <v>55</v>
      </c>
      <c r="AC5" s="187" t="s">
        <v>56</v>
      </c>
      <c r="AD5" s="187" t="s">
        <v>57</v>
      </c>
      <c r="AE5" s="187" t="s">
        <v>58</v>
      </c>
      <c r="AF5" s="187">
        <v>2017</v>
      </c>
      <c r="AG5" s="187" t="s">
        <v>54</v>
      </c>
      <c r="AH5" s="187" t="s">
        <v>53</v>
      </c>
      <c r="AI5" s="187" t="s">
        <v>52</v>
      </c>
      <c r="AJ5" s="187" t="s">
        <v>51</v>
      </c>
      <c r="AK5" s="187">
        <v>2018</v>
      </c>
      <c r="AL5" s="187" t="s">
        <v>43</v>
      </c>
      <c r="AM5" s="187" t="s">
        <v>44</v>
      </c>
      <c r="AN5" s="187" t="s">
        <v>46</v>
      </c>
      <c r="AO5" s="187" t="s">
        <v>47</v>
      </c>
      <c r="AP5" s="195" t="s">
        <v>281</v>
      </c>
      <c r="AQ5" s="187" t="s">
        <v>50</v>
      </c>
      <c r="AR5" s="187" t="s">
        <v>63</v>
      </c>
      <c r="AS5" s="187" t="s">
        <v>64</v>
      </c>
      <c r="AT5" s="187" t="s">
        <v>65</v>
      </c>
      <c r="AU5" s="195" t="s">
        <v>280</v>
      </c>
      <c r="AV5" s="187" t="s">
        <v>98</v>
      </c>
      <c r="AW5" s="187" t="s">
        <v>99</v>
      </c>
      <c r="AX5" s="187" t="s">
        <v>113</v>
      </c>
      <c r="AY5" s="187" t="s">
        <v>114</v>
      </c>
      <c r="AZ5" s="195" t="s">
        <v>279</v>
      </c>
      <c r="BA5" s="187" t="s">
        <v>125</v>
      </c>
      <c r="BB5" s="187" t="s">
        <v>264</v>
      </c>
      <c r="BC5" s="187" t="s">
        <v>265</v>
      </c>
      <c r="BD5" s="195" t="s">
        <v>271</v>
      </c>
      <c r="BE5" s="195" t="s">
        <v>272</v>
      </c>
      <c r="BF5" s="195" t="s">
        <v>283</v>
      </c>
      <c r="BG5" s="195" t="s">
        <v>286</v>
      </c>
      <c r="BH5" s="195" t="s">
        <v>288</v>
      </c>
      <c r="BI5" s="195" t="s">
        <v>312</v>
      </c>
      <c r="BJ5" s="195" t="s">
        <v>313</v>
      </c>
      <c r="BK5" s="195" t="s">
        <v>318</v>
      </c>
      <c r="BL5" s="195" t="s">
        <v>320</v>
      </c>
      <c r="BM5" s="195" t="s">
        <v>328</v>
      </c>
      <c r="BN5" s="195" t="s">
        <v>330</v>
      </c>
      <c r="BO5" s="195">
        <v>2024</v>
      </c>
      <c r="BP5" s="195" t="s">
        <v>332</v>
      </c>
      <c r="BQ5" s="195" t="s">
        <v>333</v>
      </c>
      <c r="BR5" s="195" t="s">
        <v>334</v>
      </c>
      <c r="BS5" s="195" t="s">
        <v>335</v>
      </c>
      <c r="BT5" s="195">
        <v>2025</v>
      </c>
      <c r="BU5" s="195" t="s">
        <v>336</v>
      </c>
      <c r="BV5" s="195" t="s">
        <v>337</v>
      </c>
    </row>
    <row r="6" spans="1:74" s="1" customFormat="1" ht="18.75" customHeight="1">
      <c r="A6"/>
      <c r="B6" s="59" t="str">
        <f>IF('Sumário | Summary'!P1=1,"Indicadores Financeiros IFRS","IFRS Financial Indicators")</f>
        <v>Indicadores Financeiros IFRS</v>
      </c>
      <c r="C6" s="26"/>
      <c r="D6" s="59"/>
      <c r="E6" s="26"/>
      <c r="F6" s="59"/>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114"/>
      <c r="AM6" s="26"/>
      <c r="AN6" s="60"/>
      <c r="AO6" s="60"/>
      <c r="AP6" s="60"/>
      <c r="AQ6" s="60"/>
      <c r="AR6" s="60"/>
      <c r="AS6" s="60"/>
      <c r="AT6" s="60"/>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c r="BT6" s="135"/>
      <c r="BU6" s="135"/>
      <c r="BV6" s="135"/>
    </row>
    <row r="7" spans="1:74" s="1" customFormat="1" ht="15" customHeight="1">
      <c r="A7" t="s">
        <v>126</v>
      </c>
      <c r="B7" s="9" t="str">
        <f>IF('Sumário | Summary'!P1=1,"Receita Bruta (R mil)","Gross Revenue (R 000')")</f>
        <v>Receita Bruta (R mil)</v>
      </c>
      <c r="C7" s="74">
        <v>51413</v>
      </c>
      <c r="D7" s="74">
        <v>95260.668163717302</v>
      </c>
      <c r="E7" s="74">
        <v>61805.000000000007</v>
      </c>
      <c r="F7" s="74">
        <v>176715.37758555313</v>
      </c>
      <c r="G7" s="74">
        <v>385194.04574927042</v>
      </c>
      <c r="H7" s="74">
        <v>72182</v>
      </c>
      <c r="I7" s="74">
        <v>92830.000000000015</v>
      </c>
      <c r="J7" s="74">
        <v>86338.000000000015</v>
      </c>
      <c r="K7" s="74">
        <v>83233.590599999996</v>
      </c>
      <c r="L7" s="74">
        <v>334583.5906</v>
      </c>
      <c r="M7" s="74">
        <v>97687.000000000015</v>
      </c>
      <c r="N7" s="74">
        <v>86736</v>
      </c>
      <c r="O7" s="74">
        <v>120824.00000000001</v>
      </c>
      <c r="P7" s="74">
        <v>95583</v>
      </c>
      <c r="Q7" s="74">
        <v>400830</v>
      </c>
      <c r="R7" s="74">
        <v>87723</v>
      </c>
      <c r="S7" s="74">
        <v>95332</v>
      </c>
      <c r="T7" s="74">
        <v>114430</v>
      </c>
      <c r="U7" s="74">
        <v>111012.70880300002</v>
      </c>
      <c r="V7" s="74">
        <v>408497.70880299999</v>
      </c>
      <c r="W7" s="74">
        <v>99500.907622903789</v>
      </c>
      <c r="X7" s="74">
        <v>96757.999999999985</v>
      </c>
      <c r="Y7" s="74">
        <v>131274</v>
      </c>
      <c r="Z7" s="74">
        <v>121823</v>
      </c>
      <c r="AA7" s="74">
        <v>449355.90762290382</v>
      </c>
      <c r="AB7" s="74">
        <v>103931</v>
      </c>
      <c r="AC7" s="74">
        <v>114249</v>
      </c>
      <c r="AD7" s="74">
        <v>138060</v>
      </c>
      <c r="AE7" s="74">
        <v>118570.66837000003</v>
      </c>
      <c r="AF7" s="74">
        <v>474811.46158220875</v>
      </c>
      <c r="AG7" s="74">
        <v>110682.18310000001</v>
      </c>
      <c r="AH7" s="74">
        <v>174347.44369999997</v>
      </c>
      <c r="AI7" s="74">
        <v>118294.93011000002</v>
      </c>
      <c r="AJ7" s="74">
        <v>121244.84946</v>
      </c>
      <c r="AK7" s="74">
        <v>524569.40636999998</v>
      </c>
      <c r="AL7" s="115">
        <v>117686.33080000001</v>
      </c>
      <c r="AM7" s="74">
        <v>122077.61378</v>
      </c>
      <c r="AN7" s="77">
        <v>123392.79361999998</v>
      </c>
      <c r="AO7" s="77">
        <v>136614.00153000001</v>
      </c>
      <c r="AP7" s="159">
        <v>499770.73973000003</v>
      </c>
      <c r="AQ7" s="77">
        <v>136574.48824999999</v>
      </c>
      <c r="AR7" s="77">
        <v>102828.25524157073</v>
      </c>
      <c r="AS7" s="77">
        <v>152621.40886842928</v>
      </c>
      <c r="AT7" s="77">
        <v>137199.40855668671</v>
      </c>
      <c r="AU7" s="159">
        <v>529223.56091668666</v>
      </c>
      <c r="AV7" s="159">
        <v>131899.57053</v>
      </c>
      <c r="AW7" s="159">
        <v>132161.84333227499</v>
      </c>
      <c r="AX7" s="159">
        <v>140056.03486999997</v>
      </c>
      <c r="AY7" s="160">
        <v>2037258.0342724368</v>
      </c>
      <c r="AZ7" s="159">
        <v>2441375.4830047116</v>
      </c>
      <c r="BA7" s="159">
        <v>176382.61993444801</v>
      </c>
      <c r="BB7" s="160">
        <v>128153.737171142</v>
      </c>
      <c r="BC7" s="159">
        <v>128461.11733990995</v>
      </c>
      <c r="BD7" s="159">
        <v>142799.57443843904</v>
      </c>
      <c r="BE7" s="159">
        <v>575797.04888393893</v>
      </c>
      <c r="BF7" s="159">
        <v>118787.59779005199</v>
      </c>
      <c r="BG7" s="159">
        <v>119258.34112362798</v>
      </c>
      <c r="BH7" s="159">
        <v>120698.67275587999</v>
      </c>
      <c r="BI7" s="159">
        <v>129979.36749409902</v>
      </c>
      <c r="BJ7" s="159">
        <v>488723.97916365898</v>
      </c>
      <c r="BK7" s="159">
        <v>123032.084700028</v>
      </c>
      <c r="BL7" s="159">
        <v>1132577.200332012</v>
      </c>
      <c r="BM7" s="159">
        <v>95000.513116359944</v>
      </c>
      <c r="BN7" s="159">
        <v>84238.385222507874</v>
      </c>
      <c r="BO7" s="159">
        <v>1434848.1833709078</v>
      </c>
      <c r="BP7" s="159">
        <v>91218.237244407996</v>
      </c>
      <c r="BQ7" s="159">
        <v>79314.583290422015</v>
      </c>
      <c r="BR7" s="159">
        <v>94866.246353829949</v>
      </c>
      <c r="BS7" s="159">
        <v>89023.542404473934</v>
      </c>
      <c r="BT7" s="159">
        <v>354422.60929313389</v>
      </c>
      <c r="BU7" s="159">
        <v>87500.609200555991</v>
      </c>
      <c r="BV7" s="159">
        <v>87280.470212564003</v>
      </c>
    </row>
    <row r="8" spans="1:74" s="1" customFormat="1" ht="15" customHeight="1">
      <c r="A8" t="s">
        <v>100</v>
      </c>
      <c r="B8" s="9" t="str">
        <f>IF('Sumário | Summary'!P1=1,"Receita Líquida (R mil)","Net Revenue (R 000')")</f>
        <v>Receita Líquida (R mil)</v>
      </c>
      <c r="C8" s="74">
        <v>49503</v>
      </c>
      <c r="D8" s="74">
        <v>92120.126433717305</v>
      </c>
      <c r="E8" s="74">
        <v>60126.000000000007</v>
      </c>
      <c r="F8" s="74">
        <v>171090.53258555313</v>
      </c>
      <c r="G8" s="74">
        <v>372839.65901927039</v>
      </c>
      <c r="H8" s="74">
        <v>70181</v>
      </c>
      <c r="I8" s="74">
        <v>88540</v>
      </c>
      <c r="J8" s="74">
        <v>83271.000000000015</v>
      </c>
      <c r="K8" s="74">
        <v>80301.782599999991</v>
      </c>
      <c r="L8" s="74">
        <v>322293.78259999998</v>
      </c>
      <c r="M8" s="74">
        <v>94351.000000000015</v>
      </c>
      <c r="N8" s="74">
        <v>82742</v>
      </c>
      <c r="O8" s="74">
        <v>115487.00000000001</v>
      </c>
      <c r="P8" s="74">
        <v>89281</v>
      </c>
      <c r="Q8" s="74">
        <v>381861</v>
      </c>
      <c r="R8" s="74">
        <v>82368</v>
      </c>
      <c r="S8" s="74">
        <v>90883.999999999985</v>
      </c>
      <c r="T8" s="74">
        <v>105330.00000000001</v>
      </c>
      <c r="U8" s="74">
        <v>105699.708803</v>
      </c>
      <c r="V8" s="74">
        <v>384281.70880299999</v>
      </c>
      <c r="W8" s="74">
        <v>92780.907622903804</v>
      </c>
      <c r="X8" s="74">
        <v>90271.999999999971</v>
      </c>
      <c r="Y8" s="74">
        <v>123914</v>
      </c>
      <c r="Z8" s="74">
        <v>114285</v>
      </c>
      <c r="AA8" s="74">
        <v>421249</v>
      </c>
      <c r="AB8" s="74">
        <v>98078</v>
      </c>
      <c r="AC8" s="74">
        <v>106908.99999999999</v>
      </c>
      <c r="AD8" s="74">
        <v>130561</v>
      </c>
      <c r="AE8" s="74">
        <v>110723.66837000003</v>
      </c>
      <c r="AF8" s="74">
        <v>446272.46158220875</v>
      </c>
      <c r="AG8" s="74">
        <v>104534.18310000001</v>
      </c>
      <c r="AH8" s="74">
        <v>165931.44369999997</v>
      </c>
      <c r="AI8" s="74">
        <v>107745.93011000002</v>
      </c>
      <c r="AJ8" s="74">
        <v>111555.84946</v>
      </c>
      <c r="AK8" s="74">
        <v>489767.40636999998</v>
      </c>
      <c r="AL8" s="115">
        <v>112317.33080000001</v>
      </c>
      <c r="AM8" s="74">
        <v>114351.61378</v>
      </c>
      <c r="AN8" s="77">
        <v>115682.79361999998</v>
      </c>
      <c r="AO8" s="77">
        <v>128474.00153000001</v>
      </c>
      <c r="AP8" s="159">
        <v>470825.73973000003</v>
      </c>
      <c r="AQ8" s="77">
        <v>129901.48824999999</v>
      </c>
      <c r="AR8" s="77">
        <v>93057.255241570732</v>
      </c>
      <c r="AS8" s="77">
        <v>140270.40886842928</v>
      </c>
      <c r="AT8" s="159">
        <v>123095</v>
      </c>
      <c r="AU8" s="159">
        <v>486324.15236000001</v>
      </c>
      <c r="AV8" s="159">
        <v>118402.57053</v>
      </c>
      <c r="AW8" s="159">
        <v>112836.35893447747</v>
      </c>
      <c r="AX8" s="159">
        <v>124620.92497828401</v>
      </c>
      <c r="AY8" s="160">
        <v>1950251.9637402343</v>
      </c>
      <c r="AZ8" s="159">
        <v>2306111.8181829955</v>
      </c>
      <c r="BA8" s="159">
        <v>153316.65650444801</v>
      </c>
      <c r="BB8" s="160">
        <v>100578.730821142</v>
      </c>
      <c r="BC8" s="159">
        <v>105461.84669991001</v>
      </c>
      <c r="BD8" s="159">
        <v>115141.33222088823</v>
      </c>
      <c r="BE8" s="159">
        <v>474498.56624638825</v>
      </c>
      <c r="BF8" s="159">
        <v>99249.968710051995</v>
      </c>
      <c r="BG8" s="159">
        <v>103972.002553628</v>
      </c>
      <c r="BH8" s="159">
        <v>105909.25096588003</v>
      </c>
      <c r="BI8" s="159">
        <v>115576.31568409898</v>
      </c>
      <c r="BJ8" s="159">
        <v>424707.53791365901</v>
      </c>
      <c r="BK8" s="159">
        <v>112406.98021002801</v>
      </c>
      <c r="BL8" s="159">
        <v>1081428.9709220119</v>
      </c>
      <c r="BM8" s="159">
        <v>85963.801266359864</v>
      </c>
      <c r="BN8" s="159">
        <v>77943.448576857802</v>
      </c>
      <c r="BO8" s="159">
        <v>1357743.2009752577</v>
      </c>
      <c r="BP8" s="159">
        <v>83762.866134407988</v>
      </c>
      <c r="BQ8" s="159">
        <v>74371.678419171993</v>
      </c>
      <c r="BR8" s="159">
        <v>87023.624785079999</v>
      </c>
      <c r="BS8" s="159">
        <v>82508.231364474021</v>
      </c>
      <c r="BT8" s="159">
        <v>327666.40070313402</v>
      </c>
      <c r="BU8" s="159">
        <v>82332.562040555989</v>
      </c>
      <c r="BV8" s="159">
        <v>81858.409972563997</v>
      </c>
    </row>
    <row r="9" spans="1:74" s="70" customFormat="1" ht="15" customHeight="1">
      <c r="A9" t="s">
        <v>287</v>
      </c>
      <c r="B9" s="8" t="str">
        <f>IF('Sumário | Summary'!P1=1,"NOI (R mil)","NOI (R 000')")</f>
        <v>NOI (R mil)</v>
      </c>
      <c r="C9" s="71">
        <v>45900</v>
      </c>
      <c r="D9" s="71">
        <v>45600</v>
      </c>
      <c r="E9" s="71">
        <v>40900</v>
      </c>
      <c r="F9" s="71">
        <v>50900</v>
      </c>
      <c r="G9" s="71">
        <v>171600</v>
      </c>
      <c r="H9" s="71">
        <v>49272.870370000004</v>
      </c>
      <c r="I9" s="71">
        <v>49062.832999999999</v>
      </c>
      <c r="J9" s="71">
        <v>49746</v>
      </c>
      <c r="K9" s="71">
        <v>53041.78480999999</v>
      </c>
      <c r="L9" s="71">
        <v>201124</v>
      </c>
      <c r="M9" s="71">
        <v>56102.782200000009</v>
      </c>
      <c r="N9" s="71">
        <v>54193.425809999993</v>
      </c>
      <c r="O9" s="71">
        <v>58473.716220000002</v>
      </c>
      <c r="P9" s="71">
        <v>58124.35482000003</v>
      </c>
      <c r="Q9" s="71">
        <v>227541.74601999999</v>
      </c>
      <c r="R9" s="71">
        <v>57146.002190000014</v>
      </c>
      <c r="S9" s="71">
        <v>65243.15187999999</v>
      </c>
      <c r="T9" s="71">
        <v>65743.381359999999</v>
      </c>
      <c r="U9" s="71">
        <v>74943.499300000025</v>
      </c>
      <c r="V9" s="71">
        <v>263075.89814999996</v>
      </c>
      <c r="W9" s="71">
        <v>66029.006682903841</v>
      </c>
      <c r="X9" s="71">
        <v>63315.112810000006</v>
      </c>
      <c r="Y9" s="71">
        <v>72943.689599999983</v>
      </c>
      <c r="Z9" s="71">
        <v>58625.444700000007</v>
      </c>
      <c r="AA9" s="71">
        <v>260913.15574290379</v>
      </c>
      <c r="AB9" s="71">
        <v>68415.653960492025</v>
      </c>
      <c r="AC9" s="71">
        <v>79858.232385516661</v>
      </c>
      <c r="AD9" s="71">
        <v>72220.861395349988</v>
      </c>
      <c r="AE9" s="71">
        <v>76708.697625350032</v>
      </c>
      <c r="AF9" s="71">
        <v>297134.45413670875</v>
      </c>
      <c r="AG9" s="71">
        <v>75852.541129999998</v>
      </c>
      <c r="AH9" s="71">
        <v>77643.212779999987</v>
      </c>
      <c r="AI9" s="71">
        <v>83170.547835070931</v>
      </c>
      <c r="AJ9" s="71">
        <v>84864.160279999996</v>
      </c>
      <c r="AK9" s="71">
        <v>321530.46202507091</v>
      </c>
      <c r="AL9" s="73">
        <v>83670.249850000007</v>
      </c>
      <c r="AM9" s="71">
        <v>84647.447060000006</v>
      </c>
      <c r="AN9" s="73">
        <v>86742.566104335914</v>
      </c>
      <c r="AO9" s="73">
        <v>88266.953598733351</v>
      </c>
      <c r="AP9" s="161">
        <v>343327.21661306929</v>
      </c>
      <c r="AQ9" s="73">
        <v>100728.64113304051</v>
      </c>
      <c r="AR9" s="73">
        <v>75653.375726959493</v>
      </c>
      <c r="AS9" s="73">
        <v>82236.661300000007</v>
      </c>
      <c r="AT9" s="73">
        <v>88181.99259668673</v>
      </c>
      <c r="AU9" s="161">
        <v>346800.67075668671</v>
      </c>
      <c r="AV9" s="161">
        <v>92688.039829999994</v>
      </c>
      <c r="AW9" s="161">
        <v>85895.953782202487</v>
      </c>
      <c r="AX9" s="161">
        <v>94245.327209999989</v>
      </c>
      <c r="AY9" s="161">
        <v>101109.2607440904</v>
      </c>
      <c r="AZ9" s="161">
        <v>373938.58156629291</v>
      </c>
      <c r="BA9" s="161">
        <v>69514.800140000007</v>
      </c>
      <c r="BB9" s="164">
        <v>66684.929789999995</v>
      </c>
      <c r="BC9" s="161">
        <v>66980.070300000021</v>
      </c>
      <c r="BD9" s="161">
        <v>75312.396942449181</v>
      </c>
      <c r="BE9" s="161">
        <v>278492.1971724492</v>
      </c>
      <c r="BF9" s="161">
        <v>62164.474389999996</v>
      </c>
      <c r="BG9" s="161">
        <v>66585.400049999997</v>
      </c>
      <c r="BH9" s="161">
        <v>71877.737870000012</v>
      </c>
      <c r="BI9" s="161">
        <v>76843.342780000006</v>
      </c>
      <c r="BJ9" s="161">
        <v>277470.95509</v>
      </c>
      <c r="BK9" s="161">
        <v>75230.586329999991</v>
      </c>
      <c r="BL9" s="161">
        <v>62652.973809999996</v>
      </c>
      <c r="BM9" s="161">
        <v>57699.726830000029</v>
      </c>
      <c r="BN9" s="161">
        <v>30790.496437219903</v>
      </c>
      <c r="BO9" s="161">
        <v>226373.78340721992</v>
      </c>
      <c r="BP9" s="161">
        <v>44971.111069999992</v>
      </c>
      <c r="BQ9" s="161">
        <v>38967.961417500002</v>
      </c>
      <c r="BR9" s="161">
        <v>51270.004684999993</v>
      </c>
      <c r="BS9" s="161">
        <v>43808.153110000014</v>
      </c>
      <c r="BT9" s="161">
        <v>179017.23028250001</v>
      </c>
      <c r="BU9" s="161">
        <v>48155.237729999993</v>
      </c>
      <c r="BV9" s="161">
        <v>47233.916089999999</v>
      </c>
    </row>
    <row r="10" spans="1:74" s="91" customFormat="1" ht="15" customHeight="1">
      <c r="A10" t="s">
        <v>289</v>
      </c>
      <c r="B10" s="9" t="str">
        <f>IF('Sumário | Summary'!P1=1,"Margem NOI (%)","NOI Margin (%)")</f>
        <v>Margem NOI (%)</v>
      </c>
      <c r="C10" s="162">
        <v>1.1022790038663819</v>
      </c>
      <c r="D10" s="162">
        <v>1.0599709561106256</v>
      </c>
      <c r="E10" s="162">
        <v>0.95869860766021275</v>
      </c>
      <c r="F10" s="162">
        <v>0.95255463786332184</v>
      </c>
      <c r="G10" s="162">
        <v>0.94933399125241769</v>
      </c>
      <c r="H10" s="162">
        <v>0.95491909474989822</v>
      </c>
      <c r="I10" s="162">
        <v>0.95465983694277423</v>
      </c>
      <c r="J10" s="162">
        <v>0.95927340043966203</v>
      </c>
      <c r="K10" s="162">
        <v>0.96349242248090683</v>
      </c>
      <c r="L10" s="162">
        <v>0.95818237952826646</v>
      </c>
      <c r="M10" s="162">
        <v>0.86566344489191327</v>
      </c>
      <c r="N10" s="162">
        <v>0.83328350159911413</v>
      </c>
      <c r="O10" s="162">
        <v>0.86021119542191371</v>
      </c>
      <c r="P10" s="162">
        <v>0.7595869737719062</v>
      </c>
      <c r="Q10" s="162">
        <v>0.82940908070947938</v>
      </c>
      <c r="R10" s="162">
        <v>0.84685836084765864</v>
      </c>
      <c r="S10" s="162">
        <v>0.85183836064289531</v>
      </c>
      <c r="T10" s="162">
        <v>0.83856353775510195</v>
      </c>
      <c r="U10" s="162">
        <v>0.84614017172994915</v>
      </c>
      <c r="V10" s="162">
        <v>0.84578892885149737</v>
      </c>
      <c r="W10" s="162">
        <v>0.80700868570592743</v>
      </c>
      <c r="X10" s="162">
        <v>0.79990793539095184</v>
      </c>
      <c r="Y10" s="162">
        <v>0.91286874077040503</v>
      </c>
      <c r="Z10" s="162">
        <v>0.80852645464700945</v>
      </c>
      <c r="AA10" s="162">
        <v>0.83255776794410696</v>
      </c>
      <c r="AB10" s="162">
        <v>0.81825161412825942</v>
      </c>
      <c r="AC10" s="162">
        <v>0.86081957944935505</v>
      </c>
      <c r="AD10" s="162">
        <v>0.84554882038272849</v>
      </c>
      <c r="AE10" s="162">
        <v>0.82408331094601017</v>
      </c>
      <c r="AF10" s="162">
        <v>0.83728275739585678</v>
      </c>
      <c r="AG10" s="162">
        <v>0.8640404488562653</v>
      </c>
      <c r="AH10" s="162">
        <v>0.86881842406804866</v>
      </c>
      <c r="AI10" s="162">
        <v>0.87321891590555978</v>
      </c>
      <c r="AJ10" s="162">
        <v>0.89051495664254821</v>
      </c>
      <c r="AK10" s="162">
        <v>0.87444072765854708</v>
      </c>
      <c r="AL10" s="162">
        <v>0.89560336945297614</v>
      </c>
      <c r="AM10" s="162">
        <v>0.87837153342520558</v>
      </c>
      <c r="AN10" s="162">
        <v>0.89320541264976194</v>
      </c>
      <c r="AO10" s="162">
        <v>0.88967123499477252</v>
      </c>
      <c r="AP10" s="162">
        <v>0.88917522328273058</v>
      </c>
      <c r="AQ10" s="162">
        <v>0.90209744477846232</v>
      </c>
      <c r="AR10" s="162">
        <v>0.79463445095545482</v>
      </c>
      <c r="AS10" s="162">
        <v>0.80701507577807874</v>
      </c>
      <c r="AT10" s="162">
        <v>0.77487610843376808</v>
      </c>
      <c r="AU10" s="162">
        <v>0.82069511878528967</v>
      </c>
      <c r="AV10" s="162">
        <v>0.79773115097338321</v>
      </c>
      <c r="AW10" s="162">
        <v>0.75047766168966101</v>
      </c>
      <c r="AX10" s="162">
        <v>0.7999634953593262</v>
      </c>
      <c r="AY10" s="162">
        <v>0.97716365629708368</v>
      </c>
      <c r="AZ10" s="162">
        <v>0.82742801811289757</v>
      </c>
      <c r="BA10" s="162">
        <v>0.73261519232346306</v>
      </c>
      <c r="BB10" s="162">
        <v>0.68465619329180361</v>
      </c>
      <c r="BC10" s="162">
        <v>0.69254538913082464</v>
      </c>
      <c r="BD10" s="162">
        <v>0.69800868852717735</v>
      </c>
      <c r="BE10" s="162">
        <v>0.70167401851768108</v>
      </c>
      <c r="BF10" s="162">
        <v>0.70959826008638005</v>
      </c>
      <c r="BG10" s="162">
        <v>0.76088044250971043</v>
      </c>
      <c r="BH10" s="162">
        <v>0.82100732391724407</v>
      </c>
      <c r="BI10" s="162">
        <v>0.83171927901396125</v>
      </c>
      <c r="BJ10" s="162">
        <v>0.78148648618332861</v>
      </c>
      <c r="BK10" s="162">
        <v>0.84459404629287105</v>
      </c>
      <c r="BL10" s="162">
        <v>0.78580920412954913</v>
      </c>
      <c r="BM10" s="162">
        <v>0.86200556485460655</v>
      </c>
      <c r="BN10" s="162">
        <v>0.84319358611118633</v>
      </c>
      <c r="BO10" s="162">
        <v>0.83147180685981925</v>
      </c>
      <c r="BP10" s="162">
        <v>0.84804101854468605</v>
      </c>
      <c r="BQ10" s="162">
        <v>0.89349779274294983</v>
      </c>
      <c r="BR10" s="162">
        <v>0.8526843111265282</v>
      </c>
      <c r="BS10" s="162">
        <v>0.85507548924755306</v>
      </c>
      <c r="BT10" s="162">
        <v>0.86064701796692644</v>
      </c>
      <c r="BU10" s="162">
        <v>0.91575688637387698</v>
      </c>
      <c r="BV10" s="162">
        <v>0.89267279817764933</v>
      </c>
    </row>
    <row r="11" spans="1:74" s="100" customFormat="1" ht="15" customHeight="1">
      <c r="A11" t="s">
        <v>143</v>
      </c>
      <c r="B11" s="8" t="str">
        <f>IF('Sumário | Summary'!P1=1,"EBITDA (R mil)","EBITDA (R 000')")</f>
        <v>EBITDA (R mil)</v>
      </c>
      <c r="C11" s="72">
        <v>38543</v>
      </c>
      <c r="D11" s="72">
        <v>95530.942910578</v>
      </c>
      <c r="E11" s="72">
        <v>45104</v>
      </c>
      <c r="F11" s="72">
        <v>70762.153999999995</v>
      </c>
      <c r="G11" s="72">
        <v>249940.096910578</v>
      </c>
      <c r="H11" s="72">
        <v>70665</v>
      </c>
      <c r="I11" s="72">
        <v>55160</v>
      </c>
      <c r="J11" s="72">
        <v>55022</v>
      </c>
      <c r="K11" s="72">
        <v>56125.046999999999</v>
      </c>
      <c r="L11" s="72">
        <v>236972.04700000002</v>
      </c>
      <c r="M11" s="72">
        <v>64587</v>
      </c>
      <c r="N11" s="72">
        <v>52973.868369999997</v>
      </c>
      <c r="O11" s="72">
        <v>76925.47895955501</v>
      </c>
      <c r="P11" s="72">
        <v>58139</v>
      </c>
      <c r="Q11" s="72">
        <v>252625.34732955499</v>
      </c>
      <c r="R11" s="72">
        <v>50511</v>
      </c>
      <c r="S11" s="72">
        <v>78606.633955279991</v>
      </c>
      <c r="T11" s="72">
        <v>77249.646920000014</v>
      </c>
      <c r="U11" s="72">
        <v>79539.186653000012</v>
      </c>
      <c r="V11" s="72">
        <v>285906.46752827999</v>
      </c>
      <c r="W11" s="72">
        <v>104474.30345290384</v>
      </c>
      <c r="X11" s="72">
        <v>66534.275289690995</v>
      </c>
      <c r="Y11" s="72">
        <v>71452.066524792972</v>
      </c>
      <c r="Z11" s="72">
        <v>77893.519621044004</v>
      </c>
      <c r="AA11" s="72">
        <v>320354.16488843178</v>
      </c>
      <c r="AB11" s="123">
        <v>58900.032124704005</v>
      </c>
      <c r="AC11" s="72">
        <v>70156.061523644603</v>
      </c>
      <c r="AD11" s="72">
        <v>336072.87250301009</v>
      </c>
      <c r="AE11" s="72">
        <v>59507.97020535003</v>
      </c>
      <c r="AF11" s="72">
        <v>524636.93635670876</v>
      </c>
      <c r="AG11" s="72">
        <v>74931.864249999999</v>
      </c>
      <c r="AH11" s="72">
        <v>97606.565220000004</v>
      </c>
      <c r="AI11" s="72">
        <v>35545.096720000023</v>
      </c>
      <c r="AJ11" s="72">
        <v>51809.351539999989</v>
      </c>
      <c r="AK11" s="72">
        <v>259892.87772999998</v>
      </c>
      <c r="AL11" s="116">
        <v>75966.516340000016</v>
      </c>
      <c r="AM11" s="72">
        <v>53334.103700000007</v>
      </c>
      <c r="AN11" s="116">
        <v>80590.299764335912</v>
      </c>
      <c r="AO11" s="116">
        <v>105860.88135873337</v>
      </c>
      <c r="AP11" s="164">
        <v>315751.80116306932</v>
      </c>
      <c r="AQ11" s="116">
        <v>89369.90338304051</v>
      </c>
      <c r="AR11" s="116">
        <v>48252.473168530225</v>
      </c>
      <c r="AS11" s="116">
        <v>96266.775808429273</v>
      </c>
      <c r="AT11" s="116">
        <v>78741.780326686712</v>
      </c>
      <c r="AU11" s="164">
        <v>312630.93268668675</v>
      </c>
      <c r="AV11" s="164">
        <v>78251.85093324857</v>
      </c>
      <c r="AW11" s="164">
        <v>78843.154156027158</v>
      </c>
      <c r="AX11" s="164">
        <v>94395.934778370371</v>
      </c>
      <c r="AY11" s="164">
        <v>1457206.478504915</v>
      </c>
      <c r="AZ11" s="164">
        <v>1708697.4183725612</v>
      </c>
      <c r="BA11" s="164">
        <v>63282.598827142006</v>
      </c>
      <c r="BB11" s="164">
        <v>48907.732981191992</v>
      </c>
      <c r="BC11" s="164">
        <v>63249.45082197075</v>
      </c>
      <c r="BD11" s="164">
        <v>31717.199863819958</v>
      </c>
      <c r="BE11" s="164">
        <v>207156.98249412471</v>
      </c>
      <c r="BF11" s="164">
        <v>52823.642780871982</v>
      </c>
      <c r="BG11" s="164">
        <v>53870.359985553041</v>
      </c>
      <c r="BH11" s="164">
        <v>63818.315343321708</v>
      </c>
      <c r="BI11" s="164">
        <v>65246.718390001857</v>
      </c>
      <c r="BJ11" s="164">
        <v>235759.03649974859</v>
      </c>
      <c r="BK11" s="164">
        <v>65468.529314357977</v>
      </c>
      <c r="BL11" s="164">
        <v>732286.67035417038</v>
      </c>
      <c r="BM11" s="164">
        <v>39586.608657264616</v>
      </c>
      <c r="BN11" s="164">
        <v>55514.99714423262</v>
      </c>
      <c r="BO11" s="164">
        <v>892856.80547002563</v>
      </c>
      <c r="BP11" s="164">
        <v>54458.008062215638</v>
      </c>
      <c r="BQ11" s="164">
        <v>46019.257698687077</v>
      </c>
      <c r="BR11" s="164">
        <v>54803.176376905103</v>
      </c>
      <c r="BS11" s="164">
        <v>38580.074128054635</v>
      </c>
      <c r="BT11" s="164">
        <v>193860.51626586248</v>
      </c>
      <c r="BU11" s="164">
        <v>52081.430019262123</v>
      </c>
      <c r="BV11" s="164">
        <v>46131.097375348829</v>
      </c>
    </row>
    <row r="12" spans="1:74" s="1" customFormat="1" ht="15" customHeight="1">
      <c r="A12" t="s">
        <v>290</v>
      </c>
      <c r="B12" s="9" t="str">
        <f>IF('Sumário | Summary'!P1=1,"Margem EBITDA (%)","EBITDA Margin (%)")</f>
        <v>Margem EBITDA (%)</v>
      </c>
      <c r="C12" s="162">
        <f t="shared" ref="C12:BM12" si="0">C11/C8</f>
        <v>0.77859927681150642</v>
      </c>
      <c r="D12" s="162">
        <f t="shared" si="0"/>
        <v>1.0370257468037114</v>
      </c>
      <c r="E12" s="162">
        <f t="shared" si="0"/>
        <v>0.75015800153012002</v>
      </c>
      <c r="F12" s="162">
        <f t="shared" si="0"/>
        <v>0.41359479645441904</v>
      </c>
      <c r="G12" s="162">
        <f t="shared" si="0"/>
        <v>0.67036885927862011</v>
      </c>
      <c r="H12" s="162">
        <f t="shared" si="0"/>
        <v>1.0068964534560636</v>
      </c>
      <c r="I12" s="162">
        <f t="shared" si="0"/>
        <v>0.6229952563812966</v>
      </c>
      <c r="J12" s="162">
        <f t="shared" si="0"/>
        <v>0.66075824716888221</v>
      </c>
      <c r="K12" s="162">
        <f t="shared" si="0"/>
        <v>0.69892653914758807</v>
      </c>
      <c r="L12" s="162">
        <f t="shared" si="0"/>
        <v>0.7352671996595942</v>
      </c>
      <c r="M12" s="162">
        <f t="shared" si="0"/>
        <v>0.68453964451887095</v>
      </c>
      <c r="N12" s="162">
        <f t="shared" si="0"/>
        <v>0.64022948889318598</v>
      </c>
      <c r="O12" s="162">
        <f t="shared" si="0"/>
        <v>0.66609643474637836</v>
      </c>
      <c r="P12" s="162">
        <f t="shared" si="0"/>
        <v>0.65119118289445688</v>
      </c>
      <c r="Q12" s="162">
        <f t="shared" si="0"/>
        <v>0.66156362479948194</v>
      </c>
      <c r="R12" s="162">
        <f t="shared" si="0"/>
        <v>0.61323572261072257</v>
      </c>
      <c r="S12" s="162">
        <f t="shared" si="0"/>
        <v>0.86491168913428107</v>
      </c>
      <c r="T12" s="162">
        <f t="shared" si="0"/>
        <v>0.7334059329725624</v>
      </c>
      <c r="U12" s="162">
        <f t="shared" si="0"/>
        <v>0.75250147378591936</v>
      </c>
      <c r="V12" s="162">
        <f t="shared" si="0"/>
        <v>0.74400228004307234</v>
      </c>
      <c r="W12" s="162">
        <f t="shared" si="0"/>
        <v>1.1260323500770908</v>
      </c>
      <c r="X12" s="162">
        <f t="shared" si="0"/>
        <v>0.73704222006481546</v>
      </c>
      <c r="Y12" s="162">
        <f t="shared" si="0"/>
        <v>0.57662626115526072</v>
      </c>
      <c r="Z12" s="162">
        <f t="shared" si="0"/>
        <v>0.68157255651261328</v>
      </c>
      <c r="AA12" s="162">
        <f t="shared" si="0"/>
        <v>0.76048646973270395</v>
      </c>
      <c r="AB12" s="162">
        <f t="shared" si="0"/>
        <v>0.60054275295891035</v>
      </c>
      <c r="AC12" s="162">
        <f t="shared" si="0"/>
        <v>0.65622222192373525</v>
      </c>
      <c r="AD12" s="162">
        <f t="shared" si="0"/>
        <v>2.5740678495340115</v>
      </c>
      <c r="AE12" s="162">
        <f t="shared" si="0"/>
        <v>0.53744579710360629</v>
      </c>
      <c r="AF12" s="162">
        <f t="shared" si="0"/>
        <v>1.1755978276066321</v>
      </c>
      <c r="AG12" s="162">
        <f t="shared" si="0"/>
        <v>0.71681685385457417</v>
      </c>
      <c r="AH12" s="162">
        <f t="shared" si="0"/>
        <v>0.58823429148528539</v>
      </c>
      <c r="AI12" s="162">
        <f t="shared" si="0"/>
        <v>0.32989734910368596</v>
      </c>
      <c r="AJ12" s="162">
        <f t="shared" si="0"/>
        <v>0.46442523445242556</v>
      </c>
      <c r="AK12" s="162">
        <f t="shared" si="0"/>
        <v>0.53064551529927895</v>
      </c>
      <c r="AL12" s="162">
        <f t="shared" si="0"/>
        <v>0.67635614022266288</v>
      </c>
      <c r="AM12" s="162">
        <f t="shared" si="0"/>
        <v>0.46640446896192467</v>
      </c>
      <c r="AN12" s="162">
        <f t="shared" si="0"/>
        <v>0.69664897641616896</v>
      </c>
      <c r="AO12" s="162">
        <f t="shared" si="0"/>
        <v>0.82398679964843902</v>
      </c>
      <c r="AP12" s="162">
        <f t="shared" si="0"/>
        <v>0.67063411049731592</v>
      </c>
      <c r="AQ12" s="162">
        <f t="shared" si="0"/>
        <v>0.68798213620959425</v>
      </c>
      <c r="AR12" s="162">
        <f t="shared" si="0"/>
        <v>0.5185245690222634</v>
      </c>
      <c r="AS12" s="162">
        <f t="shared" si="0"/>
        <v>0.6862942553958441</v>
      </c>
      <c r="AT12" s="162">
        <f t="shared" si="0"/>
        <v>0.63968301171198438</v>
      </c>
      <c r="AU12" s="162">
        <f t="shared" si="0"/>
        <v>0.64284475934327567</v>
      </c>
      <c r="AV12" s="162">
        <f t="shared" si="0"/>
        <v>0.66089655471982911</v>
      </c>
      <c r="AW12" s="162">
        <f t="shared" si="0"/>
        <v>0.69873890739252142</v>
      </c>
      <c r="AX12" s="162">
        <f t="shared" si="0"/>
        <v>0.75746456539958651</v>
      </c>
      <c r="AY12" s="162">
        <f t="shared" si="0"/>
        <v>0.74718882769909056</v>
      </c>
      <c r="AZ12" s="162">
        <f t="shared" si="0"/>
        <v>0.74094300410760561</v>
      </c>
      <c r="BA12" s="162">
        <f t="shared" si="0"/>
        <v>0.41275749334715017</v>
      </c>
      <c r="BB12" s="162">
        <f t="shared" si="0"/>
        <v>0.48626317494664006</v>
      </c>
      <c r="BC12" s="162">
        <f t="shared" si="0"/>
        <v>0.59973775162449083</v>
      </c>
      <c r="BD12" s="162">
        <f t="shared" si="0"/>
        <v>0.27546320032995086</v>
      </c>
      <c r="BE12" s="162">
        <f t="shared" si="0"/>
        <v>0.43658083971228762</v>
      </c>
      <c r="BF12" s="162">
        <f t="shared" si="0"/>
        <v>0.53222830664249898</v>
      </c>
      <c r="BG12" s="162">
        <f t="shared" si="0"/>
        <v>0.51812371275398972</v>
      </c>
      <c r="BH12" s="162">
        <f t="shared" si="0"/>
        <v>0.60257545739683838</v>
      </c>
      <c r="BI12" s="162">
        <f t="shared" si="0"/>
        <v>0.56453364172239762</v>
      </c>
      <c r="BJ12" s="162">
        <f t="shared" si="0"/>
        <v>0.55510914088762242</v>
      </c>
      <c r="BK12" s="162">
        <f t="shared" si="0"/>
        <v>0.58242405580180712</v>
      </c>
      <c r="BL12" s="162">
        <f t="shared" si="0"/>
        <v>0.67714726537225334</v>
      </c>
      <c r="BM12" s="162">
        <f t="shared" si="0"/>
        <v>0.46050323594468601</v>
      </c>
      <c r="BN12" s="162">
        <v>0.71224712477907459</v>
      </c>
      <c r="BO12" s="162">
        <v>0.65760359162814641</v>
      </c>
      <c r="BP12" s="162">
        <v>0.65014499354440614</v>
      </c>
      <c r="BQ12" s="162">
        <v>0.6187739563885376</v>
      </c>
      <c r="BR12" s="162">
        <v>0.62975055925619161</v>
      </c>
      <c r="BS12" s="162">
        <v>0.46759060871914715</v>
      </c>
      <c r="BT12" s="162">
        <v>0.59163989914699933</v>
      </c>
      <c r="BU12" s="162">
        <v>0.63257390184951934</v>
      </c>
      <c r="BV12" s="162">
        <v>0.56354743991253087</v>
      </c>
    </row>
    <row r="13" spans="1:74" s="100" customFormat="1" ht="15" customHeight="1">
      <c r="A13" t="s">
        <v>144</v>
      </c>
      <c r="B13" s="8" t="str">
        <f>IF('Sumário | Summary'!P1=1,"EBITDA Ajustado (R mil)","Adjusted EBITDA (R 000')")</f>
        <v>EBITDA Ajustado (R mil)</v>
      </c>
      <c r="C13" s="72"/>
      <c r="D13" s="72"/>
      <c r="E13" s="72"/>
      <c r="F13" s="72"/>
      <c r="G13" s="72"/>
      <c r="H13" s="72"/>
      <c r="I13" s="72"/>
      <c r="J13" s="72"/>
      <c r="K13" s="72"/>
      <c r="L13" s="72"/>
      <c r="M13" s="72"/>
      <c r="N13" s="72"/>
      <c r="O13" s="72"/>
      <c r="P13" s="72"/>
      <c r="Q13" s="72"/>
      <c r="R13" s="72"/>
      <c r="S13" s="72"/>
      <c r="T13" s="72"/>
      <c r="U13" s="72"/>
      <c r="V13" s="72"/>
      <c r="W13" s="72"/>
      <c r="X13" s="72"/>
      <c r="Y13" s="72"/>
      <c r="Z13" s="123"/>
      <c r="AA13" s="123"/>
      <c r="AB13" s="123">
        <v>71980.063055594044</v>
      </c>
      <c r="AC13" s="72">
        <v>58773.074562754606</v>
      </c>
      <c r="AD13" s="72">
        <v>40924.579533010095</v>
      </c>
      <c r="AE13" s="72">
        <v>61968.97020535003</v>
      </c>
      <c r="AF13" s="72">
        <v>233646.68735670875</v>
      </c>
      <c r="AG13" s="72">
        <v>64320.864249999999</v>
      </c>
      <c r="AH13" s="123">
        <v>54055.165220000003</v>
      </c>
      <c r="AI13" s="72">
        <v>63414.235745070939</v>
      </c>
      <c r="AJ13" s="72">
        <v>67800</v>
      </c>
      <c r="AK13" s="72">
        <v>262799.80165507086</v>
      </c>
      <c r="AL13" s="116">
        <v>77178.79833000002</v>
      </c>
      <c r="AM13" s="72">
        <v>74347.816708960861</v>
      </c>
      <c r="AN13" s="116">
        <v>72361.149755375052</v>
      </c>
      <c r="AO13" s="116">
        <v>75466.162858733369</v>
      </c>
      <c r="AP13" s="164">
        <v>299353.92765306932</v>
      </c>
      <c r="AQ13" s="116">
        <v>90867.184883040507</v>
      </c>
      <c r="AR13" s="116">
        <v>52628.754668530222</v>
      </c>
      <c r="AS13" s="116">
        <v>65468.957308429272</v>
      </c>
      <c r="AT13" s="116">
        <v>81793.06182668671</v>
      </c>
      <c r="AU13" s="164">
        <v>290757.9586866867</v>
      </c>
      <c r="AV13" s="164">
        <v>79613.312520318257</v>
      </c>
      <c r="AW13" s="164">
        <v>79753.267568957468</v>
      </c>
      <c r="AX13" s="164">
        <v>94325.727857744452</v>
      </c>
      <c r="AY13" s="164">
        <v>85391.661764141987</v>
      </c>
      <c r="AZ13" s="164">
        <v>339083.96971116215</v>
      </c>
      <c r="BA13" s="164">
        <v>70807.683826884357</v>
      </c>
      <c r="BB13" s="164">
        <v>76614.623913068746</v>
      </c>
      <c r="BC13" s="164">
        <v>67552.801840836386</v>
      </c>
      <c r="BD13" s="164">
        <v>58733.103834932699</v>
      </c>
      <c r="BE13" s="164">
        <v>273708.21341572219</v>
      </c>
      <c r="BF13" s="164">
        <v>59475.333735051987</v>
      </c>
      <c r="BG13" s="164">
        <v>63840.567506590793</v>
      </c>
      <c r="BH13" s="164">
        <v>67866.893965808151</v>
      </c>
      <c r="BI13" s="164">
        <v>71794.598075842659</v>
      </c>
      <c r="BJ13" s="164">
        <v>262977.39328329358</v>
      </c>
      <c r="BK13" s="164">
        <v>67719.413170079119</v>
      </c>
      <c r="BL13" s="164">
        <v>67341.398590243218</v>
      </c>
      <c r="BM13" s="164">
        <v>47610.592469625961</v>
      </c>
      <c r="BN13" s="164">
        <v>22264.486609135987</v>
      </c>
      <c r="BO13" s="164">
        <v>204935.89083908428</v>
      </c>
      <c r="BP13" s="164">
        <v>39530.194766383967</v>
      </c>
      <c r="BQ13" s="164">
        <v>27049.64982141403</v>
      </c>
      <c r="BR13" s="164">
        <v>59084.839136635885</v>
      </c>
      <c r="BS13" s="164">
        <v>31822.659392923902</v>
      </c>
      <c r="BT13" s="164">
        <v>157487.34311735778</v>
      </c>
      <c r="BU13" s="164">
        <v>43566.173020556002</v>
      </c>
      <c r="BV13" s="164">
        <v>47110.255887814972</v>
      </c>
    </row>
    <row r="14" spans="1:74" s="70" customFormat="1" ht="15" customHeight="1">
      <c r="A14" t="s">
        <v>270</v>
      </c>
      <c r="B14" s="8" t="str">
        <f>IF('Sumário | Summary'!P1=1,"Lucro/Prejuízo do Período (R mil)","Profit / Loss for the Period (R 000')")</f>
        <v>Lucro/Prejuízo do Período (R mil)</v>
      </c>
      <c r="C14" s="71">
        <v>22895.999999999996</v>
      </c>
      <c r="D14" s="71">
        <v>80374.000675026298</v>
      </c>
      <c r="E14" s="71">
        <v>29214.000000000007</v>
      </c>
      <c r="F14" s="71">
        <v>58082.911585553135</v>
      </c>
      <c r="G14" s="71">
        <v>192028.32534057947</v>
      </c>
      <c r="H14" s="71">
        <v>62585</v>
      </c>
      <c r="I14" s="71">
        <v>47374.000000000007</v>
      </c>
      <c r="J14" s="71">
        <v>48715.000000000015</v>
      </c>
      <c r="K14" s="71">
        <v>32326.123100000004</v>
      </c>
      <c r="L14" s="71">
        <v>191000.1231</v>
      </c>
      <c r="M14" s="71">
        <v>48940.000000000015</v>
      </c>
      <c r="N14" s="71">
        <v>30853</v>
      </c>
      <c r="O14" s="71">
        <v>47289</v>
      </c>
      <c r="P14" s="71">
        <v>21737.000000000004</v>
      </c>
      <c r="Q14" s="71">
        <v>148818.99999999997</v>
      </c>
      <c r="R14" s="71">
        <v>-2728.0000000000105</v>
      </c>
      <c r="S14" s="71">
        <v>24515.999999999985</v>
      </c>
      <c r="T14" s="71">
        <v>18877.000000000007</v>
      </c>
      <c r="U14" s="71">
        <v>11581.70880300002</v>
      </c>
      <c r="V14" s="71">
        <v>52238.354436292488</v>
      </c>
      <c r="W14" s="71">
        <v>14205.907622903798</v>
      </c>
      <c r="X14" s="71">
        <v>126.99999999996514</v>
      </c>
      <c r="Y14" s="71">
        <v>-6702.0000000000055</v>
      </c>
      <c r="Z14" s="71">
        <v>6728.9999999999982</v>
      </c>
      <c r="AA14" s="71">
        <v>14358.000000000062</v>
      </c>
      <c r="AB14" s="123">
        <v>-11963.999999999996</v>
      </c>
      <c r="AC14" s="71">
        <v>-6412.0000000000127</v>
      </c>
      <c r="AD14" s="71">
        <v>236690.00000000003</v>
      </c>
      <c r="AE14" s="71">
        <v>4138.6683700000349</v>
      </c>
      <c r="AF14" s="71">
        <v>222453.46158220872</v>
      </c>
      <c r="AG14" s="72">
        <v>21297.183099999998</v>
      </c>
      <c r="AH14" s="123">
        <v>36210.443699999989</v>
      </c>
      <c r="AI14" s="71">
        <v>-7237.0698899999843</v>
      </c>
      <c r="AJ14" s="71">
        <v>-568.15054000000237</v>
      </c>
      <c r="AK14" s="71">
        <v>49702.406369999982</v>
      </c>
      <c r="AL14" s="73">
        <v>3157.340588118574</v>
      </c>
      <c r="AM14" s="71">
        <v>-17144.556097254343</v>
      </c>
      <c r="AN14" s="73">
        <v>8825.7522550625508</v>
      </c>
      <c r="AO14" s="73">
        <v>37971.244124145553</v>
      </c>
      <c r="AP14" s="161">
        <v>32809.780870072333</v>
      </c>
      <c r="AQ14" s="73">
        <v>16414.601320901565</v>
      </c>
      <c r="AR14" s="73">
        <v>889.88916792137024</v>
      </c>
      <c r="AS14" s="73">
        <v>26703.337970322558</v>
      </c>
      <c r="AT14" s="73">
        <v>6645.6914698955698</v>
      </c>
      <c r="AU14" s="161">
        <v>50653.519929041067</v>
      </c>
      <c r="AV14" s="161">
        <v>7125.3002596523193</v>
      </c>
      <c r="AW14" s="161">
        <v>7129.7784932088225</v>
      </c>
      <c r="AX14" s="161">
        <v>9026.6334493300783</v>
      </c>
      <c r="AY14" s="164">
        <v>1263404.28779781</v>
      </c>
      <c r="AZ14" s="161">
        <v>1286686.0000000012</v>
      </c>
      <c r="BA14" s="161">
        <v>-10920.003484422441</v>
      </c>
      <c r="BB14" s="164">
        <v>-29158.816499032924</v>
      </c>
      <c r="BC14" s="161">
        <v>6853.0141910423536</v>
      </c>
      <c r="BD14" s="161">
        <v>-23775.014184583793</v>
      </c>
      <c r="BE14" s="161">
        <v>-57000.819976996805</v>
      </c>
      <c r="BF14" s="164">
        <v>-14880.684853226481</v>
      </c>
      <c r="BG14" s="164">
        <v>-4134.0334936964136</v>
      </c>
      <c r="BH14" s="164">
        <v>3558.733074041912</v>
      </c>
      <c r="BI14" s="164">
        <v>5414.3253190388859</v>
      </c>
      <c r="BJ14" s="164">
        <v>-10041.659953842096</v>
      </c>
      <c r="BK14" s="164">
        <v>6686.220676127512</v>
      </c>
      <c r="BL14" s="164">
        <v>457107.88668578729</v>
      </c>
      <c r="BM14" s="164">
        <v>22570.896551465616</v>
      </c>
      <c r="BN14" s="164">
        <v>59889.559031990939</v>
      </c>
      <c r="BO14" s="164">
        <v>546254.56294537138</v>
      </c>
      <c r="BP14" s="164">
        <v>18701.392631464791</v>
      </c>
      <c r="BQ14" s="164">
        <v>16572.518383235085</v>
      </c>
      <c r="BR14" s="164">
        <v>23104.735129553759</v>
      </c>
      <c r="BS14" s="164">
        <v>6255.5297051326052</v>
      </c>
      <c r="BT14" s="164">
        <v>64634.175849386236</v>
      </c>
      <c r="BU14" s="164">
        <v>19668.220071150194</v>
      </c>
      <c r="BV14" s="164">
        <v>5429.3345911498836</v>
      </c>
    </row>
    <row r="15" spans="1:74" s="91" customFormat="1" ht="15" customHeight="1">
      <c r="A15" t="s">
        <v>292</v>
      </c>
      <c r="B15" s="9" t="str">
        <f>IF('Sumário | Summary'!P1=1,"Margem Líquida (%)","Net Margin (%)")</f>
        <v>Margem Líquida (%)</v>
      </c>
      <c r="C15" s="162">
        <f t="shared" ref="C15:BM15" si="1">C14/C8</f>
        <v>0.46251742318647349</v>
      </c>
      <c r="D15" s="162">
        <f t="shared" si="1"/>
        <v>0.87249121105861016</v>
      </c>
      <c r="E15" s="162">
        <f t="shared" si="1"/>
        <v>0.48587965272926859</v>
      </c>
      <c r="F15" s="162">
        <f t="shared" si="1"/>
        <v>0.33948641522001816</v>
      </c>
      <c r="G15" s="162">
        <f t="shared" si="1"/>
        <v>0.51504264821424051</v>
      </c>
      <c r="H15" s="162">
        <f t="shared" si="1"/>
        <v>0.89176557757797692</v>
      </c>
      <c r="I15" s="162">
        <f t="shared" si="1"/>
        <v>0.53505760108425582</v>
      </c>
      <c r="J15" s="162">
        <f t="shared" si="1"/>
        <v>0.58501759315968349</v>
      </c>
      <c r="K15" s="162">
        <f t="shared" si="1"/>
        <v>0.40255797634061496</v>
      </c>
      <c r="L15" s="162">
        <f t="shared" si="1"/>
        <v>0.59262738970379381</v>
      </c>
      <c r="M15" s="162">
        <f t="shared" si="1"/>
        <v>0.5187014446057806</v>
      </c>
      <c r="N15" s="162">
        <f t="shared" si="1"/>
        <v>0.37288197046240118</v>
      </c>
      <c r="O15" s="162">
        <f t="shared" si="1"/>
        <v>0.40947465948548317</v>
      </c>
      <c r="P15" s="162">
        <f t="shared" si="1"/>
        <v>0.24346725507106778</v>
      </c>
      <c r="Q15" s="162">
        <f t="shared" si="1"/>
        <v>0.38972034326626698</v>
      </c>
      <c r="R15" s="162">
        <f t="shared" si="1"/>
        <v>-3.3119658119658245E-2</v>
      </c>
      <c r="S15" s="162">
        <f t="shared" si="1"/>
        <v>0.26975045112451024</v>
      </c>
      <c r="T15" s="162">
        <f t="shared" si="1"/>
        <v>0.17921769676255583</v>
      </c>
      <c r="U15" s="162">
        <f t="shared" si="1"/>
        <v>0.10957181371791351</v>
      </c>
      <c r="V15" s="162">
        <f t="shared" si="1"/>
        <v>0.13593765521395712</v>
      </c>
      <c r="W15" s="162">
        <f t="shared" si="1"/>
        <v>0.15311240196789089</v>
      </c>
      <c r="X15" s="162">
        <f t="shared" si="1"/>
        <v>1.4068592697621099E-3</v>
      </c>
      <c r="Y15" s="162">
        <f t="shared" si="1"/>
        <v>-5.4085898284293991E-2</v>
      </c>
      <c r="Z15" s="162">
        <f t="shared" si="1"/>
        <v>5.8879117994487452E-2</v>
      </c>
      <c r="AA15" s="162">
        <f t="shared" si="1"/>
        <v>3.4084353909445628E-2</v>
      </c>
      <c r="AB15" s="162">
        <f t="shared" si="1"/>
        <v>-0.12198454291482286</v>
      </c>
      <c r="AC15" s="162">
        <f t="shared" si="1"/>
        <v>-5.9976241476395943E-2</v>
      </c>
      <c r="AD15" s="162">
        <f t="shared" si="1"/>
        <v>1.812869080353245</v>
      </c>
      <c r="AE15" s="162">
        <f t="shared" si="1"/>
        <v>3.7378353074159744E-2</v>
      </c>
      <c r="AF15" s="162">
        <f t="shared" si="1"/>
        <v>0.49847006197407973</v>
      </c>
      <c r="AG15" s="162">
        <f t="shared" si="1"/>
        <v>0.20373415153229429</v>
      </c>
      <c r="AH15" s="162">
        <f t="shared" si="1"/>
        <v>0.2182253278376074</v>
      </c>
      <c r="AI15" s="162">
        <f t="shared" si="1"/>
        <v>-6.7167918849570574E-2</v>
      </c>
      <c r="AJ15" s="162">
        <f t="shared" si="1"/>
        <v>-5.0929695103412859E-3</v>
      </c>
      <c r="AK15" s="162">
        <f t="shared" si="1"/>
        <v>0.1014816537882306</v>
      </c>
      <c r="AL15" s="162">
        <f t="shared" si="1"/>
        <v>2.811089406799341E-2</v>
      </c>
      <c r="AM15" s="162">
        <f t="shared" si="1"/>
        <v>-0.14992841404266138</v>
      </c>
      <c r="AN15" s="162">
        <f t="shared" si="1"/>
        <v>7.6292696423409148E-2</v>
      </c>
      <c r="AO15" s="162">
        <f t="shared" si="1"/>
        <v>0.29555586088971375</v>
      </c>
      <c r="AP15" s="162">
        <f t="shared" si="1"/>
        <v>6.9685614233596163E-2</v>
      </c>
      <c r="AQ15" s="162">
        <f t="shared" si="1"/>
        <v>0.12636191888203072</v>
      </c>
      <c r="AR15" s="162">
        <f t="shared" si="1"/>
        <v>9.5628134056960357E-3</v>
      </c>
      <c r="AS15" s="162">
        <f t="shared" si="1"/>
        <v>0.19037042941373139</v>
      </c>
      <c r="AT15" s="162">
        <f t="shared" si="1"/>
        <v>5.3988313659332793E-2</v>
      </c>
      <c r="AU15" s="162">
        <f t="shared" si="1"/>
        <v>0.10415587974241705</v>
      </c>
      <c r="AV15" s="162">
        <f t="shared" si="1"/>
        <v>6.0178594330829678E-2</v>
      </c>
      <c r="AW15" s="162">
        <f t="shared" si="1"/>
        <v>6.3186889053633746E-2</v>
      </c>
      <c r="AX15" s="162">
        <f t="shared" si="1"/>
        <v>7.2432727095413763E-2</v>
      </c>
      <c r="AY15" s="162">
        <f t="shared" si="1"/>
        <v>0.64781592906325125</v>
      </c>
      <c r="AZ15" s="162">
        <f t="shared" si="1"/>
        <v>0.55794605875347003</v>
      </c>
      <c r="BA15" s="162">
        <f t="shared" si="1"/>
        <v>-7.1225160614597868E-2</v>
      </c>
      <c r="BB15" s="162">
        <f t="shared" si="1"/>
        <v>-0.2899103643581038</v>
      </c>
      <c r="BC15" s="162">
        <f t="shared" si="1"/>
        <v>6.498098037807451E-2</v>
      </c>
      <c r="BD15" s="162">
        <f t="shared" si="1"/>
        <v>-0.20648548810407699</v>
      </c>
      <c r="BE15" s="162">
        <f t="shared" si="1"/>
        <v>-0.12012853996148545</v>
      </c>
      <c r="BF15" s="162">
        <f t="shared" si="1"/>
        <v>-0.14993138080172888</v>
      </c>
      <c r="BG15" s="162">
        <f t="shared" si="1"/>
        <v>-3.976102597008372E-2</v>
      </c>
      <c r="BH15" s="162">
        <f t="shared" si="1"/>
        <v>3.3601720733426786E-2</v>
      </c>
      <c r="BI15" s="162">
        <f t="shared" si="1"/>
        <v>4.6846322163770014E-2</v>
      </c>
      <c r="BJ15" s="162">
        <f t="shared" si="1"/>
        <v>-2.3643705508903677E-2</v>
      </c>
      <c r="BK15" s="162">
        <f t="shared" si="1"/>
        <v>5.94822551378444E-2</v>
      </c>
      <c r="BL15" s="162">
        <f t="shared" si="1"/>
        <v>0.42268877473854177</v>
      </c>
      <c r="BM15" s="162">
        <f t="shared" si="1"/>
        <v>0.26256280223729783</v>
      </c>
      <c r="BN15" s="162">
        <v>0.7683719430624828</v>
      </c>
      <c r="BO15" s="162">
        <v>0.40232539006860829</v>
      </c>
      <c r="BP15" s="162">
        <v>0.22326591119095746</v>
      </c>
      <c r="BQ15" s="162">
        <v>0.22283372831562878</v>
      </c>
      <c r="BR15" s="162">
        <v>0.26549957194514623</v>
      </c>
      <c r="BS15" s="162">
        <v>7.5817037908608956E-2</v>
      </c>
      <c r="BT15" s="162">
        <v>0.19725603757568308</v>
      </c>
      <c r="BU15" s="162">
        <v>0.23888750190309727</v>
      </c>
      <c r="BV15" s="162">
        <v>6.6325922931676801E-2</v>
      </c>
    </row>
    <row r="16" spans="1:74" s="70" customFormat="1" ht="15" customHeight="1">
      <c r="A16" t="s">
        <v>145</v>
      </c>
      <c r="B16" s="8" t="str">
        <f>IF('Sumário | Summary'!P1=1,"FFO (R mil)","FFO (R 000')")</f>
        <v>FFO (R mil)</v>
      </c>
      <c r="C16" s="71">
        <v>24403</v>
      </c>
      <c r="D16" s="71">
        <v>81845.942910578</v>
      </c>
      <c r="E16" s="71">
        <v>34204</v>
      </c>
      <c r="F16" s="71">
        <v>58339.153999999995</v>
      </c>
      <c r="G16" s="71">
        <v>198792.096910578</v>
      </c>
      <c r="H16" s="73">
        <v>64506.725023055988</v>
      </c>
      <c r="I16" s="73">
        <v>49320.439360548822</v>
      </c>
      <c r="J16" s="73">
        <v>49228</v>
      </c>
      <c r="K16" s="73">
        <v>33985.046999999999</v>
      </c>
      <c r="L16" s="73">
        <v>197040.04700000002</v>
      </c>
      <c r="M16" s="73">
        <v>50447.794240000017</v>
      </c>
      <c r="N16" s="73">
        <v>33767.868370000004</v>
      </c>
      <c r="O16" s="73">
        <v>49171.478959554996</v>
      </c>
      <c r="P16" s="73">
        <v>23818.9967058484</v>
      </c>
      <c r="Q16" s="73">
        <v>157792.05460540336</v>
      </c>
      <c r="R16" s="73">
        <v>3713.6887780125371</v>
      </c>
      <c r="S16" s="73">
        <v>18814.433955279994</v>
      </c>
      <c r="T16" s="73">
        <v>25975.64692000001</v>
      </c>
      <c r="U16" s="73">
        <v>16473.186653000008</v>
      </c>
      <c r="V16" s="73">
        <v>64976.819726292495</v>
      </c>
      <c r="W16" s="73">
        <v>-10618.696547096162</v>
      </c>
      <c r="X16" s="73">
        <v>3153.2752896909924</v>
      </c>
      <c r="Y16" s="73">
        <v>528.06652479297554</v>
      </c>
      <c r="Z16" s="73">
        <v>16399.519621044004</v>
      </c>
      <c r="AA16" s="71">
        <v>46810.272128431781</v>
      </c>
      <c r="AB16" s="123">
        <v>-2292.9678752959953</v>
      </c>
      <c r="AC16" s="72">
        <v>4851.0615236445992</v>
      </c>
      <c r="AD16" s="72">
        <v>249325.87250301006</v>
      </c>
      <c r="AE16" s="72">
        <v>24135.97020535003</v>
      </c>
      <c r="AF16" s="72">
        <v>276019.93635670876</v>
      </c>
      <c r="AG16" s="72">
        <v>33037.864249999999</v>
      </c>
      <c r="AH16" s="123">
        <v>48360.565220000004</v>
      </c>
      <c r="AI16" s="72">
        <v>3850.0967200000232</v>
      </c>
      <c r="AJ16" s="72">
        <v>11356.351539999985</v>
      </c>
      <c r="AK16" s="72">
        <v>96604.877729999978</v>
      </c>
      <c r="AL16" s="116">
        <v>29723.516340000009</v>
      </c>
      <c r="AM16" s="72">
        <v>9711.1037000000051</v>
      </c>
      <c r="AN16" s="116">
        <v>36242.299764335912</v>
      </c>
      <c r="AO16" s="116">
        <v>65759.881358733372</v>
      </c>
      <c r="AP16" s="164">
        <v>141436.80116306929</v>
      </c>
      <c r="AQ16" s="116">
        <v>52924.90338304051</v>
      </c>
      <c r="AR16" s="116">
        <v>27710.473168530229</v>
      </c>
      <c r="AS16" s="116">
        <v>68488.775808429273</v>
      </c>
      <c r="AT16" s="116">
        <v>47264.780326686712</v>
      </c>
      <c r="AU16" s="164">
        <v>196388.93268668672</v>
      </c>
      <c r="AV16" s="164">
        <v>46985.551065626161</v>
      </c>
      <c r="AW16" s="164">
        <v>44145.71078952423</v>
      </c>
      <c r="AX16" s="164">
        <v>50462.708189999961</v>
      </c>
      <c r="AY16" s="164">
        <v>1337059.5979791398</v>
      </c>
      <c r="AZ16" s="164">
        <v>1478653.5680242903</v>
      </c>
      <c r="BA16" s="164">
        <v>12623.237722637559</v>
      </c>
      <c r="BB16" s="164">
        <v>-5790.2417022959298</v>
      </c>
      <c r="BC16" s="164">
        <v>28136.53775399036</v>
      </c>
      <c r="BD16" s="164">
        <v>-3687.9335346746338</v>
      </c>
      <c r="BE16" s="164">
        <v>31281.600239657357</v>
      </c>
      <c r="BF16" s="164">
        <v>3465.650383789527</v>
      </c>
      <c r="BG16" s="164">
        <v>14164.798757934597</v>
      </c>
      <c r="BH16" s="164">
        <v>24285.139196401258</v>
      </c>
      <c r="BI16" s="164">
        <v>27026.670445789423</v>
      </c>
      <c r="BJ16" s="164">
        <v>68942.258783914804</v>
      </c>
      <c r="BK16" s="164">
        <v>26328.902246793521</v>
      </c>
      <c r="BL16" s="164">
        <v>593631.69833269948</v>
      </c>
      <c r="BM16" s="164">
        <v>48349.082003968768</v>
      </c>
      <c r="BN16" s="164">
        <v>49858.28971880686</v>
      </c>
      <c r="BO16" s="164">
        <v>718167.97230226861</v>
      </c>
      <c r="BP16" s="164">
        <v>35427.879526421719</v>
      </c>
      <c r="BQ16" s="164">
        <v>21684.117447021119</v>
      </c>
      <c r="BR16" s="164">
        <v>40592.970516275542</v>
      </c>
      <c r="BS16" s="164">
        <v>15618.683667925332</v>
      </c>
      <c r="BT16" s="164">
        <v>113323.6511576437</v>
      </c>
      <c r="BU16" s="164">
        <v>35550.545725852186</v>
      </c>
      <c r="BV16" s="164">
        <v>23499.687508658899</v>
      </c>
    </row>
    <row r="17" spans="1:74" s="1" customFormat="1" ht="15" customHeight="1">
      <c r="A17" t="s">
        <v>291</v>
      </c>
      <c r="B17" s="9" t="str">
        <f>IF('Sumário | Summary'!P1=1,"Margem FFO (%)","FFO Margin (%)")</f>
        <v>Margem FFO (%)</v>
      </c>
      <c r="C17" s="163">
        <f t="shared" ref="C17:BM17" si="2">C16/C8</f>
        <v>0.49296002262489141</v>
      </c>
      <c r="D17" s="163">
        <f t="shared" si="2"/>
        <v>0.88846971969223432</v>
      </c>
      <c r="E17" s="163">
        <f t="shared" si="2"/>
        <v>0.56887203539234266</v>
      </c>
      <c r="F17" s="163">
        <f t="shared" si="2"/>
        <v>0.34098411594357353</v>
      </c>
      <c r="G17" s="163">
        <f t="shared" si="2"/>
        <v>0.53318388240534076</v>
      </c>
      <c r="H17" s="163">
        <f t="shared" si="2"/>
        <v>0.91914798910041162</v>
      </c>
      <c r="I17" s="163">
        <f t="shared" si="2"/>
        <v>0.55704133002652834</v>
      </c>
      <c r="J17" s="163">
        <f t="shared" si="2"/>
        <v>0.59117820129456822</v>
      </c>
      <c r="K17" s="163">
        <f t="shared" si="2"/>
        <v>0.42321659494517877</v>
      </c>
      <c r="L17" s="163">
        <f t="shared" si="2"/>
        <v>0.61136781916934202</v>
      </c>
      <c r="M17" s="163">
        <f t="shared" si="2"/>
        <v>0.53468213627836492</v>
      </c>
      <c r="N17" s="163">
        <f t="shared" si="2"/>
        <v>0.40811037163713715</v>
      </c>
      <c r="O17" s="163">
        <f t="shared" si="2"/>
        <v>0.42577501328768597</v>
      </c>
      <c r="P17" s="163">
        <f t="shared" si="2"/>
        <v>0.26678684945115311</v>
      </c>
      <c r="Q17" s="163">
        <f t="shared" si="2"/>
        <v>0.41321856540836421</v>
      </c>
      <c r="R17" s="163">
        <f t="shared" si="2"/>
        <v>4.5086547907106367E-2</v>
      </c>
      <c r="S17" s="163">
        <f t="shared" si="2"/>
        <v>0.20701590989921215</v>
      </c>
      <c r="T17" s="163">
        <f t="shared" si="2"/>
        <v>0.24661204709009785</v>
      </c>
      <c r="U17" s="163">
        <f t="shared" si="2"/>
        <v>0.15584893127475163</v>
      </c>
      <c r="V17" s="163">
        <f t="shared" si="2"/>
        <v>0.16908642341757288</v>
      </c>
      <c r="W17" s="163">
        <f t="shared" si="2"/>
        <v>-0.1144491557493111</v>
      </c>
      <c r="X17" s="163">
        <f t="shared" si="2"/>
        <v>3.4930823396966869E-2</v>
      </c>
      <c r="Y17" s="163">
        <f t="shared" si="2"/>
        <v>4.2615566021028742E-3</v>
      </c>
      <c r="Z17" s="163">
        <f t="shared" si="2"/>
        <v>0.14349669353846967</v>
      </c>
      <c r="AA17" s="163">
        <f t="shared" si="2"/>
        <v>0.11112257151573483</v>
      </c>
      <c r="AB17" s="163">
        <f t="shared" si="2"/>
        <v>-2.3379023586288416E-2</v>
      </c>
      <c r="AC17" s="163">
        <f t="shared" si="2"/>
        <v>4.5375614060973353E-2</v>
      </c>
      <c r="AD17" s="163">
        <f t="shared" si="2"/>
        <v>1.9096504507702152</v>
      </c>
      <c r="AE17" s="163">
        <f t="shared" si="2"/>
        <v>0.21798383815008732</v>
      </c>
      <c r="AF17" s="163">
        <f t="shared" si="2"/>
        <v>0.6185009385927851</v>
      </c>
      <c r="AG17" s="163">
        <f t="shared" si="2"/>
        <v>0.31604842808591282</v>
      </c>
      <c r="AH17" s="163">
        <f t="shared" si="2"/>
        <v>0.29144907162644068</v>
      </c>
      <c r="AI17" s="163">
        <f t="shared" si="2"/>
        <v>3.5733105798700524E-2</v>
      </c>
      <c r="AJ17" s="163">
        <f t="shared" si="2"/>
        <v>0.10179969580234315</v>
      </c>
      <c r="AK17" s="163">
        <f t="shared" si="2"/>
        <v>0.19724644080749382</v>
      </c>
      <c r="AL17" s="163">
        <f t="shared" si="2"/>
        <v>0.26463873498674712</v>
      </c>
      <c r="AM17" s="163">
        <f t="shared" si="2"/>
        <v>8.4923188916975909E-2</v>
      </c>
      <c r="AN17" s="163">
        <f t="shared" si="2"/>
        <v>0.31329032287538144</v>
      </c>
      <c r="AO17" s="163">
        <f t="shared" si="2"/>
        <v>0.51185360910065336</v>
      </c>
      <c r="AP17" s="163">
        <f t="shared" si="2"/>
        <v>0.30040159071204925</v>
      </c>
      <c r="AQ17" s="163">
        <f t="shared" si="2"/>
        <v>0.40742337979365306</v>
      </c>
      <c r="AR17" s="163">
        <f t="shared" si="2"/>
        <v>0.29777875026074646</v>
      </c>
      <c r="AS17" s="163">
        <f t="shared" si="2"/>
        <v>0.48826246648122568</v>
      </c>
      <c r="AT17" s="163">
        <f t="shared" si="2"/>
        <v>0.38396994456872102</v>
      </c>
      <c r="AU17" s="163">
        <f t="shared" si="2"/>
        <v>0.40382311208206334</v>
      </c>
      <c r="AV17" s="163">
        <f t="shared" si="2"/>
        <v>0.39682880916610924</v>
      </c>
      <c r="AW17" s="163">
        <f t="shared" si="2"/>
        <v>0.39123657663536487</v>
      </c>
      <c r="AX17" s="163">
        <f t="shared" si="2"/>
        <v>0.40492965526289754</v>
      </c>
      <c r="AY17" s="163">
        <f t="shared" si="2"/>
        <v>0.68558300303664288</v>
      </c>
      <c r="AZ17" s="163">
        <f t="shared" si="2"/>
        <v>0.6411890162331042</v>
      </c>
      <c r="BA17" s="163">
        <f t="shared" si="2"/>
        <v>8.2334418258536282E-2</v>
      </c>
      <c r="BB17" s="163">
        <f t="shared" si="2"/>
        <v>-5.7569246052554091E-2</v>
      </c>
      <c r="BC17" s="163">
        <f t="shared" si="2"/>
        <v>0.26679352424059505</v>
      </c>
      <c r="BD17" s="163">
        <f t="shared" si="2"/>
        <v>-3.2029623624639562E-2</v>
      </c>
      <c r="BE17" s="163">
        <f t="shared" si="2"/>
        <v>6.5925594859256254E-2</v>
      </c>
      <c r="BF17" s="163">
        <f t="shared" si="2"/>
        <v>3.491840278473083E-2</v>
      </c>
      <c r="BG17" s="163">
        <f t="shared" si="2"/>
        <v>0.13623666381368865</v>
      </c>
      <c r="BH17" s="163">
        <f t="shared" si="2"/>
        <v>0.22930139694997009</v>
      </c>
      <c r="BI17" s="163">
        <f t="shared" si="2"/>
        <v>0.23384263709928726</v>
      </c>
      <c r="BJ17" s="163">
        <f t="shared" si="2"/>
        <v>0.1623287854098093</v>
      </c>
      <c r="BK17" s="163">
        <f t="shared" si="2"/>
        <v>0.23422835661627958</v>
      </c>
      <c r="BL17" s="163">
        <f t="shared" si="2"/>
        <v>0.54893267546418423</v>
      </c>
      <c r="BM17" s="163">
        <f t="shared" si="2"/>
        <v>0.56243536572049158</v>
      </c>
      <c r="BN17" s="163">
        <v>0.63967261686712551</v>
      </c>
      <c r="BO17" s="163">
        <v>0.52894241840902867</v>
      </c>
      <c r="BP17" s="163">
        <v>0.42295448044451173</v>
      </c>
      <c r="BQ17" s="163">
        <v>0.2915641801816759</v>
      </c>
      <c r="BR17" s="163">
        <v>0.46645920135511426</v>
      </c>
      <c r="BS17" s="163">
        <v>0.18929849070368446</v>
      </c>
      <c r="BT17" s="163">
        <v>0.34585069117390221</v>
      </c>
      <c r="BU17" s="163">
        <v>0.43179204976447144</v>
      </c>
      <c r="BV17" s="163">
        <v>0.2870772534738355</v>
      </c>
    </row>
    <row r="18" spans="1:74" s="70" customFormat="1" ht="15" customHeight="1">
      <c r="A18" t="s">
        <v>146</v>
      </c>
      <c r="B18" s="8" t="str">
        <f>IF('Sumário | Summary'!P1=1,"FFO Ajustado (R mil)","Adjusted FFO (R 000')")</f>
        <v>FFO Ajustado (R mil)</v>
      </c>
      <c r="C18" s="71"/>
      <c r="D18" s="71"/>
      <c r="E18" s="71"/>
      <c r="F18" s="71"/>
      <c r="G18" s="71"/>
      <c r="H18" s="73"/>
      <c r="I18" s="73"/>
      <c r="J18" s="73"/>
      <c r="K18" s="73"/>
      <c r="L18" s="73"/>
      <c r="M18" s="73"/>
      <c r="N18" s="73"/>
      <c r="O18" s="73"/>
      <c r="P18" s="73"/>
      <c r="Q18" s="73"/>
      <c r="R18" s="73"/>
      <c r="S18" s="73"/>
      <c r="T18" s="73"/>
      <c r="U18" s="73"/>
      <c r="V18" s="73"/>
      <c r="W18" s="73"/>
      <c r="X18" s="73"/>
      <c r="Y18" s="73"/>
      <c r="Z18" s="124"/>
      <c r="AA18" s="123"/>
      <c r="AB18" s="123">
        <v>5359.9951704820633</v>
      </c>
      <c r="AC18" s="72">
        <v>-4523.5612121334007</v>
      </c>
      <c r="AD18" s="72">
        <v>-12170.535806989934</v>
      </c>
      <c r="AE18" s="72">
        <v>27932.913265350027</v>
      </c>
      <c r="AF18" s="72">
        <v>16598.811416708755</v>
      </c>
      <c r="AG18" s="72">
        <v>23176.934539999998</v>
      </c>
      <c r="AH18" s="123">
        <v>14336.267220000005</v>
      </c>
      <c r="AI18" s="72">
        <v>31719.235745070939</v>
      </c>
      <c r="AJ18" s="72">
        <v>27346.536439999985</v>
      </c>
      <c r="AK18" s="72">
        <v>101433.7216550709</v>
      </c>
      <c r="AL18" s="116">
        <v>30935.798330000009</v>
      </c>
      <c r="AM18" s="72">
        <v>30724.385200000008</v>
      </c>
      <c r="AN18" s="116">
        <v>28014.547592168645</v>
      </c>
      <c r="AO18" s="116">
        <v>35365.162858733369</v>
      </c>
      <c r="AP18" s="164">
        <v>125039.89398090202</v>
      </c>
      <c r="AQ18" s="116">
        <v>54422.184883040507</v>
      </c>
      <c r="AR18" s="116">
        <v>32086.75466853023</v>
      </c>
      <c r="AS18" s="116">
        <v>38818.23730842927</v>
      </c>
      <c r="AT18" s="116">
        <v>50316.06182668671</v>
      </c>
      <c r="AU18" s="164">
        <v>175643.23868668673</v>
      </c>
      <c r="AV18" s="164">
        <v>48347.012652695848</v>
      </c>
      <c r="AW18" s="164">
        <v>45055.824202454547</v>
      </c>
      <c r="AX18" s="164">
        <v>50392.805784101336</v>
      </c>
      <c r="AY18" s="164">
        <v>27760.675337402397</v>
      </c>
      <c r="AZ18" s="164">
        <v>171556.3179766541</v>
      </c>
      <c r="BA18" s="164">
        <v>20148.322722379897</v>
      </c>
      <c r="BB18" s="164">
        <v>21916.649229580824</v>
      </c>
      <c r="BC18" s="164">
        <v>27480.312922856006</v>
      </c>
      <c r="BD18" s="164">
        <v>23327.970436438121</v>
      </c>
      <c r="BE18" s="164">
        <v>92873.255311254834</v>
      </c>
      <c r="BF18" s="164">
        <v>10117.341337969536</v>
      </c>
      <c r="BG18" s="164">
        <v>24135.006278972345</v>
      </c>
      <c r="BH18" s="164">
        <v>28333.717818887657</v>
      </c>
      <c r="BI18" s="164">
        <v>33574.550131630262</v>
      </c>
      <c r="BJ18" s="164">
        <v>96160.615567459798</v>
      </c>
      <c r="BK18" s="164">
        <v>28579.78610251467</v>
      </c>
      <c r="BL18" s="164">
        <v>-71313.57343122772</v>
      </c>
      <c r="BM18" s="164">
        <v>56373.065816330105</v>
      </c>
      <c r="BN18" s="164">
        <v>16607.779183710059</v>
      </c>
      <c r="BO18" s="164">
        <v>30247.057671327115</v>
      </c>
      <c r="BP18" s="164">
        <v>20500.066230590055</v>
      </c>
      <c r="BQ18" s="164">
        <v>2714.5095697480901</v>
      </c>
      <c r="BR18" s="164">
        <v>44874.633276005952</v>
      </c>
      <c r="BS18" s="164">
        <v>8861.2689327947301</v>
      </c>
      <c r="BT18" s="164">
        <v>76950.478009138824</v>
      </c>
      <c r="BU18" s="164">
        <v>27035.28872714606</v>
      </c>
      <c r="BV18" s="164">
        <v>24478.846021125039</v>
      </c>
    </row>
    <row r="19" spans="1:74" s="1" customFormat="1" ht="15" customHeight="1">
      <c r="A19"/>
      <c r="B19" s="66"/>
      <c r="C19" s="67"/>
      <c r="D19" s="67"/>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P19" s="165"/>
      <c r="AU19" s="165"/>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row>
    <row r="20" spans="1:74" s="1" customFormat="1" ht="18.75" customHeight="1">
      <c r="A20"/>
      <c r="B20" s="59" t="str">
        <f>IF('Sumário | Summary'!P1=1,"Indicadores Financeiros Proforma","Proforma Financial Indicators")</f>
        <v>Indicadores Financeiros Proforma</v>
      </c>
      <c r="C20" s="26"/>
      <c r="D20" s="59"/>
      <c r="E20" s="26"/>
      <c r="F20" s="59"/>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114"/>
      <c r="AM20" s="26"/>
      <c r="AN20" s="60"/>
      <c r="AO20" s="60"/>
      <c r="AP20" s="135"/>
      <c r="AQ20" s="60"/>
      <c r="AR20" s="60"/>
      <c r="AS20" s="60"/>
      <c r="AT20" s="60"/>
      <c r="AU20" s="135"/>
      <c r="AV20" s="135"/>
      <c r="AW20" s="135"/>
      <c r="AX20" s="135"/>
      <c r="AY20" s="135"/>
      <c r="AZ20" s="135"/>
      <c r="BA20" s="135"/>
      <c r="BB20" s="135"/>
      <c r="BC20" s="135"/>
      <c r="BD20" s="135"/>
      <c r="BE20" s="135"/>
      <c r="BF20" s="135"/>
      <c r="BG20" s="218"/>
      <c r="BH20" s="135"/>
      <c r="BI20" s="135"/>
      <c r="BJ20" s="135"/>
      <c r="BK20" s="135"/>
      <c r="BL20" s="135"/>
      <c r="BM20" s="135"/>
      <c r="BN20" s="135"/>
      <c r="BO20" s="135"/>
      <c r="BP20" s="135"/>
      <c r="BQ20" s="135"/>
      <c r="BR20" s="135"/>
      <c r="BS20" s="135"/>
      <c r="BT20" s="135"/>
      <c r="BU20" s="135"/>
      <c r="BV20" s="135"/>
    </row>
    <row r="21" spans="1:74" s="85" customFormat="1" ht="15" customHeight="1">
      <c r="A21" t="s">
        <v>126</v>
      </c>
      <c r="B21" s="9" t="s">
        <v>298</v>
      </c>
      <c r="C21" s="77"/>
      <c r="D21" s="77"/>
      <c r="E21" s="77"/>
      <c r="F21" s="77"/>
      <c r="G21" s="77"/>
      <c r="H21" s="77"/>
      <c r="I21" s="77"/>
      <c r="J21" s="77"/>
      <c r="K21" s="77"/>
      <c r="L21" s="77"/>
      <c r="M21" s="77"/>
      <c r="N21" s="77"/>
      <c r="O21" s="77"/>
      <c r="P21" s="77"/>
      <c r="Q21" s="77"/>
      <c r="R21" s="77"/>
      <c r="S21" s="77"/>
      <c r="T21" s="77"/>
      <c r="U21" s="77"/>
      <c r="V21" s="77"/>
      <c r="W21" s="77">
        <v>107786.57109577887</v>
      </c>
      <c r="X21" s="77">
        <v>104722.99185141042</v>
      </c>
      <c r="Y21" s="77">
        <v>139723.33832627226</v>
      </c>
      <c r="Z21" s="77">
        <v>137164.53984149423</v>
      </c>
      <c r="AA21" s="77">
        <v>489397.44111495576</v>
      </c>
      <c r="AB21" s="77">
        <v>100132.05042850235</v>
      </c>
      <c r="AC21" s="77">
        <v>109373.66391263639</v>
      </c>
      <c r="AD21" s="77">
        <v>99060.34262000458</v>
      </c>
      <c r="AE21" s="77">
        <v>92322.893939813381</v>
      </c>
      <c r="AF21" s="77">
        <v>400888.9509009567</v>
      </c>
      <c r="AG21" s="77">
        <v>84684.947715066708</v>
      </c>
      <c r="AH21" s="77">
        <v>148315.77850850931</v>
      </c>
      <c r="AI21" s="77">
        <v>89978.452663096017</v>
      </c>
      <c r="AJ21" s="77">
        <v>92669.049752549108</v>
      </c>
      <c r="AK21" s="77">
        <v>415648.22863922117</v>
      </c>
      <c r="AL21" s="77">
        <v>88862.895242019877</v>
      </c>
      <c r="AM21" s="77">
        <v>93948.5039904757</v>
      </c>
      <c r="AN21" s="77">
        <v>95812.1488278701</v>
      </c>
      <c r="AO21" s="77">
        <v>105632.46540481022</v>
      </c>
      <c r="AP21" s="159">
        <v>384256.33407514327</v>
      </c>
      <c r="AQ21" s="77">
        <v>98065.78814911806</v>
      </c>
      <c r="AR21" s="77">
        <v>70395.051241492416</v>
      </c>
      <c r="AS21" s="77">
        <v>102519.26202915354</v>
      </c>
      <c r="AT21" s="77">
        <v>98696.831504104586</v>
      </c>
      <c r="AU21" s="159">
        <v>369676.93292386859</v>
      </c>
      <c r="AV21" s="159">
        <v>87978.137416420534</v>
      </c>
      <c r="AW21" s="159">
        <v>90322.766462377127</v>
      </c>
      <c r="AX21" s="159">
        <v>99596.478611576691</v>
      </c>
      <c r="AY21" s="160">
        <v>1459695.4731797967</v>
      </c>
      <c r="AZ21" s="159">
        <v>1737592.8556701711</v>
      </c>
      <c r="BA21" s="159">
        <v>140223.37064717631</v>
      </c>
      <c r="BB21" s="160">
        <v>89719.215064606557</v>
      </c>
      <c r="BC21" s="159">
        <v>91328.593142645666</v>
      </c>
      <c r="BD21" s="159">
        <v>101178.36327324942</v>
      </c>
      <c r="BE21" s="159">
        <v>422449.54212767794</v>
      </c>
      <c r="BF21" s="159">
        <v>90142.642480129507</v>
      </c>
      <c r="BG21" s="159">
        <v>90222.286146336526</v>
      </c>
      <c r="BH21" s="159">
        <v>92430.039516420045</v>
      </c>
      <c r="BI21" s="159">
        <v>100466.42029968754</v>
      </c>
      <c r="BJ21" s="159">
        <v>373261.3884425736</v>
      </c>
      <c r="BK21" s="159">
        <v>95322.818750022125</v>
      </c>
      <c r="BL21" s="159">
        <v>834440.44518934272</v>
      </c>
      <c r="BM21" s="159">
        <v>54540.390397797571</v>
      </c>
      <c r="BN21" s="159">
        <v>74719.562945311423</v>
      </c>
      <c r="BO21" s="159">
        <v>1059023.2172824738</v>
      </c>
      <c r="BP21" s="159">
        <v>63835.743509774169</v>
      </c>
      <c r="BQ21" s="159">
        <v>62308.687477175248</v>
      </c>
      <c r="BR21" s="159">
        <v>62555.540255679734</v>
      </c>
      <c r="BS21" s="159">
        <v>66079.695240892732</v>
      </c>
      <c r="BT21" s="159">
        <v>254779.6664835219</v>
      </c>
      <c r="BU21" s="159">
        <v>64417.597598504995</v>
      </c>
      <c r="BV21" s="159">
        <v>64199.614118102014</v>
      </c>
    </row>
    <row r="22" spans="1:74" s="85" customFormat="1" ht="15" customHeight="1">
      <c r="A22" t="s">
        <v>100</v>
      </c>
      <c r="B22" s="9" t="s">
        <v>299</v>
      </c>
      <c r="C22" s="77"/>
      <c r="D22" s="77"/>
      <c r="E22" s="77"/>
      <c r="F22" s="77"/>
      <c r="G22" s="77"/>
      <c r="H22" s="77"/>
      <c r="I22" s="77"/>
      <c r="J22" s="77"/>
      <c r="K22" s="77"/>
      <c r="L22" s="77"/>
      <c r="M22" s="77"/>
      <c r="N22" s="77"/>
      <c r="O22" s="77"/>
      <c r="P22" s="77"/>
      <c r="Q22" s="77"/>
      <c r="R22" s="77"/>
      <c r="S22" s="77"/>
      <c r="T22" s="77"/>
      <c r="U22" s="77"/>
      <c r="V22" s="77"/>
      <c r="W22" s="77">
        <v>100667.57109577887</v>
      </c>
      <c r="X22" s="77">
        <v>97418.991851410421</v>
      </c>
      <c r="Y22" s="77">
        <v>131648.33832627226</v>
      </c>
      <c r="Z22" s="77">
        <v>128731.53984149423</v>
      </c>
      <c r="AA22" s="77">
        <v>458466.44111495576</v>
      </c>
      <c r="AB22" s="77">
        <v>93250.050428502349</v>
      </c>
      <c r="AC22" s="77">
        <v>101279.66391263639</v>
      </c>
      <c r="AD22" s="77">
        <v>92882.34262000458</v>
      </c>
      <c r="AE22" s="77">
        <v>85665.893939813381</v>
      </c>
      <c r="AF22" s="77">
        <v>373077.9509009567</v>
      </c>
      <c r="AG22" s="77">
        <v>79708.947715066708</v>
      </c>
      <c r="AH22" s="77">
        <v>141022.77850850931</v>
      </c>
      <c r="AI22" s="77">
        <v>82942.452663096017</v>
      </c>
      <c r="AJ22" s="77">
        <v>85991.049752549108</v>
      </c>
      <c r="AK22" s="77">
        <v>389665.22863922117</v>
      </c>
      <c r="AL22" s="77">
        <v>85203.285684030881</v>
      </c>
      <c r="AM22" s="77">
        <v>87646.5039904757</v>
      </c>
      <c r="AN22" s="77">
        <v>89299.835176575114</v>
      </c>
      <c r="AO22" s="77">
        <v>98377.53476206222</v>
      </c>
      <c r="AP22" s="159">
        <v>360527.33407514327</v>
      </c>
      <c r="AQ22" s="77">
        <v>92627.78814911806</v>
      </c>
      <c r="AR22" s="77">
        <v>63386.051241492416</v>
      </c>
      <c r="AS22" s="77">
        <v>93861.262029153542</v>
      </c>
      <c r="AT22" s="77">
        <v>88366.831504104586</v>
      </c>
      <c r="AU22" s="159">
        <v>338241.93292386859</v>
      </c>
      <c r="AV22" s="159">
        <v>78251.137416420534</v>
      </c>
      <c r="AW22" s="159">
        <v>76925.766462377127</v>
      </c>
      <c r="AX22" s="159">
        <v>89026.478611576691</v>
      </c>
      <c r="AY22" s="160">
        <v>1397432.1605093186</v>
      </c>
      <c r="AZ22" s="159">
        <v>1641635.542999693</v>
      </c>
      <c r="BA22" s="159">
        <v>122171.48735394378</v>
      </c>
      <c r="BB22" s="160">
        <v>69154.265425452424</v>
      </c>
      <c r="BC22" s="159">
        <v>74265.520384027273</v>
      </c>
      <c r="BD22" s="159">
        <v>79716.826018138323</v>
      </c>
      <c r="BE22" s="159">
        <v>345308.09918156179</v>
      </c>
      <c r="BF22" s="159">
        <v>74198.129773641427</v>
      </c>
      <c r="BG22" s="159">
        <v>77754.510080234337</v>
      </c>
      <c r="BH22" s="159">
        <v>80520.674792822072</v>
      </c>
      <c r="BI22" s="159">
        <v>88743.870634469495</v>
      </c>
      <c r="BJ22" s="159">
        <v>321217.18528116733</v>
      </c>
      <c r="BK22" s="159">
        <v>85929.809969191629</v>
      </c>
      <c r="BL22" s="159">
        <v>794993.5487135452</v>
      </c>
      <c r="BM22" s="159">
        <v>47861.73796941794</v>
      </c>
      <c r="BN22" s="159">
        <v>67556.930704872939</v>
      </c>
      <c r="BO22" s="159">
        <v>996342.02735702775</v>
      </c>
      <c r="BP22" s="159">
        <v>57717.142666841166</v>
      </c>
      <c r="BQ22" s="159">
        <v>56296.201842086244</v>
      </c>
      <c r="BR22" s="159">
        <v>56045.949329565745</v>
      </c>
      <c r="BS22" s="159">
        <v>59724.832697872742</v>
      </c>
      <c r="BT22" s="159">
        <v>229784.12653636589</v>
      </c>
      <c r="BU22" s="159">
        <v>59406.939855103999</v>
      </c>
      <c r="BV22" s="159">
        <v>58926.141197907004</v>
      </c>
    </row>
    <row r="23" spans="1:74" s="1" customFormat="1" ht="15" customHeight="1">
      <c r="A23" t="s">
        <v>287</v>
      </c>
      <c r="B23" s="8" t="s">
        <v>300</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v>46546.237447102045</v>
      </c>
      <c r="AH23" s="73">
        <v>47509.565463123276</v>
      </c>
      <c r="AI23" s="73">
        <v>51666.714469627223</v>
      </c>
      <c r="AJ23" s="73">
        <v>49986.016688491327</v>
      </c>
      <c r="AK23" s="73">
        <v>195708.53406834387</v>
      </c>
      <c r="AL23" s="73">
        <v>55175.228463278123</v>
      </c>
      <c r="AM23" s="73">
        <v>53076.695986116698</v>
      </c>
      <c r="AN23" s="73">
        <v>61297.381055681923</v>
      </c>
      <c r="AO23" s="73">
        <v>59072.414505255962</v>
      </c>
      <c r="AP23" s="161">
        <v>225588.92077449535</v>
      </c>
      <c r="AQ23" s="73">
        <v>63723.927118892978</v>
      </c>
      <c r="AR23" s="73">
        <v>42923.597446714615</v>
      </c>
      <c r="AS23" s="73">
        <v>47563.035168630653</v>
      </c>
      <c r="AT23" s="73">
        <v>56553.398866613592</v>
      </c>
      <c r="AU23" s="161">
        <v>210763.95860085185</v>
      </c>
      <c r="AV23" s="161">
        <v>51406.333423905038</v>
      </c>
      <c r="AW23" s="161">
        <v>56534.343921622924</v>
      </c>
      <c r="AX23" s="161">
        <v>61746.389565503006</v>
      </c>
      <c r="AY23" s="164">
        <v>62873.575837869357</v>
      </c>
      <c r="AZ23" s="161">
        <v>232560.64274890034</v>
      </c>
      <c r="BA23" s="161">
        <v>44688.043419326888</v>
      </c>
      <c r="BB23" s="164">
        <v>45347.788257998996</v>
      </c>
      <c r="BC23" s="161">
        <v>43606.723286122658</v>
      </c>
      <c r="BD23" s="161">
        <v>47336.939192858845</v>
      </c>
      <c r="BE23" s="161">
        <v>180979.4941563074</v>
      </c>
      <c r="BF23" s="161">
        <v>47694</v>
      </c>
      <c r="BG23" s="161">
        <v>49566</v>
      </c>
      <c r="BH23" s="161">
        <v>50016.050744046268</v>
      </c>
      <c r="BI23" s="161">
        <v>55410</v>
      </c>
      <c r="BJ23" s="161">
        <v>195720.93972184442</v>
      </c>
      <c r="BK23" s="161">
        <v>50904</v>
      </c>
      <c r="BL23" s="161">
        <v>41042.479611995775</v>
      </c>
      <c r="BM23" s="161">
        <v>20697.495364064183</v>
      </c>
      <c r="BN23" s="161">
        <v>26250.816952801368</v>
      </c>
      <c r="BO23" s="161">
        <v>138894.79192886132</v>
      </c>
      <c r="BP23" s="161">
        <v>22717.392734154164</v>
      </c>
      <c r="BQ23" s="161">
        <v>22344.476051280308</v>
      </c>
      <c r="BR23" s="161">
        <v>24006.149190202148</v>
      </c>
      <c r="BS23" s="161">
        <v>23948.787797618137</v>
      </c>
      <c r="BT23" s="161">
        <v>93016.80577325476</v>
      </c>
      <c r="BU23" s="161">
        <v>26853.544481863955</v>
      </c>
      <c r="BV23" s="161">
        <v>26407.304685513063</v>
      </c>
    </row>
    <row r="24" spans="1:74" s="1" customFormat="1" ht="15" customHeight="1">
      <c r="A24" t="s">
        <v>289</v>
      </c>
      <c r="B24" s="9" t="s">
        <v>289</v>
      </c>
      <c r="C24" s="118"/>
      <c r="D24" s="118"/>
      <c r="E24" s="118"/>
      <c r="F24" s="118"/>
      <c r="G24" s="118"/>
      <c r="H24" s="118"/>
      <c r="I24" s="118"/>
      <c r="J24" s="118"/>
      <c r="K24" s="118"/>
      <c r="L24" s="118"/>
      <c r="M24" s="118"/>
      <c r="N24" s="118"/>
      <c r="O24" s="118"/>
      <c r="P24" s="118"/>
      <c r="Q24" s="118"/>
      <c r="R24" s="118"/>
      <c r="S24" s="118"/>
      <c r="T24" s="118"/>
      <c r="U24" s="118"/>
      <c r="V24" s="118"/>
      <c r="W24" s="118">
        <v>0.82731188574886416</v>
      </c>
      <c r="X24" s="118">
        <v>0.82418107328913881</v>
      </c>
      <c r="Y24" s="118">
        <v>0.8431604966612245</v>
      </c>
      <c r="Z24" s="118">
        <v>0.84600025655525735</v>
      </c>
      <c r="AA24" s="118">
        <v>0.86394808071863771</v>
      </c>
      <c r="AB24" s="125">
        <v>0.85488721588608863</v>
      </c>
      <c r="AC24" s="118">
        <v>0.89189312520153397</v>
      </c>
      <c r="AD24" s="118">
        <v>0.74439006532133556</v>
      </c>
      <c r="AE24" s="118">
        <v>0.82039191526622446</v>
      </c>
      <c r="AF24" s="118">
        <v>0.83950945858469794</v>
      </c>
      <c r="AG24" s="162">
        <v>0.73054841117761493</v>
      </c>
      <c r="AH24" s="162">
        <v>0.73644556087999991</v>
      </c>
      <c r="AI24" s="162">
        <v>0.73498010659620872</v>
      </c>
      <c r="AJ24" s="162">
        <v>0.72688467133075718</v>
      </c>
      <c r="AK24" s="162">
        <v>0.73213324597540308</v>
      </c>
      <c r="AL24" s="162">
        <v>0.85013585722949059</v>
      </c>
      <c r="AM24" s="162">
        <v>0.76658039116490184</v>
      </c>
      <c r="AN24" s="162">
        <v>0.87449308651316016</v>
      </c>
      <c r="AO24" s="162">
        <v>0.86731156410278287</v>
      </c>
      <c r="AP24" s="162">
        <v>0.83154246234312357</v>
      </c>
      <c r="AQ24" s="162">
        <v>0.86586424110721527</v>
      </c>
      <c r="AR24" s="162">
        <v>0.6748757730045396</v>
      </c>
      <c r="AS24" s="162">
        <v>0.73841034466813504</v>
      </c>
      <c r="AT24" s="162">
        <v>0.75453872279430922</v>
      </c>
      <c r="AU24" s="162">
        <v>0.76774820293304591</v>
      </c>
      <c r="AV24" s="162">
        <v>0.71884729729712282</v>
      </c>
      <c r="AW24" s="162">
        <v>0.78459377747502601</v>
      </c>
      <c r="AX24" s="162">
        <v>0.80375443874294739</v>
      </c>
      <c r="AY24" s="162">
        <v>0.78086511918461665</v>
      </c>
      <c r="AZ24" s="162">
        <v>0.77577854773771815</v>
      </c>
      <c r="BA24" s="162">
        <f>BA23/(INDEX('DRE - Proforma'!$1:$1048576,7,MATCH(BA$5,'DRE - Proforma'!$5:$5,0))+INDEX('DRE - Proforma'!$1:$1048576,8,MATCH(BA$5,'DRE - Proforma'!$5:$5,0))+INDEX('DRE - Proforma'!$1:$1048576,9,MATCH(BA$5,'DRE - Proforma'!$5:$5,0))+INDEX('DRE - Proforma'!$1:$1048576,10,MATCH(BA$5,'DRE - Proforma'!$5:$5,0)))/1000</f>
        <v>0.76035530625704095</v>
      </c>
      <c r="BB24" s="162">
        <f>BB23/(INDEX('DRE - Proforma'!$1:$1048576,7,MATCH(BB$5,'DRE - Proforma'!$5:$5,0))+INDEX('DRE - Proforma'!$1:$1048576,8,MATCH(BB$5,'DRE - Proforma'!$5:$5,0))+INDEX('DRE - Proforma'!$1:$1048576,9,MATCH(BB$5,'DRE - Proforma'!$5:$5,0))+INDEX('DRE - Proforma'!$1:$1048576,10,MATCH(BB$5,'DRE - Proforma'!$5:$5,0)))/1000</f>
        <v>0.76974377465935617</v>
      </c>
      <c r="BC24" s="162">
        <f>BC23/(INDEX('DRE - Proforma'!$1:$1048576,7,MATCH(BC$5,'DRE - Proforma'!$5:$5,0))+INDEX('DRE - Proforma'!$1:$1048576,8,MATCH(BC$5,'DRE - Proforma'!$5:$5,0))+INDEX('DRE - Proforma'!$1:$1048576,9,MATCH(BC$5,'DRE - Proforma'!$5:$5,0))+INDEX('DRE - Proforma'!$1:$1048576,10,MATCH(BC$5,'DRE - Proforma'!$5:$5,0)))/1000</f>
        <v>0.7321301335805761</v>
      </c>
      <c r="BD24" s="162">
        <f>BD23/(INDEX('DRE - Proforma'!$1:$1048576,7,MATCH(BD$5,'DRE - Proforma'!$5:$5,0))+INDEX('DRE - Proforma'!$1:$1048576,8,MATCH(BD$5,'DRE - Proforma'!$5:$5,0))+INDEX('DRE - Proforma'!$1:$1048576,9,MATCH(BD$5,'DRE - Proforma'!$5:$5,0))+INDEX('DRE - Proforma'!$1:$1048576,10,MATCH(BD$5,'DRE - Proforma'!$5:$5,0)))/1000</f>
        <v>0.71511291840806401</v>
      </c>
      <c r="BE24" s="162">
        <v>0.74341963172139536</v>
      </c>
      <c r="BF24" s="162">
        <f>BF23/(INDEX('DRE - Proforma'!$1:$1048576,7,MATCH(BF$5,'DRE - Proforma'!$5:$5,0))+INDEX('DRE - Proforma'!$1:$1048576,8,MATCH(BF$5,'DRE - Proforma'!$5:$5,0))+INDEX('DRE - Proforma'!$1:$1048576,9,MATCH(BF$5,'DRE - Proforma'!$5:$5,0))+INDEX('DRE - Proforma'!$1:$1048576,10,MATCH(BF$5,'DRE - Proforma'!$5:$5,0)))/1000</f>
        <v>0.81216439581666289</v>
      </c>
      <c r="BG24" s="162">
        <f>BG23/(INDEX('DRE - Proforma'!$1:$1048576,7,MATCH(BG$5,'DRE - Proforma'!$5:$5,0))+INDEX('DRE - Proforma'!$1:$1048576,8,MATCH(BG$5,'DRE - Proforma'!$5:$5,0))+INDEX('DRE - Proforma'!$1:$1048576,9,MATCH(BG$5,'DRE - Proforma'!$5:$5,0))+INDEX('DRE - Proforma'!$1:$1048576,10,MATCH(BG$5,'DRE - Proforma'!$5:$5,0)))/1000</f>
        <v>0.84763622571406561</v>
      </c>
      <c r="BH24" s="162">
        <f>BH23/(INDEX('DRE - Proforma'!$1:$1048576,7,MATCH(BH$5,'DRE - Proforma'!$5:$5,0))+INDEX('DRE - Proforma'!$1:$1048576,8,MATCH(BH$5,'DRE - Proforma'!$5:$5,0))+INDEX('DRE - Proforma'!$1:$1048576,9,MATCH(BH$5,'DRE - Proforma'!$5:$5,0))+INDEX('DRE - Proforma'!$1:$1048576,10,MATCH(BH$5,'DRE - Proforma'!$5:$5,0)))/1000</f>
        <v>0.85602080229735322</v>
      </c>
      <c r="BI24" s="162">
        <v>0.88111964614283877</v>
      </c>
      <c r="BJ24" s="162">
        <v>0.82058276163403232</v>
      </c>
      <c r="BK24" s="162">
        <v>0.90370700281060756</v>
      </c>
      <c r="BL24" s="162">
        <v>0.82987906209741724</v>
      </c>
      <c r="BM24" s="162">
        <v>0.81047936895671446</v>
      </c>
      <c r="BN24" s="162">
        <v>0.90836615315882552</v>
      </c>
      <c r="BO24" s="162">
        <v>0.84073501088183911</v>
      </c>
      <c r="BP24" s="162">
        <v>0.88122876843720699</v>
      </c>
      <c r="BQ24" s="162">
        <v>0.82567507819656905</v>
      </c>
      <c r="BR24" s="162">
        <v>0.8653677898452462</v>
      </c>
      <c r="BS24" s="162">
        <v>0.84780719686407302</v>
      </c>
      <c r="BT24" s="162">
        <v>0.85469673054058826</v>
      </c>
      <c r="BU24" s="162">
        <v>0.91154073195825258</v>
      </c>
      <c r="BV24" s="162">
        <v>0.88498639019533054</v>
      </c>
    </row>
    <row r="25" spans="1:74" s="1" customFormat="1" ht="15" customHeight="1">
      <c r="A25" t="s">
        <v>143</v>
      </c>
      <c r="B25" s="8" t="s">
        <v>293</v>
      </c>
      <c r="C25" s="116"/>
      <c r="D25" s="116"/>
      <c r="E25" s="116"/>
      <c r="F25" s="116"/>
      <c r="G25" s="116"/>
      <c r="H25" s="116"/>
      <c r="I25" s="116"/>
      <c r="J25" s="116"/>
      <c r="K25" s="116"/>
      <c r="L25" s="116"/>
      <c r="M25" s="116"/>
      <c r="N25" s="116"/>
      <c r="O25" s="116"/>
      <c r="P25" s="116"/>
      <c r="Q25" s="116"/>
      <c r="R25" s="116"/>
      <c r="S25" s="116"/>
      <c r="T25" s="116"/>
      <c r="U25" s="116"/>
      <c r="V25" s="116"/>
      <c r="W25" s="116">
        <v>93318.979545778871</v>
      </c>
      <c r="X25" s="116">
        <v>55632.031676643004</v>
      </c>
      <c r="Y25" s="116">
        <v>60696.088536535353</v>
      </c>
      <c r="Z25" s="116">
        <v>74171.746098645934</v>
      </c>
      <c r="AA25" s="116">
        <v>283820.64737210749</v>
      </c>
      <c r="AB25" s="124">
        <v>50114.555766634483</v>
      </c>
      <c r="AC25" s="116">
        <v>59132.522040031996</v>
      </c>
      <c r="AD25" s="116">
        <v>308159.60956818605</v>
      </c>
      <c r="AE25" s="116">
        <v>39755.197853689497</v>
      </c>
      <c r="AF25" s="116">
        <v>457152.88522854203</v>
      </c>
      <c r="AG25" s="116">
        <v>55008.616705259199</v>
      </c>
      <c r="AH25" s="116">
        <v>76338.924835209298</v>
      </c>
      <c r="AI25" s="116">
        <v>14340.973886230515</v>
      </c>
      <c r="AJ25" s="116">
        <v>30567.759187156109</v>
      </c>
      <c r="AK25" s="116">
        <v>176256.27461385512</v>
      </c>
      <c r="AL25" s="116">
        <v>51753.044285080396</v>
      </c>
      <c r="AM25" s="116">
        <v>29233.838155763198</v>
      </c>
      <c r="AN25" s="116">
        <v>56603.422223980822</v>
      </c>
      <c r="AO25" s="116">
        <v>81957.206554382428</v>
      </c>
      <c r="AP25" s="164">
        <v>219923.84130145196</v>
      </c>
      <c r="AQ25" s="116">
        <v>56369.416403863819</v>
      </c>
      <c r="AR25" s="116">
        <v>26409.315722894658</v>
      </c>
      <c r="AS25" s="116">
        <v>59368.986517720536</v>
      </c>
      <c r="AT25" s="116">
        <v>43232.012337663095</v>
      </c>
      <c r="AU25" s="164">
        <v>185379.73098214209</v>
      </c>
      <c r="AV25" s="164">
        <v>44102.677601543895</v>
      </c>
      <c r="AW25" s="164">
        <v>46278.882224639703</v>
      </c>
      <c r="AX25" s="164">
        <v>56928.518755845696</v>
      </c>
      <c r="AY25" s="164">
        <v>1363209.0524088673</v>
      </c>
      <c r="AZ25" s="164">
        <v>1510519.1309908966</v>
      </c>
      <c r="BA25" s="164">
        <v>38563.899702420837</v>
      </c>
      <c r="BB25" s="164">
        <v>22810.264535667146</v>
      </c>
      <c r="BC25" s="164">
        <v>37706.497958573338</v>
      </c>
      <c r="BD25" s="164">
        <v>10355.496482840026</v>
      </c>
      <c r="BE25" s="164">
        <v>109436.15867950134</v>
      </c>
      <c r="BF25" s="164">
        <v>32082.12287923606</v>
      </c>
      <c r="BG25" s="164">
        <v>33573.324672569521</v>
      </c>
      <c r="BH25" s="164">
        <v>39349.539952130188</v>
      </c>
      <c r="BI25" s="164">
        <v>41742.689505763628</v>
      </c>
      <c r="BJ25" s="164">
        <v>146747.6770096994</v>
      </c>
      <c r="BK25" s="164">
        <v>43296.745198971934</v>
      </c>
      <c r="BL25" s="164">
        <v>601364.90553050337</v>
      </c>
      <c r="BM25" s="164">
        <v>5751.9938437292585</v>
      </c>
      <c r="BN25" s="164">
        <v>63077.052985093091</v>
      </c>
      <c r="BO25" s="164">
        <v>713490.69755829766</v>
      </c>
      <c r="BP25" s="164">
        <v>31971.046271285864</v>
      </c>
      <c r="BQ25" s="164">
        <v>34136.964894815566</v>
      </c>
      <c r="BR25" s="164">
        <v>28792.534061185972</v>
      </c>
      <c r="BS25" s="164">
        <v>20098.883124379689</v>
      </c>
      <c r="BT25" s="164">
        <v>114999.4283516671</v>
      </c>
      <c r="BU25" s="164">
        <v>30166.532567415998</v>
      </c>
      <c r="BV25" s="164">
        <v>23557.221902786019</v>
      </c>
    </row>
    <row r="26" spans="1:74" s="1" customFormat="1" ht="15" customHeight="1">
      <c r="A26" t="s">
        <v>290</v>
      </c>
      <c r="B26" s="9" t="s">
        <v>290</v>
      </c>
      <c r="C26" s="118"/>
      <c r="D26" s="118"/>
      <c r="E26" s="118"/>
      <c r="F26" s="118"/>
      <c r="G26" s="118"/>
      <c r="H26" s="118"/>
      <c r="I26" s="118"/>
      <c r="J26" s="118"/>
      <c r="K26" s="118"/>
      <c r="L26" s="118"/>
      <c r="M26" s="118"/>
      <c r="N26" s="118"/>
      <c r="O26" s="118"/>
      <c r="P26" s="118"/>
      <c r="Q26" s="118"/>
      <c r="R26" s="118"/>
      <c r="S26" s="118"/>
      <c r="T26" s="118"/>
      <c r="U26" s="118"/>
      <c r="V26" s="118"/>
      <c r="W26" s="162">
        <f t="shared" ref="W26:BP26" si="3">W25/W22</f>
        <v>0.92700140204030279</v>
      </c>
      <c r="X26" s="162">
        <f t="shared" si="3"/>
        <v>0.57105940658364107</v>
      </c>
      <c r="Y26" s="162">
        <f t="shared" si="3"/>
        <v>0.46104712986280511</v>
      </c>
      <c r="Z26" s="162">
        <f t="shared" si="3"/>
        <v>0.57617384356601975</v>
      </c>
      <c r="AA26" s="162">
        <f t="shared" si="3"/>
        <v>0.61906526174931609</v>
      </c>
      <c r="AB26" s="162">
        <f t="shared" si="3"/>
        <v>0.53742121893069472</v>
      </c>
      <c r="AC26" s="162">
        <f t="shared" si="3"/>
        <v>0.58385385333663409</v>
      </c>
      <c r="AD26" s="162">
        <f t="shared" si="3"/>
        <v>3.3177415736477776</v>
      </c>
      <c r="AE26" s="162">
        <f t="shared" si="3"/>
        <v>0.46407264344454818</v>
      </c>
      <c r="AF26" s="162">
        <f t="shared" si="3"/>
        <v>1.2253548732230097</v>
      </c>
      <c r="AG26" s="162">
        <f t="shared" si="3"/>
        <v>0.6901184657699525</v>
      </c>
      <c r="AH26" s="162">
        <f t="shared" si="3"/>
        <v>0.54132336380397594</v>
      </c>
      <c r="AI26" s="162">
        <f t="shared" si="3"/>
        <v>0.17290269850690482</v>
      </c>
      <c r="AJ26" s="162">
        <f t="shared" si="3"/>
        <v>0.35547605564903528</v>
      </c>
      <c r="AK26" s="162">
        <f t="shared" si="3"/>
        <v>0.4523274381688423</v>
      </c>
      <c r="AL26" s="162">
        <f t="shared" si="3"/>
        <v>0.60740667298913975</v>
      </c>
      <c r="AM26" s="162">
        <f t="shared" si="3"/>
        <v>0.33354254676193312</v>
      </c>
      <c r="AN26" s="162">
        <f t="shared" si="3"/>
        <v>0.63385808173169922</v>
      </c>
      <c r="AO26" s="162">
        <f t="shared" si="3"/>
        <v>0.83308863911466868</v>
      </c>
      <c r="AP26" s="162">
        <f t="shared" si="3"/>
        <v>0.61000601207012539</v>
      </c>
      <c r="AQ26" s="162">
        <f t="shared" si="3"/>
        <v>0.60855837681362723</v>
      </c>
      <c r="AR26" s="162">
        <f t="shared" si="3"/>
        <v>0.41664238749119553</v>
      </c>
      <c r="AS26" s="162">
        <f t="shared" si="3"/>
        <v>0.63251851971988593</v>
      </c>
      <c r="AT26" s="162">
        <f t="shared" si="3"/>
        <v>0.48923347823843827</v>
      </c>
      <c r="AU26" s="162">
        <f t="shared" si="3"/>
        <v>0.54806844727873327</v>
      </c>
      <c r="AV26" s="162">
        <f t="shared" si="3"/>
        <v>0.56360430094258551</v>
      </c>
      <c r="AW26" s="162">
        <f t="shared" si="3"/>
        <v>0.60160443441631217</v>
      </c>
      <c r="AX26" s="162">
        <f t="shared" si="3"/>
        <v>0.63945603199948331</v>
      </c>
      <c r="AY26" s="162">
        <f t="shared" si="3"/>
        <v>0.97551000394324827</v>
      </c>
      <c r="AZ26" s="162">
        <f t="shared" si="3"/>
        <v>0.92013062060704853</v>
      </c>
      <c r="BA26" s="162">
        <f t="shared" si="3"/>
        <v>0.31565384475263952</v>
      </c>
      <c r="BB26" s="162">
        <f t="shared" si="3"/>
        <v>0.32984609691583483</v>
      </c>
      <c r="BC26" s="162">
        <f t="shared" si="3"/>
        <v>0.5077254931170333</v>
      </c>
      <c r="BD26" s="162">
        <f t="shared" si="3"/>
        <v>0.12990352225618959</v>
      </c>
      <c r="BE26" s="162">
        <f t="shared" si="3"/>
        <v>0.31692323156880314</v>
      </c>
      <c r="BF26" s="162">
        <f t="shared" si="3"/>
        <v>0.43238452205075795</v>
      </c>
      <c r="BG26" s="162">
        <f t="shared" si="3"/>
        <v>0.43178620298585174</v>
      </c>
      <c r="BH26" s="162">
        <f t="shared" si="3"/>
        <v>0.48868865112439369</v>
      </c>
      <c r="BI26" s="162">
        <f t="shared" si="3"/>
        <v>0.4703726489201624</v>
      </c>
      <c r="BJ26" s="162">
        <f t="shared" si="3"/>
        <v>0.45684877314782663</v>
      </c>
      <c r="BK26" s="162">
        <f t="shared" si="3"/>
        <v>0.5038617589692691</v>
      </c>
      <c r="BL26" s="162">
        <f t="shared" si="3"/>
        <v>0.75643998181322258</v>
      </c>
      <c r="BM26" s="162">
        <f t="shared" si="3"/>
        <v>0.12017937684178104</v>
      </c>
      <c r="BN26" s="162">
        <f t="shared" si="3"/>
        <v>0.93368737044389272</v>
      </c>
      <c r="BO26" s="162">
        <f t="shared" si="3"/>
        <v>0.71611020911258461</v>
      </c>
      <c r="BP26" s="162">
        <f t="shared" si="3"/>
        <v>0.55392635175707361</v>
      </c>
      <c r="BQ26" s="162">
        <f t="shared" ref="BQ26" si="4">BQ25/BQ22</f>
        <v>0.60638131486332802</v>
      </c>
      <c r="BR26" s="162">
        <v>0.51373086557741887</v>
      </c>
      <c r="BS26" s="162">
        <v>0.33652472876823253</v>
      </c>
      <c r="BT26" s="162">
        <v>0.50046724325610525</v>
      </c>
      <c r="BU26" s="162">
        <v>0.5077947566562665</v>
      </c>
      <c r="BV26" s="162">
        <v>0.39977540398696171</v>
      </c>
    </row>
    <row r="27" spans="1:74" s="1" customFormat="1" ht="15" customHeight="1">
      <c r="A27" t="s">
        <v>144</v>
      </c>
      <c r="B27" s="8" t="s">
        <v>294</v>
      </c>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24"/>
      <c r="AB27" s="124">
        <v>53219.814074149792</v>
      </c>
      <c r="AC27" s="116">
        <v>59205.686673179938</v>
      </c>
      <c r="AD27" s="116">
        <v>17358.51912752281</v>
      </c>
      <c r="AE27" s="116">
        <v>42693.335353689487</v>
      </c>
      <c r="AF27" s="116">
        <v>172477.35522854203</v>
      </c>
      <c r="AG27" s="116">
        <v>44754.995705259207</v>
      </c>
      <c r="AH27" s="116">
        <v>44698.058835209311</v>
      </c>
      <c r="AI27" s="116">
        <v>42695.261214256476</v>
      </c>
      <c r="AJ27" s="116">
        <v>47463.19967715611</v>
      </c>
      <c r="AK27" s="116">
        <v>180348.51543188113</v>
      </c>
      <c r="AL27" s="116">
        <v>53595.855190516166</v>
      </c>
      <c r="AM27" s="116">
        <v>50291.4214757632</v>
      </c>
      <c r="AN27" s="116">
        <v>48605.496397633149</v>
      </c>
      <c r="AO27" s="116">
        <v>51695.518176041871</v>
      </c>
      <c r="AP27" s="164">
        <v>204187.99717604541</v>
      </c>
      <c r="AQ27" s="116">
        <v>57901.306223863823</v>
      </c>
      <c r="AR27" s="116">
        <v>30813.548542894659</v>
      </c>
      <c r="AS27" s="116">
        <v>38837.322837720538</v>
      </c>
      <c r="AT27" s="116">
        <v>46974.225657663097</v>
      </c>
      <c r="AU27" s="164">
        <v>174526.40326214212</v>
      </c>
      <c r="AV27" s="164">
        <v>45361.62485795145</v>
      </c>
      <c r="AW27" s="164">
        <v>47729.949874422673</v>
      </c>
      <c r="AX27" s="164">
        <v>57171.140590915849</v>
      </c>
      <c r="AY27" s="164">
        <v>48899.693406460152</v>
      </c>
      <c r="AZ27" s="164">
        <v>199162.40872975014</v>
      </c>
      <c r="BA27" s="164">
        <v>44504.61892809251</v>
      </c>
      <c r="BB27" s="164">
        <v>36869.112995880205</v>
      </c>
      <c r="BC27" s="164">
        <v>36872.009405512501</v>
      </c>
      <c r="BD27" s="164">
        <v>37542.58815952811</v>
      </c>
      <c r="BE27" s="164">
        <v>155788.32948901335</v>
      </c>
      <c r="BF27" s="164">
        <v>39047.002923860331</v>
      </c>
      <c r="BG27" s="164">
        <v>42157.383478005533</v>
      </c>
      <c r="BH27" s="164">
        <v>42820.586647335265</v>
      </c>
      <c r="BI27" s="164">
        <v>49781.404763319239</v>
      </c>
      <c r="BJ27" s="164">
        <v>173806.37781252037</v>
      </c>
      <c r="BK27" s="164">
        <v>44945.95509517238</v>
      </c>
      <c r="BL27" s="164">
        <v>32696.958903945793</v>
      </c>
      <c r="BM27" s="164">
        <v>18002.309888170144</v>
      </c>
      <c r="BN27" s="164">
        <v>28487.193740580216</v>
      </c>
      <c r="BO27" s="164">
        <v>124132.41762786853</v>
      </c>
      <c r="BP27" s="164">
        <v>20026.255727315402</v>
      </c>
      <c r="BQ27" s="164">
        <v>19616.301506779535</v>
      </c>
      <c r="BR27" s="164">
        <v>20789.102166000557</v>
      </c>
      <c r="BS27" s="164">
        <v>23241.422024627747</v>
      </c>
      <c r="BT27" s="164">
        <v>83673.081424723234</v>
      </c>
      <c r="BU27" s="164">
        <v>25763.885855482949</v>
      </c>
      <c r="BV27" s="164">
        <v>24958.76466314408</v>
      </c>
    </row>
    <row r="28" spans="1:74" s="1" customFormat="1" ht="15" customHeight="1">
      <c r="A28" t="s">
        <v>270</v>
      </c>
      <c r="B28" s="8" t="s">
        <v>295</v>
      </c>
      <c r="C28" s="73"/>
      <c r="D28" s="73"/>
      <c r="E28" s="73"/>
      <c r="F28" s="73"/>
      <c r="G28" s="73"/>
      <c r="H28" s="73"/>
      <c r="I28" s="73"/>
      <c r="J28" s="73"/>
      <c r="K28" s="73"/>
      <c r="L28" s="73"/>
      <c r="M28" s="73"/>
      <c r="N28" s="73"/>
      <c r="O28" s="73"/>
      <c r="P28" s="73"/>
      <c r="Q28" s="73"/>
      <c r="R28" s="73"/>
      <c r="S28" s="73"/>
      <c r="T28" s="73"/>
      <c r="U28" s="73"/>
      <c r="V28" s="73"/>
      <c r="W28" s="161">
        <v>10960.571095778869</v>
      </c>
      <c r="X28" s="161">
        <v>-4538.008148589578</v>
      </c>
      <c r="Y28" s="161">
        <v>-10598.661673727736</v>
      </c>
      <c r="Z28" s="161">
        <v>8573.539841494232</v>
      </c>
      <c r="AA28" s="161">
        <v>30124.441114955749</v>
      </c>
      <c r="AB28" s="161">
        <v>-19682.949571497651</v>
      </c>
      <c r="AC28" s="161">
        <v>-17042.336087363612</v>
      </c>
      <c r="AD28" s="161">
        <v>218878.34262000452</v>
      </c>
      <c r="AE28" s="161">
        <v>-7901.1060601866184</v>
      </c>
      <c r="AF28" s="161">
        <v>174251.9509009567</v>
      </c>
      <c r="AG28" s="161">
        <v>9007.9477150667062</v>
      </c>
      <c r="AH28" s="161">
        <v>23018.778508509306</v>
      </c>
      <c r="AI28" s="161">
        <v>-19090.547336903986</v>
      </c>
      <c r="AJ28" s="161">
        <v>-13770.950247450894</v>
      </c>
      <c r="AK28" s="161">
        <v>-834.77136077883051</v>
      </c>
      <c r="AL28" s="161">
        <v>3157.3407867505939</v>
      </c>
      <c r="AM28" s="161">
        <v>-17129.897316696322</v>
      </c>
      <c r="AN28" s="161">
        <v>8824.8532660409692</v>
      </c>
      <c r="AO28" s="161">
        <v>37972.142963591876</v>
      </c>
      <c r="AP28" s="161">
        <v>47059.059476489747</v>
      </c>
      <c r="AQ28" s="161">
        <v>16414.919512558128</v>
      </c>
      <c r="AR28" s="161">
        <v>900.91904681222707</v>
      </c>
      <c r="AS28" s="161">
        <v>26703</v>
      </c>
      <c r="AT28" s="161">
        <v>6650</v>
      </c>
      <c r="AU28" s="161">
        <v>50838.895780486724</v>
      </c>
      <c r="AV28" s="161">
        <v>7125.707811281166</v>
      </c>
      <c r="AW28" s="161">
        <v>7130</v>
      </c>
      <c r="AX28" s="161">
        <v>9026.6333819175979</v>
      </c>
      <c r="AY28" s="161">
        <v>1263404.2934423364</v>
      </c>
      <c r="AZ28" s="161">
        <v>1286686.6346355351</v>
      </c>
      <c r="BA28" s="161">
        <v>-10919.542422307381</v>
      </c>
      <c r="BB28" s="161">
        <v>-29158.736814068758</v>
      </c>
      <c r="BC28" s="161">
        <v>6853.0141522464173</v>
      </c>
      <c r="BD28" s="161">
        <v>-23775.013896388795</v>
      </c>
      <c r="BE28" s="161">
        <v>-57000.20897851848</v>
      </c>
      <c r="BF28" s="161">
        <v>-14880.680067579895</v>
      </c>
      <c r="BG28" s="161">
        <v>-4134.0334344784296</v>
      </c>
      <c r="BH28" s="161">
        <v>3558.7331335417266</v>
      </c>
      <c r="BI28" s="164">
        <v>5414.3250032527449</v>
      </c>
      <c r="BJ28" s="164">
        <v>-10041.655365263852</v>
      </c>
      <c r="BK28" s="164">
        <v>6686.2206816919979</v>
      </c>
      <c r="BL28" s="164">
        <v>457107.88678259728</v>
      </c>
      <c r="BM28" s="164">
        <v>22570.896581144596</v>
      </c>
      <c r="BN28" s="164">
        <v>59889.558951827872</v>
      </c>
      <c r="BO28" s="164">
        <v>546254.56299726176</v>
      </c>
      <c r="BP28" s="164">
        <v>18701.392630899903</v>
      </c>
      <c r="BQ28" s="164">
        <v>16572.518383962873</v>
      </c>
      <c r="BR28" s="164">
        <v>23104.735155876107</v>
      </c>
      <c r="BS28" s="164">
        <v>6255.5457018181405</v>
      </c>
      <c r="BT28" s="164">
        <v>64634.191872557029</v>
      </c>
      <c r="BU28" s="164">
        <v>19668.204998210073</v>
      </c>
      <c r="BV28" s="164">
        <v>5429.3345937350823</v>
      </c>
    </row>
    <row r="29" spans="1:74" s="1" customFormat="1" ht="15" customHeight="1">
      <c r="A29" t="s">
        <v>292</v>
      </c>
      <c r="B29" s="9" t="s">
        <v>292</v>
      </c>
      <c r="C29" s="118"/>
      <c r="D29" s="118"/>
      <c r="E29" s="118"/>
      <c r="F29" s="118"/>
      <c r="G29" s="118"/>
      <c r="H29" s="118"/>
      <c r="I29" s="118"/>
      <c r="J29" s="118"/>
      <c r="K29" s="118"/>
      <c r="L29" s="118"/>
      <c r="M29" s="118"/>
      <c r="N29" s="118"/>
      <c r="O29" s="118"/>
      <c r="P29" s="118"/>
      <c r="Q29" s="118"/>
      <c r="R29" s="118"/>
      <c r="S29" s="118"/>
      <c r="T29" s="118"/>
      <c r="U29" s="118"/>
      <c r="V29" s="118"/>
      <c r="W29" s="162">
        <f t="shared" ref="W29:BM29" si="5">W28/W22</f>
        <v>0.10887886711154056</v>
      </c>
      <c r="X29" s="162">
        <f t="shared" si="5"/>
        <v>-4.6582376417025888E-2</v>
      </c>
      <c r="Y29" s="162">
        <f t="shared" si="5"/>
        <v>-8.0507371444829126E-2</v>
      </c>
      <c r="Z29" s="162">
        <f t="shared" si="5"/>
        <v>6.6600149831585478E-2</v>
      </c>
      <c r="AA29" s="162">
        <f t="shared" si="5"/>
        <v>6.5706970921787386E-2</v>
      </c>
      <c r="AB29" s="162">
        <f t="shared" si="5"/>
        <v>-0.21107709305303987</v>
      </c>
      <c r="AC29" s="162">
        <f t="shared" si="5"/>
        <v>-0.168270069518243</v>
      </c>
      <c r="AD29" s="162">
        <f t="shared" si="5"/>
        <v>2.3565118670129612</v>
      </c>
      <c r="AE29" s="162">
        <f t="shared" si="5"/>
        <v>-9.2231641985055679E-2</v>
      </c>
      <c r="AF29" s="162">
        <f t="shared" si="5"/>
        <v>0.46706579812650584</v>
      </c>
      <c r="AG29" s="162">
        <f t="shared" si="5"/>
        <v>0.1130104959767774</v>
      </c>
      <c r="AH29" s="162">
        <f t="shared" si="5"/>
        <v>0.16322737895226164</v>
      </c>
      <c r="AI29" s="162">
        <f t="shared" si="5"/>
        <v>-0.23016617816268212</v>
      </c>
      <c r="AJ29" s="162">
        <f t="shared" si="5"/>
        <v>-0.16014399506784333</v>
      </c>
      <c r="AK29" s="162">
        <f t="shared" si="5"/>
        <v>-2.1422782928155982E-3</v>
      </c>
      <c r="AL29" s="162">
        <f t="shared" si="5"/>
        <v>3.7056561392002217E-2</v>
      </c>
      <c r="AM29" s="162">
        <f t="shared" si="5"/>
        <v>-0.19544301868056005</v>
      </c>
      <c r="AN29" s="162">
        <f t="shared" si="5"/>
        <v>9.8822727372243568E-2</v>
      </c>
      <c r="AO29" s="162">
        <f t="shared" si="5"/>
        <v>0.38598388397749572</v>
      </c>
      <c r="AP29" s="162">
        <f t="shared" si="5"/>
        <v>0.13052840944004931</v>
      </c>
      <c r="AQ29" s="162">
        <f t="shared" si="5"/>
        <v>0.177213769653361</v>
      </c>
      <c r="AR29" s="162">
        <f t="shared" si="5"/>
        <v>1.4213206678230285E-2</v>
      </c>
      <c r="AS29" s="162">
        <f t="shared" si="5"/>
        <v>0.28449436351821034</v>
      </c>
      <c r="AT29" s="162">
        <f t="shared" si="5"/>
        <v>7.5254480519550054E-2</v>
      </c>
      <c r="AU29" s="162">
        <f t="shared" si="5"/>
        <v>0.15030335044806384</v>
      </c>
      <c r="AV29" s="162">
        <f t="shared" si="5"/>
        <v>9.1062034962649363E-2</v>
      </c>
      <c r="AW29" s="162">
        <f t="shared" si="5"/>
        <v>9.2686759299137333E-2</v>
      </c>
      <c r="AX29" s="162">
        <f t="shared" si="5"/>
        <v>0.10139268139876541</v>
      </c>
      <c r="AY29" s="162">
        <f t="shared" si="5"/>
        <v>0.90408989369606796</v>
      </c>
      <c r="AZ29" s="162">
        <f t="shared" si="5"/>
        <v>0.78378336782622626</v>
      </c>
      <c r="BA29" s="162">
        <f t="shared" si="5"/>
        <v>-8.9378812182848405E-2</v>
      </c>
      <c r="BB29" s="162">
        <f t="shared" si="5"/>
        <v>-0.4216476978632876</v>
      </c>
      <c r="BC29" s="162">
        <f t="shared" si="5"/>
        <v>9.2277198312345446E-2</v>
      </c>
      <c r="BD29" s="162">
        <f t="shared" si="5"/>
        <v>-0.29824335819616249</v>
      </c>
      <c r="BE29" s="162">
        <f t="shared" si="5"/>
        <v>-0.16507058222387067</v>
      </c>
      <c r="BF29" s="162">
        <f t="shared" si="5"/>
        <v>-0.20055330387675344</v>
      </c>
      <c r="BG29" s="162">
        <f t="shared" si="5"/>
        <v>-5.3167763904788924E-2</v>
      </c>
      <c r="BH29" s="162">
        <f t="shared" si="5"/>
        <v>4.4196514034417482E-2</v>
      </c>
      <c r="BI29" s="162">
        <f t="shared" si="5"/>
        <v>6.1010692508038263E-2</v>
      </c>
      <c r="BJ29" s="162">
        <f t="shared" si="5"/>
        <v>-3.1261264419816782E-2</v>
      </c>
      <c r="BK29" s="162">
        <f t="shared" si="5"/>
        <v>7.781025797786828E-2</v>
      </c>
      <c r="BL29" s="162">
        <f t="shared" si="5"/>
        <v>0.57498313982835092</v>
      </c>
      <c r="BM29" s="162">
        <f t="shared" si="5"/>
        <v>0.4715853944870671</v>
      </c>
      <c r="BN29" s="162">
        <v>0.88650503104499367</v>
      </c>
      <c r="BO29" s="162">
        <v>0.54826008338351229</v>
      </c>
      <c r="BP29" s="162">
        <v>0.32401799130718162</v>
      </c>
      <c r="BQ29" s="162">
        <v>0.2943807546812775</v>
      </c>
      <c r="BR29" s="162">
        <v>0.41224629847937538</v>
      </c>
      <c r="BS29" s="162">
        <v>0.10473944286228111</v>
      </c>
      <c r="BT29" s="162">
        <v>0.28128223148750858</v>
      </c>
      <c r="BU29" s="162">
        <v>0.33107588181080599</v>
      </c>
      <c r="BV29" s="162">
        <v>9.2137962597963682E-2</v>
      </c>
    </row>
    <row r="30" spans="1:74" s="1" customFormat="1" ht="15" customHeight="1">
      <c r="A30" t="s">
        <v>145</v>
      </c>
      <c r="B30" s="8" t="s">
        <v>296</v>
      </c>
      <c r="C30" s="116"/>
      <c r="D30" s="116"/>
      <c r="E30" s="116"/>
      <c r="F30" s="116"/>
      <c r="G30" s="116"/>
      <c r="H30" s="116"/>
      <c r="I30" s="116"/>
      <c r="J30" s="116"/>
      <c r="K30" s="116"/>
      <c r="L30" s="116"/>
      <c r="M30" s="116"/>
      <c r="N30" s="116"/>
      <c r="O30" s="116"/>
      <c r="P30" s="116"/>
      <c r="Q30" s="116"/>
      <c r="R30" s="116"/>
      <c r="S30" s="116"/>
      <c r="T30" s="116"/>
      <c r="U30" s="116"/>
      <c r="V30" s="116"/>
      <c r="W30" s="116">
        <v>-21037.020454221132</v>
      </c>
      <c r="X30" s="116">
        <v>-3431.9683233569986</v>
      </c>
      <c r="Y30" s="116">
        <v>-7132.9114634646485</v>
      </c>
      <c r="Z30" s="116">
        <v>13320.746098645934</v>
      </c>
      <c r="AA30" s="116">
        <v>13848.647372107458</v>
      </c>
      <c r="AB30" s="124">
        <v>-9214.4442333655206</v>
      </c>
      <c r="AC30" s="124">
        <v>-4902.4779599680078</v>
      </c>
      <c r="AD30" s="124">
        <v>228274.60956818605</v>
      </c>
      <c r="AE30" s="124">
        <v>8138.1978536894931</v>
      </c>
      <c r="AF30" s="124">
        <v>222056.88522854203</v>
      </c>
      <c r="AG30" s="116">
        <v>17492.616705259206</v>
      </c>
      <c r="AH30" s="116">
        <v>32496.924835209305</v>
      </c>
      <c r="AI30" s="116">
        <v>-10546.547336903983</v>
      </c>
      <c r="AJ30" s="116">
        <v>-5225.9502474508918</v>
      </c>
      <c r="AK30" s="116">
        <v>17119.04395611367</v>
      </c>
      <c r="AL30" s="116">
        <v>11533.827587425343</v>
      </c>
      <c r="AM30" s="116">
        <v>-9888.1618442368017</v>
      </c>
      <c r="AN30" s="116">
        <v>17143.853403483412</v>
      </c>
      <c r="AO30" s="116">
        <v>47248.529899376008</v>
      </c>
      <c r="AP30" s="164">
        <v>66414.841301451961</v>
      </c>
      <c r="AQ30" s="116">
        <v>26530.120190005888</v>
      </c>
      <c r="AR30" s="116">
        <v>11222.315722894658</v>
      </c>
      <c r="AS30" s="116">
        <v>37422.986517720536</v>
      </c>
      <c r="AT30" s="116">
        <v>16927.012337663098</v>
      </c>
      <c r="AU30" s="164">
        <v>92101.730982142108</v>
      </c>
      <c r="AV30" s="164">
        <v>17691.823963865536</v>
      </c>
      <c r="AW30" s="164">
        <v>17614.987028201176</v>
      </c>
      <c r="AX30" s="164">
        <v>20577.518755845696</v>
      </c>
      <c r="AY30" s="164">
        <v>1278347.1960852328</v>
      </c>
      <c r="AZ30" s="164">
        <v>1334231.5258331452</v>
      </c>
      <c r="BA30" s="164">
        <v>-2184.2811532211199</v>
      </c>
      <c r="BB30" s="164">
        <v>-20693.105125480259</v>
      </c>
      <c r="BC30" s="164">
        <v>15330.68942741842</v>
      </c>
      <c r="BD30" s="164">
        <v>-13119.457035464045</v>
      </c>
      <c r="BE30" s="164">
        <v>-20666.153886747004</v>
      </c>
      <c r="BF30" s="164">
        <v>-5695.7808247148951</v>
      </c>
      <c r="BG30" s="164">
        <v>5058.3239157927437</v>
      </c>
      <c r="BH30" s="164">
        <v>12794.697290928576</v>
      </c>
      <c r="BI30" s="164">
        <v>14751.983542402577</v>
      </c>
      <c r="BJ30" s="164">
        <v>26909.223924409001</v>
      </c>
      <c r="BK30" s="164">
        <v>14735.328803551996</v>
      </c>
      <c r="BL30" s="164">
        <v>480026.69315886975</v>
      </c>
      <c r="BM30" s="164">
        <v>22642.085833086108</v>
      </c>
      <c r="BN30" s="164">
        <v>63997.018316270201</v>
      </c>
      <c r="BO30" s="164">
        <v>581401.12611177808</v>
      </c>
      <c r="BP30" s="164">
        <v>22401.754008181113</v>
      </c>
      <c r="BQ30" s="164">
        <v>21779.752090384096</v>
      </c>
      <c r="BR30" s="164">
        <v>26801.746430226696</v>
      </c>
      <c r="BS30" s="164">
        <v>9900.2587583138084</v>
      </c>
      <c r="BT30" s="164">
        <v>80883.511287105706</v>
      </c>
      <c r="BU30" s="164">
        <v>23267.47098266007</v>
      </c>
      <c r="BV30" s="164">
        <v>9026.0116954870828</v>
      </c>
    </row>
    <row r="31" spans="1:74" s="1" customFormat="1" ht="15" customHeight="1">
      <c r="A31" t="s">
        <v>291</v>
      </c>
      <c r="B31" s="9" t="s">
        <v>291</v>
      </c>
      <c r="C31" s="99"/>
      <c r="D31" s="99"/>
      <c r="E31" s="99"/>
      <c r="F31" s="99"/>
      <c r="G31" s="99"/>
      <c r="H31" s="99"/>
      <c r="I31" s="99"/>
      <c r="J31" s="99"/>
      <c r="K31" s="99"/>
      <c r="L31" s="99"/>
      <c r="M31" s="99"/>
      <c r="N31" s="99"/>
      <c r="O31" s="99"/>
      <c r="P31" s="99"/>
      <c r="Q31" s="99"/>
      <c r="R31" s="99"/>
      <c r="S31" s="99"/>
      <c r="T31" s="99"/>
      <c r="U31" s="99"/>
      <c r="V31" s="99"/>
      <c r="W31" s="163">
        <f t="shared" ref="W31:BM31" si="6">W30/W22</f>
        <v>-0.20897514686438326</v>
      </c>
      <c r="X31" s="163">
        <f t="shared" si="6"/>
        <v>-3.5228945179310134E-2</v>
      </c>
      <c r="Y31" s="163">
        <f t="shared" si="6"/>
        <v>-5.418155332721869E-2</v>
      </c>
      <c r="Z31" s="163">
        <f t="shared" si="6"/>
        <v>0.10347694213125723</v>
      </c>
      <c r="AA31" s="163">
        <f t="shared" si="6"/>
        <v>3.0206458161754639E-2</v>
      </c>
      <c r="AB31" s="163">
        <f t="shared" si="6"/>
        <v>-9.881436193356824E-2</v>
      </c>
      <c r="AC31" s="163">
        <f t="shared" si="6"/>
        <v>-4.840535375588207E-2</v>
      </c>
      <c r="AD31" s="163">
        <f t="shared" si="6"/>
        <v>2.4576749802929849</v>
      </c>
      <c r="AE31" s="163">
        <f t="shared" si="6"/>
        <v>9.4999275434015526E-2</v>
      </c>
      <c r="AF31" s="163">
        <f t="shared" si="6"/>
        <v>0.5952023824841175</v>
      </c>
      <c r="AG31" s="163">
        <f t="shared" si="6"/>
        <v>0.21945612389451635</v>
      </c>
      <c r="AH31" s="163">
        <f t="shared" si="6"/>
        <v>0.23043741712441471</v>
      </c>
      <c r="AI31" s="163">
        <f t="shared" si="6"/>
        <v>-0.12715499720924589</v>
      </c>
      <c r="AJ31" s="163">
        <f t="shared" si="6"/>
        <v>-6.0773188168876544E-2</v>
      </c>
      <c r="AK31" s="163">
        <f t="shared" si="6"/>
        <v>4.3932695806337026E-2</v>
      </c>
      <c r="AL31" s="163">
        <f t="shared" si="6"/>
        <v>0.13536834283829804</v>
      </c>
      <c r="AM31" s="163">
        <f t="shared" si="6"/>
        <v>-0.11281866810467786</v>
      </c>
      <c r="AN31" s="163">
        <f t="shared" si="6"/>
        <v>0.19198079559256051</v>
      </c>
      <c r="AO31" s="163">
        <f t="shared" si="6"/>
        <v>0.48027763669472101</v>
      </c>
      <c r="AP31" s="163">
        <f t="shared" si="6"/>
        <v>0.18421582782849241</v>
      </c>
      <c r="AQ31" s="163">
        <f t="shared" si="6"/>
        <v>0.28641642772788684</v>
      </c>
      <c r="AR31" s="163">
        <f t="shared" si="6"/>
        <v>0.17704708690779822</v>
      </c>
      <c r="AS31" s="163">
        <f t="shared" si="6"/>
        <v>0.39870534135900348</v>
      </c>
      <c r="AT31" s="163">
        <f t="shared" si="6"/>
        <v>0.19155391281486481</v>
      </c>
      <c r="AU31" s="163">
        <f t="shared" si="6"/>
        <v>0.27229542530692769</v>
      </c>
      <c r="AV31" s="163">
        <f t="shared" si="6"/>
        <v>0.22609031060745977</v>
      </c>
      <c r="AW31" s="163">
        <f t="shared" si="6"/>
        <v>0.22898682506876702</v>
      </c>
      <c r="AX31" s="163">
        <f t="shared" si="6"/>
        <v>0.23113930907708471</v>
      </c>
      <c r="AY31" s="163">
        <f t="shared" si="6"/>
        <v>0.9147830085857741</v>
      </c>
      <c r="AZ31" s="163">
        <f t="shared" si="6"/>
        <v>0.8127452719469993</v>
      </c>
      <c r="BA31" s="163">
        <f t="shared" si="6"/>
        <v>-1.7878812810824062E-2</v>
      </c>
      <c r="BB31" s="163">
        <f t="shared" si="6"/>
        <v>-0.29923107415242822</v>
      </c>
      <c r="BC31" s="163">
        <f t="shared" si="6"/>
        <v>0.20643078171597493</v>
      </c>
      <c r="BD31" s="163">
        <f t="shared" si="6"/>
        <v>-0.16457575760077198</v>
      </c>
      <c r="BE31" s="163">
        <f t="shared" si="6"/>
        <v>-5.9848448199533291E-2</v>
      </c>
      <c r="BF31" s="163">
        <f t="shared" si="6"/>
        <v>-7.676447967207789E-2</v>
      </c>
      <c r="BG31" s="163">
        <f t="shared" si="6"/>
        <v>6.5055054820268229E-2</v>
      </c>
      <c r="BH31" s="163">
        <f t="shared" si="6"/>
        <v>0.15889952889551723</v>
      </c>
      <c r="BI31" s="163">
        <f t="shared" si="6"/>
        <v>0.16623101333009332</v>
      </c>
      <c r="BJ31" s="163">
        <f t="shared" si="6"/>
        <v>8.3772678291962679E-2</v>
      </c>
      <c r="BK31" s="163">
        <f t="shared" si="6"/>
        <v>0.17148098906345827</v>
      </c>
      <c r="BL31" s="163">
        <f t="shared" si="6"/>
        <v>0.60381206103577401</v>
      </c>
      <c r="BM31" s="163">
        <f t="shared" si="6"/>
        <v>0.47307278827930671</v>
      </c>
      <c r="BN31" s="163">
        <v>0.94730500110855453</v>
      </c>
      <c r="BO31" s="163">
        <v>0.58353568367887354</v>
      </c>
      <c r="BP31" s="163">
        <v>0.38812999003589016</v>
      </c>
      <c r="BQ31" s="163">
        <v>0.38687782439528384</v>
      </c>
      <c r="BR31" s="163">
        <v>0.47821023197635543</v>
      </c>
      <c r="BS31" s="163">
        <v>0.1657645289421871</v>
      </c>
      <c r="BT31" s="163">
        <v>0.35199781858867868</v>
      </c>
      <c r="BU31" s="163">
        <v>0.39166250676116965</v>
      </c>
      <c r="BV31" s="163">
        <v>0.15317500029694253</v>
      </c>
    </row>
    <row r="32" spans="1:74" s="1" customFormat="1" ht="15" customHeight="1">
      <c r="A32" t="s">
        <v>146</v>
      </c>
      <c r="B32" s="8" t="s">
        <v>297</v>
      </c>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24"/>
      <c r="AB32" s="124">
        <v>-8288.7132717601708</v>
      </c>
      <c r="AC32" s="124">
        <v>-2805.3679409397027</v>
      </c>
      <c r="AD32" s="124">
        <v>-43703.08391244759</v>
      </c>
      <c r="AE32" s="124">
        <v>12411.26841368949</v>
      </c>
      <c r="AF32" s="124">
        <v>-42385.896711457972</v>
      </c>
      <c r="AG32" s="116">
        <v>7984.322795259206</v>
      </c>
      <c r="AH32" s="116">
        <v>10392.893635209304</v>
      </c>
      <c r="AI32" s="116">
        <v>19878.821933134514</v>
      </c>
      <c r="AJ32" s="116">
        <v>9321.9496871561096</v>
      </c>
      <c r="AK32" s="116">
        <v>37894.003231881128</v>
      </c>
      <c r="AL32" s="116">
        <v>13367.314694520683</v>
      </c>
      <c r="AM32" s="116">
        <v>11171.608275763198</v>
      </c>
      <c r="AN32" s="116">
        <v>9145.9275771357425</v>
      </c>
      <c r="AO32" s="116">
        <v>16986.841521035454</v>
      </c>
      <c r="AP32" s="164">
        <v>50672.068100541612</v>
      </c>
      <c r="AQ32" s="116">
        <v>28046.730722810426</v>
      </c>
      <c r="AR32" s="116">
        <v>15617.677842894658</v>
      </c>
      <c r="AS32" s="116">
        <v>17642.627237720535</v>
      </c>
      <c r="AT32" s="116">
        <v>20690.508457663098</v>
      </c>
      <c r="AU32" s="164">
        <v>82012.920562142099</v>
      </c>
      <c r="AV32" s="164">
        <v>18951.208560427818</v>
      </c>
      <c r="AW32" s="164">
        <v>19065.499438419156</v>
      </c>
      <c r="AX32" s="164">
        <v>20819.897694788098</v>
      </c>
      <c r="AY32" s="164">
        <v>9479.5539629544328</v>
      </c>
      <c r="AZ32" s="164">
        <v>68316.159656589516</v>
      </c>
      <c r="BA32" s="164">
        <v>3756.4380724505495</v>
      </c>
      <c r="BB32" s="164">
        <v>-6634.2566652671994</v>
      </c>
      <c r="BC32" s="164">
        <v>9536.625024357596</v>
      </c>
      <c r="BD32" s="164">
        <v>14067.634641224036</v>
      </c>
      <c r="BE32" s="164">
        <v>20726.441072764981</v>
      </c>
      <c r="BF32" s="164">
        <v>-130.40996009062701</v>
      </c>
      <c r="BG32" s="164">
        <v>12101.952212489707</v>
      </c>
      <c r="BH32" s="164">
        <v>14957.954356582601</v>
      </c>
      <c r="BI32" s="164">
        <v>21561.499916617999</v>
      </c>
      <c r="BJ32" s="164">
        <v>48490.996525599679</v>
      </c>
      <c r="BK32" s="164">
        <v>15472.707878208548</v>
      </c>
      <c r="BL32" s="164">
        <v>10461.319830169818</v>
      </c>
      <c r="BM32" s="164">
        <v>9110.4217806329179</v>
      </c>
      <c r="BN32" s="164">
        <v>21272.231854642327</v>
      </c>
      <c r="BO32" s="164">
        <v>56316.68134365361</v>
      </c>
      <c r="BP32" s="164">
        <v>10438.207034210649</v>
      </c>
      <c r="BQ32" s="164">
        <v>15149.050413318086</v>
      </c>
      <c r="BR32" s="164">
        <v>19975.526085041205</v>
      </c>
      <c r="BS32" s="164">
        <v>11279.987018561886</v>
      </c>
      <c r="BT32" s="164">
        <v>56842.770551131827</v>
      </c>
      <c r="BU32" s="164">
        <v>11977.840540727029</v>
      </c>
      <c r="BV32" s="164">
        <v>10132.675765845146</v>
      </c>
    </row>
    <row r="33" spans="1:74" s="1" customFormat="1" ht="15" customHeight="1">
      <c r="A33"/>
      <c r="B33" s="220" t="str">
        <f>IF('Sumário | Summary'!P1=1,"¹ A partir de 2018 considera-se o NOI na mesma base, calculado pela receita líquida de locação de shoppings e edifícios.","¹ From 2018 onwards, NOI is considered on the same basis, calculated from the net rent revenue of shopping malls and buildings.")</f>
        <v>¹ A partir de 2018 considera-se o NOI na mesma base, calculado pela receita líquida de locação de shoppings e edifícios.</v>
      </c>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6"/>
      <c r="AB33" s="206"/>
      <c r="AC33" s="206"/>
      <c r="AD33" s="206"/>
      <c r="AE33" s="206"/>
      <c r="AF33" s="206"/>
      <c r="AG33" s="205"/>
      <c r="AH33" s="205"/>
      <c r="AI33" s="205"/>
      <c r="AJ33" s="205"/>
      <c r="AK33" s="205"/>
      <c r="AL33" s="205"/>
      <c r="AM33" s="205"/>
      <c r="AN33" s="205"/>
      <c r="AO33" s="205"/>
      <c r="AP33" s="207"/>
      <c r="AQ33" s="205"/>
      <c r="AR33" s="205"/>
      <c r="AS33" s="205"/>
      <c r="AT33" s="205"/>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row>
    <row r="34" spans="1:74" s="1" customFormat="1" ht="15" customHeight="1">
      <c r="A34">
        <f>INDEX($20:$32,MATCH($A$7,$A$20:$A$32,0),MATCH($BL$5,$5:$5,0))</f>
        <v>834440.44518934272</v>
      </c>
      <c r="B34" s="66"/>
      <c r="C34" s="67"/>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P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row>
    <row r="35" spans="1:74" s="1" customFormat="1" ht="18.75" customHeight="1">
      <c r="A35"/>
      <c r="B35" s="59" t="str">
        <f>IF('Sumário | Summary'!P1=1,"Endividamento IFRS","IFRS Debt")</f>
        <v>Endividamento IFRS</v>
      </c>
      <c r="C35" s="26"/>
      <c r="D35" s="59"/>
      <c r="E35" s="26"/>
      <c r="F35" s="59"/>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114"/>
      <c r="AM35" s="26"/>
      <c r="AN35" s="60"/>
      <c r="AO35" s="60"/>
      <c r="AP35" s="135"/>
      <c r="AQ35" s="60"/>
      <c r="AR35" s="60"/>
      <c r="AS35" s="60"/>
      <c r="AT35" s="60"/>
      <c r="AU35" s="135"/>
      <c r="AV35" s="135"/>
      <c r="AW35" s="135"/>
      <c r="AX35" s="135"/>
      <c r="AY35" s="135"/>
      <c r="AZ35" s="135"/>
      <c r="BA35" s="135"/>
      <c r="BB35" s="135"/>
      <c r="BC35" s="135"/>
      <c r="BD35" s="135"/>
      <c r="BE35" s="135"/>
      <c r="BF35" s="135"/>
      <c r="BG35" s="135"/>
      <c r="BH35" s="135"/>
      <c r="BI35" s="135"/>
      <c r="BJ35" s="135"/>
      <c r="BK35" s="135"/>
      <c r="BL35" s="135"/>
      <c r="BM35" s="135"/>
      <c r="BN35" s="135"/>
      <c r="BO35" s="135"/>
      <c r="BP35" s="135"/>
      <c r="BQ35" s="135"/>
      <c r="BR35" s="135"/>
      <c r="BS35" s="135"/>
      <c r="BT35" s="135"/>
      <c r="BU35" s="135"/>
      <c r="BV35" s="135"/>
    </row>
    <row r="36" spans="1:74" s="70" customFormat="1" ht="15" customHeight="1">
      <c r="A36" t="s">
        <v>323</v>
      </c>
      <c r="B36" s="8" t="str">
        <f>IF('Sumário | Summary'!P1=1,"Endividamento","Debt")</f>
        <v>Endividamento</v>
      </c>
      <c r="C36" s="71">
        <v>0</v>
      </c>
      <c r="D36" s="71">
        <v>0</v>
      </c>
      <c r="E36" s="71">
        <v>1197204</v>
      </c>
      <c r="F36" s="71">
        <v>907997</v>
      </c>
      <c r="G36" s="71">
        <v>907997</v>
      </c>
      <c r="H36" s="71">
        <v>1098097</v>
      </c>
      <c r="I36" s="71">
        <v>1197204</v>
      </c>
      <c r="J36" s="71">
        <v>1355174</v>
      </c>
      <c r="K36" s="71">
        <v>1626047</v>
      </c>
      <c r="L36" s="71">
        <v>1626047</v>
      </c>
      <c r="M36" s="71">
        <v>1900177</v>
      </c>
      <c r="N36" s="71">
        <v>1962241</v>
      </c>
      <c r="O36" s="71">
        <v>2050351</v>
      </c>
      <c r="P36" s="71">
        <v>2483827</v>
      </c>
      <c r="Q36" s="71">
        <v>2483827</v>
      </c>
      <c r="R36" s="71">
        <v>2437523</v>
      </c>
      <c r="S36" s="71">
        <v>2416790</v>
      </c>
      <c r="T36" s="71">
        <v>2486671</v>
      </c>
      <c r="U36" s="71">
        <v>2488444</v>
      </c>
      <c r="V36" s="71">
        <v>2488444</v>
      </c>
      <c r="W36" s="71">
        <v>2270959</v>
      </c>
      <c r="X36" s="71">
        <v>2254331</v>
      </c>
      <c r="Y36" s="71">
        <v>2339948</v>
      </c>
      <c r="Z36" s="71">
        <v>2462080</v>
      </c>
      <c r="AA36" s="71">
        <v>2462080</v>
      </c>
      <c r="AB36" s="71">
        <v>2379405</v>
      </c>
      <c r="AC36" s="71">
        <v>2440157</v>
      </c>
      <c r="AD36" s="71">
        <v>1771412</v>
      </c>
      <c r="AE36" s="71">
        <v>1660027</v>
      </c>
      <c r="AF36" s="71">
        <v>1660027</v>
      </c>
      <c r="AG36" s="71">
        <v>1819118</v>
      </c>
      <c r="AH36" s="71">
        <v>1793029</v>
      </c>
      <c r="AI36" s="71">
        <v>1747502</v>
      </c>
      <c r="AJ36" s="71">
        <v>1733781</v>
      </c>
      <c r="AK36" s="71">
        <v>1733781</v>
      </c>
      <c r="AL36" s="73">
        <v>1662347</v>
      </c>
      <c r="AM36" s="73">
        <v>1947915</v>
      </c>
      <c r="AN36" s="73">
        <v>1708168</v>
      </c>
      <c r="AO36" s="73">
        <v>2004757</v>
      </c>
      <c r="AP36" s="161">
        <v>2004757</v>
      </c>
      <c r="AQ36" s="73">
        <v>1955359</v>
      </c>
      <c r="AR36" s="73">
        <v>1948735</v>
      </c>
      <c r="AS36" s="73">
        <v>1896560</v>
      </c>
      <c r="AT36" s="73">
        <v>1886784</v>
      </c>
      <c r="AU36" s="161">
        <v>1886784</v>
      </c>
      <c r="AV36" s="161">
        <v>1809854</v>
      </c>
      <c r="AW36" s="161">
        <v>2116999</v>
      </c>
      <c r="AX36" s="161">
        <v>2075640</v>
      </c>
      <c r="AY36" s="164">
        <v>1996886</v>
      </c>
      <c r="AZ36" s="161">
        <v>1996886</v>
      </c>
      <c r="BA36" s="161">
        <v>1824541</v>
      </c>
      <c r="BB36" s="164">
        <v>1642980</v>
      </c>
      <c r="BC36" s="161">
        <v>1441474</v>
      </c>
      <c r="BD36" s="161">
        <v>1414316</v>
      </c>
      <c r="BE36" s="161">
        <v>1414316</v>
      </c>
      <c r="BF36" s="161">
        <v>1425434</v>
      </c>
      <c r="BG36" s="161">
        <v>1398940</v>
      </c>
      <c r="BH36" s="161">
        <v>1404486</v>
      </c>
      <c r="BI36" s="161">
        <v>1369048</v>
      </c>
      <c r="BJ36" s="161">
        <v>1369048</v>
      </c>
      <c r="BK36" s="161">
        <v>1378024</v>
      </c>
      <c r="BL36" s="161">
        <v>1393546</v>
      </c>
      <c r="BM36" s="161">
        <v>1244748</v>
      </c>
      <c r="BN36" s="161">
        <v>1215695</v>
      </c>
      <c r="BO36" s="161">
        <v>1215695</v>
      </c>
      <c r="BP36" s="161">
        <v>1234865</v>
      </c>
      <c r="BQ36" s="161">
        <v>862813</v>
      </c>
      <c r="BR36" s="161">
        <v>859664</v>
      </c>
      <c r="BS36" s="161">
        <v>860141</v>
      </c>
      <c r="BT36" s="161">
        <v>860141</v>
      </c>
      <c r="BU36" s="161">
        <v>731862</v>
      </c>
      <c r="BV36" s="161">
        <v>737430</v>
      </c>
    </row>
    <row r="37" spans="1:74" s="1" customFormat="1" ht="15" customHeight="1">
      <c r="A37" t="s">
        <v>147</v>
      </c>
      <c r="B37" s="9" t="str">
        <f>IF('Sumário | Summary'!P1=1,"Financiamentos e Empréstimos","Loans and Financing")</f>
        <v>Financiamentos e Empréstimos</v>
      </c>
      <c r="C37" s="74">
        <v>0</v>
      </c>
      <c r="D37" s="74">
        <v>0</v>
      </c>
      <c r="E37" s="74">
        <v>540035</v>
      </c>
      <c r="F37" s="74">
        <v>373973</v>
      </c>
      <c r="G37" s="74">
        <v>373973</v>
      </c>
      <c r="H37" s="74">
        <v>433038</v>
      </c>
      <c r="I37" s="74">
        <v>540035</v>
      </c>
      <c r="J37" s="74">
        <v>627665</v>
      </c>
      <c r="K37" s="74">
        <v>701816</v>
      </c>
      <c r="L37" s="74">
        <v>701816</v>
      </c>
      <c r="M37" s="74">
        <v>940527</v>
      </c>
      <c r="N37" s="74">
        <v>1000302</v>
      </c>
      <c r="O37" s="74">
        <v>1118761</v>
      </c>
      <c r="P37" s="74">
        <v>1548156</v>
      </c>
      <c r="Q37" s="74">
        <v>1548156</v>
      </c>
      <c r="R37" s="74">
        <v>1536037</v>
      </c>
      <c r="S37" s="75">
        <v>1509426</v>
      </c>
      <c r="T37" s="74">
        <v>1612999</v>
      </c>
      <c r="U37" s="75">
        <v>1606777</v>
      </c>
      <c r="V37" s="75">
        <v>1606777</v>
      </c>
      <c r="W37" s="75">
        <v>1532275</v>
      </c>
      <c r="X37" s="75">
        <v>1511547</v>
      </c>
      <c r="Y37" s="76">
        <v>1520897</v>
      </c>
      <c r="Z37" s="77">
        <v>1507146</v>
      </c>
      <c r="AA37" s="74">
        <v>1507146</v>
      </c>
      <c r="AB37" s="75">
        <v>1517598</v>
      </c>
      <c r="AC37" s="75">
        <v>1454451</v>
      </c>
      <c r="AD37" s="75">
        <v>983450</v>
      </c>
      <c r="AE37" s="75">
        <v>965956</v>
      </c>
      <c r="AF37" s="75">
        <v>965956</v>
      </c>
      <c r="AG37" s="75">
        <v>964999</v>
      </c>
      <c r="AH37" s="75">
        <v>934623</v>
      </c>
      <c r="AI37" s="75">
        <v>931183</v>
      </c>
      <c r="AJ37" s="75">
        <v>680221</v>
      </c>
      <c r="AK37" s="75">
        <v>680221</v>
      </c>
      <c r="AL37" s="77">
        <v>681131</v>
      </c>
      <c r="AM37" s="77">
        <v>658165</v>
      </c>
      <c r="AN37" s="77">
        <v>659154</v>
      </c>
      <c r="AO37" s="77">
        <v>489346</v>
      </c>
      <c r="AP37" s="159">
        <v>489346</v>
      </c>
      <c r="AQ37" s="77">
        <v>489001</v>
      </c>
      <c r="AR37" s="77">
        <v>487337</v>
      </c>
      <c r="AS37" s="159">
        <v>485646</v>
      </c>
      <c r="AT37" s="77">
        <v>484233</v>
      </c>
      <c r="AU37" s="159">
        <v>484233</v>
      </c>
      <c r="AV37" s="159">
        <v>482753</v>
      </c>
      <c r="AW37" s="159">
        <v>481110</v>
      </c>
      <c r="AX37" s="159">
        <v>479535</v>
      </c>
      <c r="AY37" s="160">
        <v>396408</v>
      </c>
      <c r="AZ37" s="159">
        <v>396408</v>
      </c>
      <c r="BA37" s="159">
        <v>396550</v>
      </c>
      <c r="BB37" s="160">
        <v>395776</v>
      </c>
      <c r="BC37" s="159">
        <v>396018</v>
      </c>
      <c r="BD37" s="159">
        <v>395776</v>
      </c>
      <c r="BE37" s="159">
        <v>395776</v>
      </c>
      <c r="BF37" s="159">
        <v>395776</v>
      </c>
      <c r="BG37" s="159">
        <v>395776</v>
      </c>
      <c r="BH37" s="159">
        <v>395720</v>
      </c>
      <c r="BI37" s="159">
        <v>395776</v>
      </c>
      <c r="BJ37" s="159">
        <v>395776</v>
      </c>
      <c r="BK37" s="159">
        <v>396314</v>
      </c>
      <c r="BL37" s="159">
        <v>396303</v>
      </c>
      <c r="BM37" s="159">
        <v>396314</v>
      </c>
      <c r="BN37" s="159">
        <v>396378</v>
      </c>
      <c r="BO37" s="159">
        <v>396378</v>
      </c>
      <c r="BP37" s="159">
        <v>396690</v>
      </c>
      <c r="BQ37" s="159">
        <v>396491</v>
      </c>
      <c r="BR37" s="159">
        <v>396491</v>
      </c>
      <c r="BS37" s="159">
        <v>396491</v>
      </c>
      <c r="BT37" s="159">
        <v>396491</v>
      </c>
      <c r="BU37" s="159">
        <v>264478</v>
      </c>
      <c r="BV37" s="159">
        <v>264307</v>
      </c>
    </row>
    <row r="38" spans="1:74" s="1" customFormat="1" ht="15" customHeight="1">
      <c r="A38" t="s">
        <v>148</v>
      </c>
      <c r="B38" s="9" t="str">
        <f>IF('Sumário | Summary'!P1=1,"Debêntures e Notas Promissórias","Debentures")</f>
        <v>Debêntures e Notas Promissórias</v>
      </c>
      <c r="C38" s="74">
        <v>0</v>
      </c>
      <c r="D38" s="74">
        <v>0</v>
      </c>
      <c r="E38" s="74">
        <v>657169</v>
      </c>
      <c r="F38" s="74">
        <v>534024</v>
      </c>
      <c r="G38" s="74">
        <v>534024</v>
      </c>
      <c r="H38" s="74">
        <v>665059</v>
      </c>
      <c r="I38" s="74">
        <v>657169</v>
      </c>
      <c r="J38" s="74">
        <v>727509</v>
      </c>
      <c r="K38" s="74">
        <v>924231</v>
      </c>
      <c r="L38" s="74">
        <v>924231</v>
      </c>
      <c r="M38" s="74">
        <v>959650</v>
      </c>
      <c r="N38" s="74">
        <v>961939</v>
      </c>
      <c r="O38" s="74">
        <v>931590</v>
      </c>
      <c r="P38" s="74">
        <v>935671</v>
      </c>
      <c r="Q38" s="74">
        <v>935671</v>
      </c>
      <c r="R38" s="74">
        <v>901486</v>
      </c>
      <c r="S38" s="75">
        <v>907364</v>
      </c>
      <c r="T38" s="74">
        <v>873672</v>
      </c>
      <c r="U38" s="75">
        <v>881667</v>
      </c>
      <c r="V38" s="75">
        <v>881667</v>
      </c>
      <c r="W38" s="75">
        <v>738684</v>
      </c>
      <c r="X38" s="75">
        <v>742784</v>
      </c>
      <c r="Y38" s="76">
        <v>819051</v>
      </c>
      <c r="Z38" s="77">
        <v>954934</v>
      </c>
      <c r="AA38" s="74">
        <v>954934</v>
      </c>
      <c r="AB38" s="75">
        <v>861807</v>
      </c>
      <c r="AC38" s="75">
        <v>985706</v>
      </c>
      <c r="AD38" s="75">
        <v>787962</v>
      </c>
      <c r="AE38" s="75">
        <v>694071</v>
      </c>
      <c r="AF38" s="75">
        <v>694071</v>
      </c>
      <c r="AG38" s="75">
        <v>854119</v>
      </c>
      <c r="AH38" s="75">
        <v>858406</v>
      </c>
      <c r="AI38" s="75">
        <v>816319</v>
      </c>
      <c r="AJ38" s="75">
        <v>1053560</v>
      </c>
      <c r="AK38" s="75">
        <v>1053560</v>
      </c>
      <c r="AL38" s="77">
        <v>981216</v>
      </c>
      <c r="AM38" s="77">
        <v>1289750</v>
      </c>
      <c r="AN38" s="77">
        <v>1049014</v>
      </c>
      <c r="AO38" s="77">
        <v>1515411</v>
      </c>
      <c r="AP38" s="159">
        <v>1515411</v>
      </c>
      <c r="AQ38" s="77">
        <v>1466358</v>
      </c>
      <c r="AR38" s="77">
        <v>1461398</v>
      </c>
      <c r="AS38" s="77">
        <v>1410914</v>
      </c>
      <c r="AT38" s="77">
        <v>1402551</v>
      </c>
      <c r="AU38" s="159">
        <v>1402551</v>
      </c>
      <c r="AV38" s="159">
        <v>1327101</v>
      </c>
      <c r="AW38" s="159">
        <v>1635889</v>
      </c>
      <c r="AX38" s="159">
        <v>1596105</v>
      </c>
      <c r="AY38" s="160">
        <v>1600478</v>
      </c>
      <c r="AZ38" s="159">
        <v>1600478</v>
      </c>
      <c r="BA38" s="159">
        <v>1427991</v>
      </c>
      <c r="BB38" s="160">
        <v>1247204</v>
      </c>
      <c r="BC38" s="159">
        <v>1045456</v>
      </c>
      <c r="BD38" s="159">
        <v>1018540</v>
      </c>
      <c r="BE38" s="159">
        <v>1018540</v>
      </c>
      <c r="BF38" s="159">
        <v>1029658</v>
      </c>
      <c r="BG38" s="159">
        <v>1003164</v>
      </c>
      <c r="BH38" s="159">
        <v>1008766</v>
      </c>
      <c r="BI38" s="159">
        <v>973272</v>
      </c>
      <c r="BJ38" s="159">
        <v>973272</v>
      </c>
      <c r="BK38" s="159">
        <v>981710</v>
      </c>
      <c r="BL38" s="159">
        <v>997243</v>
      </c>
      <c r="BM38" s="159">
        <v>848434</v>
      </c>
      <c r="BN38" s="159">
        <v>819317</v>
      </c>
      <c r="BO38" s="159">
        <v>819317</v>
      </c>
      <c r="BP38" s="159">
        <v>838175</v>
      </c>
      <c r="BQ38" s="159">
        <v>465400</v>
      </c>
      <c r="BR38" s="159">
        <v>463173</v>
      </c>
      <c r="BS38" s="159">
        <v>463650</v>
      </c>
      <c r="BT38" s="159">
        <v>463650</v>
      </c>
      <c r="BU38" s="159">
        <v>467384</v>
      </c>
      <c r="BV38" s="159">
        <v>473123</v>
      </c>
    </row>
    <row r="39" spans="1:74" s="70" customFormat="1" ht="15" customHeight="1">
      <c r="A39" t="s">
        <v>324</v>
      </c>
      <c r="B39" s="8" t="str">
        <f>IF('Sumário | Summary'!P1=1,"Disponibilidades","Cash and Equivalents")</f>
        <v>Disponibilidades</v>
      </c>
      <c r="C39" s="74">
        <v>0</v>
      </c>
      <c r="D39" s="74">
        <v>0</v>
      </c>
      <c r="E39" s="71">
        <v>334860</v>
      </c>
      <c r="F39" s="71">
        <v>319599</v>
      </c>
      <c r="G39" s="71">
        <v>319599</v>
      </c>
      <c r="H39" s="71">
        <v>468447</v>
      </c>
      <c r="I39" s="71">
        <v>334860</v>
      </c>
      <c r="J39" s="71">
        <v>219819</v>
      </c>
      <c r="K39" s="71">
        <v>264403</v>
      </c>
      <c r="L39" s="71">
        <v>264403</v>
      </c>
      <c r="M39" s="71">
        <v>344031</v>
      </c>
      <c r="N39" s="71">
        <v>315179</v>
      </c>
      <c r="O39" s="71">
        <v>263258</v>
      </c>
      <c r="P39" s="71">
        <v>572990</v>
      </c>
      <c r="Q39" s="71">
        <v>572990</v>
      </c>
      <c r="R39" s="71">
        <v>455545</v>
      </c>
      <c r="S39" s="71">
        <v>270704</v>
      </c>
      <c r="T39" s="71">
        <v>655952</v>
      </c>
      <c r="U39" s="71">
        <v>566073</v>
      </c>
      <c r="V39" s="71">
        <v>566073</v>
      </c>
      <c r="W39" s="71">
        <v>498864</v>
      </c>
      <c r="X39" s="71">
        <v>303800</v>
      </c>
      <c r="Y39" s="72">
        <v>310211</v>
      </c>
      <c r="Z39" s="73">
        <v>413440</v>
      </c>
      <c r="AA39" s="71">
        <v>413440</v>
      </c>
      <c r="AB39" s="71">
        <v>293483</v>
      </c>
      <c r="AC39" s="71">
        <v>329534</v>
      </c>
      <c r="AD39" s="71">
        <v>447646</v>
      </c>
      <c r="AE39" s="71">
        <v>341232</v>
      </c>
      <c r="AF39" s="71">
        <v>341232</v>
      </c>
      <c r="AG39" s="71">
        <v>508547</v>
      </c>
      <c r="AH39" s="71">
        <v>542583</v>
      </c>
      <c r="AI39" s="71">
        <v>493936</v>
      </c>
      <c r="AJ39" s="71">
        <v>382583</v>
      </c>
      <c r="AK39" s="71">
        <v>382583</v>
      </c>
      <c r="AL39" s="73">
        <v>336534</v>
      </c>
      <c r="AM39" s="73">
        <v>568655</v>
      </c>
      <c r="AN39" s="73">
        <v>329876</v>
      </c>
      <c r="AO39" s="73">
        <v>899209</v>
      </c>
      <c r="AP39" s="161">
        <v>899209</v>
      </c>
      <c r="AQ39" s="73">
        <v>828429</v>
      </c>
      <c r="AR39" s="73">
        <v>719514</v>
      </c>
      <c r="AS39" s="73">
        <v>619044</v>
      </c>
      <c r="AT39" s="73">
        <v>416217</v>
      </c>
      <c r="AU39" s="161">
        <v>416217</v>
      </c>
      <c r="AV39" s="161">
        <v>353054</v>
      </c>
      <c r="AW39" s="161">
        <v>659400</v>
      </c>
      <c r="AX39" s="161">
        <v>632853</v>
      </c>
      <c r="AY39" s="161">
        <v>740308</v>
      </c>
      <c r="AZ39" s="161">
        <v>740308</v>
      </c>
      <c r="BA39" s="161">
        <v>577144</v>
      </c>
      <c r="BB39" s="164">
        <v>653431</v>
      </c>
      <c r="BC39" s="161">
        <v>432107</v>
      </c>
      <c r="BD39" s="161">
        <v>329206</v>
      </c>
      <c r="BE39" s="161">
        <v>329206</v>
      </c>
      <c r="BF39" s="161">
        <v>351244</v>
      </c>
      <c r="BG39" s="161">
        <v>312490</v>
      </c>
      <c r="BH39" s="161">
        <v>331183</v>
      </c>
      <c r="BI39" s="161">
        <v>313465</v>
      </c>
      <c r="BJ39" s="161">
        <v>313465</v>
      </c>
      <c r="BK39" s="161">
        <v>580489.1910141519</v>
      </c>
      <c r="BL39" s="161">
        <v>1368105</v>
      </c>
      <c r="BM39" s="161">
        <v>680533</v>
      </c>
      <c r="BN39" s="161">
        <v>407737</v>
      </c>
      <c r="BO39" s="161">
        <v>407737</v>
      </c>
      <c r="BP39" s="161">
        <v>438466</v>
      </c>
      <c r="BQ39" s="161">
        <v>438466</v>
      </c>
      <c r="BR39" s="161">
        <v>306521</v>
      </c>
      <c r="BS39" s="161">
        <v>229727</v>
      </c>
      <c r="BT39" s="161">
        <v>229727</v>
      </c>
      <c r="BU39" s="161">
        <v>225943</v>
      </c>
      <c r="BV39" s="161">
        <v>240231</v>
      </c>
    </row>
    <row r="40" spans="1:74" s="1" customFormat="1" ht="15" customHeight="1">
      <c r="A40" t="s">
        <v>149</v>
      </c>
      <c r="B40" s="9" t="str">
        <f>IF('Sumário | Summary'!P1=1,"Caixa, Investimentos e Valores Mobiliários","Cash and Equivalents")</f>
        <v>Caixa, Investimentos e Valores Mobiliários</v>
      </c>
      <c r="C40" s="74">
        <v>0</v>
      </c>
      <c r="D40" s="74">
        <v>0</v>
      </c>
      <c r="E40" s="74">
        <v>334860</v>
      </c>
      <c r="F40" s="74">
        <v>319599</v>
      </c>
      <c r="G40" s="74">
        <v>319599</v>
      </c>
      <c r="H40" s="74">
        <v>468447</v>
      </c>
      <c r="I40" s="74">
        <v>334860</v>
      </c>
      <c r="J40" s="74">
        <v>219819</v>
      </c>
      <c r="K40" s="74">
        <v>264403</v>
      </c>
      <c r="L40" s="74">
        <v>264403</v>
      </c>
      <c r="M40" s="74">
        <v>344031</v>
      </c>
      <c r="N40" s="74">
        <v>315179</v>
      </c>
      <c r="O40" s="74">
        <v>263258</v>
      </c>
      <c r="P40" s="74">
        <v>572990</v>
      </c>
      <c r="Q40" s="74">
        <v>572990</v>
      </c>
      <c r="R40" s="74">
        <v>455545</v>
      </c>
      <c r="S40" s="75">
        <v>270704</v>
      </c>
      <c r="T40" s="74">
        <v>655952</v>
      </c>
      <c r="U40" s="75">
        <v>566073</v>
      </c>
      <c r="V40" s="75">
        <v>566073</v>
      </c>
      <c r="W40" s="75">
        <v>498864</v>
      </c>
      <c r="X40" s="75">
        <v>303800</v>
      </c>
      <c r="Y40" s="76">
        <v>310211</v>
      </c>
      <c r="Z40" s="77">
        <v>413440</v>
      </c>
      <c r="AA40" s="74">
        <v>413440</v>
      </c>
      <c r="AB40" s="75">
        <v>293483</v>
      </c>
      <c r="AC40" s="75">
        <v>329534</v>
      </c>
      <c r="AD40" s="75">
        <v>447646</v>
      </c>
      <c r="AE40" s="75">
        <v>341232</v>
      </c>
      <c r="AF40" s="75">
        <v>341232</v>
      </c>
      <c r="AG40" s="75">
        <v>508547</v>
      </c>
      <c r="AH40" s="75">
        <v>542583</v>
      </c>
      <c r="AI40" s="75">
        <v>493936</v>
      </c>
      <c r="AJ40" s="75">
        <v>382583</v>
      </c>
      <c r="AK40" s="75">
        <v>382583</v>
      </c>
      <c r="AL40" s="77">
        <v>336534</v>
      </c>
      <c r="AM40" s="77">
        <v>568655</v>
      </c>
      <c r="AN40" s="77">
        <v>329876</v>
      </c>
      <c r="AO40" s="77">
        <v>899209</v>
      </c>
      <c r="AP40" s="159">
        <v>899209</v>
      </c>
      <c r="AQ40" s="77">
        <v>828429</v>
      </c>
      <c r="AR40" s="77">
        <v>719514</v>
      </c>
      <c r="AS40" s="77">
        <v>619044</v>
      </c>
      <c r="AT40" s="77">
        <v>416217</v>
      </c>
      <c r="AU40" s="159">
        <v>416217</v>
      </c>
      <c r="AV40" s="159">
        <v>353054</v>
      </c>
      <c r="AW40" s="159">
        <v>659400</v>
      </c>
      <c r="AX40" s="159">
        <v>632853</v>
      </c>
      <c r="AY40" s="160">
        <v>740308</v>
      </c>
      <c r="AZ40" s="159">
        <v>740308</v>
      </c>
      <c r="BA40" s="159">
        <v>577144</v>
      </c>
      <c r="BB40" s="160">
        <v>653431</v>
      </c>
      <c r="BC40" s="159">
        <v>432107</v>
      </c>
      <c r="BD40" s="159">
        <v>329206</v>
      </c>
      <c r="BE40" s="159">
        <v>329206</v>
      </c>
      <c r="BF40" s="159">
        <v>351244</v>
      </c>
      <c r="BG40" s="159">
        <v>312490</v>
      </c>
      <c r="BH40" s="159">
        <v>331183</v>
      </c>
      <c r="BI40" s="159">
        <v>313465</v>
      </c>
      <c r="BJ40" s="159">
        <v>313465</v>
      </c>
      <c r="BK40" s="159">
        <v>580489.1910141519</v>
      </c>
      <c r="BL40" s="159">
        <v>1368105</v>
      </c>
      <c r="BM40" s="159">
        <v>680533</v>
      </c>
      <c r="BN40" s="159">
        <v>407737</v>
      </c>
      <c r="BO40" s="159">
        <v>407737</v>
      </c>
      <c r="BP40" s="159">
        <v>438466</v>
      </c>
      <c r="BQ40" s="159">
        <v>707642</v>
      </c>
      <c r="BR40" s="159">
        <v>306521</v>
      </c>
      <c r="BS40" s="159">
        <v>229727</v>
      </c>
      <c r="BT40" s="159">
        <v>229727</v>
      </c>
      <c r="BU40" s="159">
        <v>225943</v>
      </c>
      <c r="BV40" s="159">
        <v>240231</v>
      </c>
    </row>
    <row r="41" spans="1:74" s="70" customFormat="1" ht="15" customHeight="1">
      <c r="A41" t="s">
        <v>325</v>
      </c>
      <c r="B41" s="8" t="str">
        <f>IF('Sumário | Summary'!P1=1,"Dívida Líquida Total","Net Debt")</f>
        <v>Dívida Líquida Total</v>
      </c>
      <c r="C41" s="78">
        <v>0</v>
      </c>
      <c r="D41" s="78">
        <v>0</v>
      </c>
      <c r="E41" s="78">
        <v>862344</v>
      </c>
      <c r="F41" s="78">
        <v>588398</v>
      </c>
      <c r="G41" s="78">
        <v>588398</v>
      </c>
      <c r="H41" s="78">
        <v>629650</v>
      </c>
      <c r="I41" s="78">
        <v>862344</v>
      </c>
      <c r="J41" s="78">
        <v>1135355</v>
      </c>
      <c r="K41" s="78">
        <v>1361644</v>
      </c>
      <c r="L41" s="78">
        <v>1361644</v>
      </c>
      <c r="M41" s="78">
        <v>1556146</v>
      </c>
      <c r="N41" s="78">
        <v>1647062</v>
      </c>
      <c r="O41" s="78">
        <v>1787093</v>
      </c>
      <c r="P41" s="78">
        <v>1910837</v>
      </c>
      <c r="Q41" s="78">
        <v>1910837</v>
      </c>
      <c r="R41" s="78">
        <v>1981978</v>
      </c>
      <c r="S41" s="78">
        <v>2146086</v>
      </c>
      <c r="T41" s="78">
        <v>1830719</v>
      </c>
      <c r="U41" s="78">
        <v>1922371</v>
      </c>
      <c r="V41" s="78">
        <v>1922371</v>
      </c>
      <c r="W41" s="78">
        <v>1772095</v>
      </c>
      <c r="X41" s="78">
        <v>1950531</v>
      </c>
      <c r="Y41" s="78">
        <v>2029737</v>
      </c>
      <c r="Z41" s="78">
        <v>2048640</v>
      </c>
      <c r="AA41" s="78">
        <v>2048640</v>
      </c>
      <c r="AB41" s="78">
        <v>2085922</v>
      </c>
      <c r="AC41" s="78">
        <v>2110623</v>
      </c>
      <c r="AD41" s="78">
        <v>1323766</v>
      </c>
      <c r="AE41" s="78">
        <v>1318795</v>
      </c>
      <c r="AF41" s="78">
        <v>1318795</v>
      </c>
      <c r="AG41" s="78">
        <v>1310571</v>
      </c>
      <c r="AH41" s="78">
        <v>1250446</v>
      </c>
      <c r="AI41" s="78">
        <v>1253566</v>
      </c>
      <c r="AJ41" s="78">
        <v>1351198</v>
      </c>
      <c r="AK41" s="78">
        <v>1351198</v>
      </c>
      <c r="AL41" s="78">
        <v>1325813</v>
      </c>
      <c r="AM41" s="78">
        <v>1379260</v>
      </c>
      <c r="AN41" s="78">
        <v>1378292</v>
      </c>
      <c r="AO41" s="78">
        <v>1105548</v>
      </c>
      <c r="AP41" s="166">
        <v>1105548</v>
      </c>
      <c r="AQ41" s="78">
        <v>1126930</v>
      </c>
      <c r="AR41" s="78">
        <v>1229221</v>
      </c>
      <c r="AS41" s="78">
        <v>1277516</v>
      </c>
      <c r="AT41" s="78">
        <v>1470567</v>
      </c>
      <c r="AU41" s="166">
        <v>1470567</v>
      </c>
      <c r="AV41" s="166">
        <v>1456800</v>
      </c>
      <c r="AW41" s="166">
        <v>1457599</v>
      </c>
      <c r="AX41" s="166">
        <v>1442787</v>
      </c>
      <c r="AY41" s="166">
        <v>1256578</v>
      </c>
      <c r="AZ41" s="166">
        <v>1256578</v>
      </c>
      <c r="BA41" s="166">
        <v>1247397</v>
      </c>
      <c r="BB41" s="177">
        <v>989549</v>
      </c>
      <c r="BC41" s="166">
        <v>1009367</v>
      </c>
      <c r="BD41" s="166">
        <v>1085110</v>
      </c>
      <c r="BE41" s="166">
        <v>1085110</v>
      </c>
      <c r="BF41" s="166">
        <v>1074190</v>
      </c>
      <c r="BG41" s="166">
        <v>1086450</v>
      </c>
      <c r="BH41" s="166">
        <v>1073303</v>
      </c>
      <c r="BI41" s="166">
        <v>1055583</v>
      </c>
      <c r="BJ41" s="166">
        <v>1055583</v>
      </c>
      <c r="BK41" s="166">
        <v>797534.8089858481</v>
      </c>
      <c r="BL41" s="166">
        <v>25441</v>
      </c>
      <c r="BM41" s="166">
        <v>564215</v>
      </c>
      <c r="BN41" s="166">
        <v>807958</v>
      </c>
      <c r="BO41" s="166">
        <v>807958</v>
      </c>
      <c r="BP41" s="166">
        <v>796399</v>
      </c>
      <c r="BQ41" s="166">
        <v>424347</v>
      </c>
      <c r="BR41" s="166">
        <v>553143</v>
      </c>
      <c r="BS41" s="166">
        <v>630414</v>
      </c>
      <c r="BT41" s="166">
        <v>630414</v>
      </c>
      <c r="BU41" s="166">
        <v>505919</v>
      </c>
      <c r="BV41" s="166">
        <v>497199</v>
      </c>
    </row>
    <row r="42" spans="1:74" s="1" customFormat="1" ht="15" customHeight="1">
      <c r="A42" t="s">
        <v>150</v>
      </c>
      <c r="B42" s="9" t="str">
        <f>IF('Sumário | Summary'!P1=1,"Dívida Líquida Total/EBITDA UDM","Total Net Debt/EBITDA LTM")</f>
        <v>Dívida Líquida Total/EBITDA UDM</v>
      </c>
      <c r="C42" s="74">
        <v>0</v>
      </c>
      <c r="D42" s="74">
        <v>0</v>
      </c>
      <c r="E42" s="74">
        <v>0</v>
      </c>
      <c r="F42" s="79">
        <v>2.3541560848898659</v>
      </c>
      <c r="G42" s="79">
        <v>2.3541560848898659</v>
      </c>
      <c r="H42" s="79">
        <v>2.2323098597668642</v>
      </c>
      <c r="I42" s="79">
        <v>3.5679584698412259</v>
      </c>
      <c r="J42" s="79">
        <v>4.512375571200403</v>
      </c>
      <c r="K42" s="79">
        <v>5.7460110474548927</v>
      </c>
      <c r="L42" s="79">
        <v>5.7460110474548927</v>
      </c>
      <c r="M42" s="79">
        <v>6.7396540543983798</v>
      </c>
      <c r="N42" s="79">
        <v>7.2015959628481143</v>
      </c>
      <c r="O42" s="79">
        <v>7.130932752602483</v>
      </c>
      <c r="P42" s="79">
        <v>7.5639163694341143</v>
      </c>
      <c r="Q42" s="79">
        <v>7.5639163694341143</v>
      </c>
      <c r="R42" s="79">
        <v>8.3084612143662877</v>
      </c>
      <c r="S42" s="79">
        <v>8.1235098634094083</v>
      </c>
      <c r="T42" s="79">
        <v>6.9212685382817822</v>
      </c>
      <c r="U42" s="79">
        <v>6.7237758439649546</v>
      </c>
      <c r="V42" s="79">
        <v>6.7237758439649546</v>
      </c>
      <c r="W42" s="79">
        <v>5.214041233746876</v>
      </c>
      <c r="X42" s="79">
        <v>5.9504161006679315</v>
      </c>
      <c r="Y42" s="79">
        <v>6.3035343462596529</v>
      </c>
      <c r="Z42" s="79">
        <v>6.3949223220290268</v>
      </c>
      <c r="AA42" s="79">
        <v>6.3949223220290268</v>
      </c>
      <c r="AB42" s="79">
        <v>7.5912468447869328</v>
      </c>
      <c r="AC42" s="79">
        <v>7.5812150327552743</v>
      </c>
      <c r="AD42" s="79">
        <v>2.4377738209441859</v>
      </c>
      <c r="AE42" s="79">
        <v>2.5137288448622135</v>
      </c>
      <c r="AF42" s="79">
        <v>2.5137288448622135</v>
      </c>
      <c r="AG42" s="79">
        <v>2.4239813290484524</v>
      </c>
      <c r="AH42" s="79">
        <v>2.2010272512061948</v>
      </c>
      <c r="AI42" s="79">
        <v>4.6846256958327741</v>
      </c>
      <c r="AJ42" s="79">
        <v>5.1990574416731246</v>
      </c>
      <c r="AK42" s="79">
        <v>5.1990574416731246</v>
      </c>
      <c r="AL42" s="117">
        <v>5.0811541461899692</v>
      </c>
      <c r="AM42" s="117">
        <v>6.366156170831661</v>
      </c>
      <c r="AN42" s="117">
        <v>5.2666815854634415</v>
      </c>
      <c r="AO42" s="117">
        <v>3.5013196945440135</v>
      </c>
      <c r="AP42" s="167">
        <v>3.5013196945440135</v>
      </c>
      <c r="AQ42" s="117">
        <v>3.4237041990489332</v>
      </c>
      <c r="AR42" s="117">
        <v>3.7930308440471419</v>
      </c>
      <c r="AS42" s="117">
        <v>3.7601644538985055</v>
      </c>
      <c r="AT42" s="117">
        <v>4.7038435619989549</v>
      </c>
      <c r="AU42" s="167">
        <v>4.7038435619989549</v>
      </c>
      <c r="AV42" s="167">
        <v>4.8316542626971701</v>
      </c>
      <c r="AW42" s="167">
        <v>4.3889916649116589</v>
      </c>
      <c r="AX42" s="167">
        <v>4.3689928083136662</v>
      </c>
      <c r="AY42" s="168">
        <v>0.73540112280196468</v>
      </c>
      <c r="AZ42" s="167">
        <v>0.73540112280196468</v>
      </c>
      <c r="BA42" s="167">
        <v>0.73648004729689398</v>
      </c>
      <c r="BB42" s="168">
        <v>0.59475496747974388</v>
      </c>
      <c r="BC42" s="167">
        <v>3.7885538218867345</v>
      </c>
      <c r="BD42" s="167">
        <v>5.2381048755176547</v>
      </c>
      <c r="BE42" s="167">
        <v>5.2381048755176547</v>
      </c>
      <c r="BF42" s="167">
        <v>5.4611122409241419</v>
      </c>
      <c r="BG42" s="167">
        <v>5.3875160146569625</v>
      </c>
      <c r="BH42" s="167">
        <v>5.3073508296661762</v>
      </c>
      <c r="BI42" s="167">
        <v>4.477380870196785</v>
      </c>
      <c r="BJ42" s="167">
        <v>4.477380870196785</v>
      </c>
      <c r="BK42" s="167">
        <v>3.2106369305574289</v>
      </c>
      <c r="BL42" s="167">
        <v>2.744976758504716E-2</v>
      </c>
      <c r="BM42" s="167">
        <v>0.62510765791914269</v>
      </c>
      <c r="BN42" s="167">
        <v>0.90491330194282116</v>
      </c>
      <c r="BO42" s="167">
        <v>0.90491330194282116</v>
      </c>
      <c r="BP42" s="167">
        <v>0.90310523982797497</v>
      </c>
      <c r="BQ42" s="167">
        <v>0.78877129603839002</v>
      </c>
      <c r="BR42" s="167">
        <v>2.6240747991701325</v>
      </c>
      <c r="BS42" s="167">
        <v>3.2518999337412366</v>
      </c>
      <c r="BT42" s="167">
        <v>3.2518999337412366</v>
      </c>
      <c r="BU42" s="167">
        <v>2.6420962755166082</v>
      </c>
      <c r="BV42" s="167">
        <v>2.5950415267533629</v>
      </c>
    </row>
    <row r="43" spans="1:74" s="1" customFormat="1" ht="15" customHeight="1">
      <c r="A43"/>
      <c r="B43" s="66"/>
      <c r="C43" s="67"/>
      <c r="D43" s="67"/>
      <c r="E43" s="67"/>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P43" s="165"/>
      <c r="AU43" s="165"/>
      <c r="AV43" s="165"/>
      <c r="AW43" s="165"/>
      <c r="AX43" s="165"/>
      <c r="AY43" s="165"/>
      <c r="AZ43" s="165"/>
      <c r="BA43" s="165"/>
      <c r="BB43" s="165"/>
      <c r="BC43" s="165"/>
      <c r="BD43" s="165"/>
      <c r="BE43" s="165"/>
      <c r="BF43" s="165"/>
      <c r="BG43" s="165"/>
      <c r="BH43" s="165"/>
      <c r="BI43" s="165"/>
      <c r="BJ43" s="165"/>
      <c r="BK43" s="165"/>
      <c r="BL43" s="165"/>
      <c r="BM43" s="165"/>
      <c r="BN43" s="165"/>
      <c r="BO43" s="165"/>
      <c r="BP43" s="165"/>
      <c r="BQ43" s="165"/>
      <c r="BR43" s="165"/>
      <c r="BS43" s="165"/>
      <c r="BT43" s="165"/>
      <c r="BU43" s="165"/>
      <c r="BV43" s="165"/>
    </row>
    <row r="44" spans="1:74" s="1" customFormat="1" ht="18.75" customHeight="1">
      <c r="A44"/>
      <c r="B44" s="59" t="str">
        <f>IF('Sumário | Summary'!P1=1,"Endividamento Proforma","Proforma Debt")</f>
        <v>Endividamento Proforma</v>
      </c>
      <c r="C44" s="26"/>
      <c r="D44" s="59"/>
      <c r="E44" s="26"/>
      <c r="F44" s="59"/>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114"/>
      <c r="AM44" s="26"/>
      <c r="AN44" s="60"/>
      <c r="AO44" s="60"/>
      <c r="AP44" s="135"/>
      <c r="AQ44" s="60"/>
      <c r="AR44" s="60"/>
      <c r="AS44" s="60"/>
      <c r="AT44" s="60"/>
      <c r="AU44" s="135"/>
      <c r="AV44" s="135"/>
      <c r="AW44" s="135"/>
      <c r="AX44" s="135"/>
      <c r="AY44" s="135"/>
      <c r="AZ44" s="135"/>
      <c r="BA44" s="135"/>
      <c r="BB44" s="135"/>
      <c r="BC44" s="135"/>
      <c r="BD44" s="135"/>
      <c r="BE44" s="135"/>
      <c r="BF44" s="135"/>
      <c r="BG44" s="135"/>
      <c r="BH44" s="135"/>
      <c r="BI44" s="135"/>
      <c r="BJ44" s="135"/>
      <c r="BK44" s="135"/>
      <c r="BL44" s="135"/>
      <c r="BM44" s="135"/>
      <c r="BN44" s="135"/>
      <c r="BO44" s="135"/>
      <c r="BP44" s="135"/>
      <c r="BQ44" s="135"/>
      <c r="BR44" s="135"/>
      <c r="BS44" s="135"/>
      <c r="BT44" s="135"/>
      <c r="BU44" s="135"/>
      <c r="BV44" s="135"/>
    </row>
    <row r="45" spans="1:74" s="70" customFormat="1" ht="15" customHeight="1">
      <c r="A45" t="s">
        <v>323</v>
      </c>
      <c r="B45" s="8" t="str">
        <f>IF('Sumário | Summary'!P1=1,"Endividamento","Debt")</f>
        <v>Endividamento</v>
      </c>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v>2533614</v>
      </c>
      <c r="AC45" s="161">
        <v>2455163</v>
      </c>
      <c r="AD45" s="161">
        <v>1692720</v>
      </c>
      <c r="AE45" s="161">
        <v>1575077</v>
      </c>
      <c r="AF45" s="161">
        <v>1575077</v>
      </c>
      <c r="AG45" s="161">
        <v>1741045</v>
      </c>
      <c r="AH45" s="161">
        <v>1715464</v>
      </c>
      <c r="AI45" s="161">
        <v>1674805</v>
      </c>
      <c r="AJ45" s="161">
        <v>1633235</v>
      </c>
      <c r="AK45" s="161">
        <v>1633235</v>
      </c>
      <c r="AL45" s="161">
        <v>1573595</v>
      </c>
      <c r="AM45" s="161">
        <v>1831187</v>
      </c>
      <c r="AN45" s="161">
        <v>1602546</v>
      </c>
      <c r="AO45" s="161">
        <v>1617262</v>
      </c>
      <c r="AP45" s="161">
        <v>1617262</v>
      </c>
      <c r="AQ45" s="161">
        <v>1656280.6</v>
      </c>
      <c r="AR45" s="161">
        <v>1649847.33</v>
      </c>
      <c r="AS45" s="161">
        <v>1597889.26</v>
      </c>
      <c r="AT45" s="161">
        <v>1588123.02</v>
      </c>
      <c r="AU45" s="161">
        <v>1588123.02</v>
      </c>
      <c r="AV45" s="161">
        <v>1434653</v>
      </c>
      <c r="AW45" s="161">
        <v>1744866</v>
      </c>
      <c r="AX45" s="161">
        <v>1706513</v>
      </c>
      <c r="AY45" s="161">
        <v>1657885</v>
      </c>
      <c r="AZ45" s="161">
        <v>1657885</v>
      </c>
      <c r="BA45" s="161">
        <v>1487944</v>
      </c>
      <c r="BB45" s="161">
        <v>1309704</v>
      </c>
      <c r="BC45" s="161">
        <v>1110553</v>
      </c>
      <c r="BD45" s="161">
        <v>1086202</v>
      </c>
      <c r="BE45" s="161">
        <v>1086202</v>
      </c>
      <c r="BF45" s="161">
        <v>1099859</v>
      </c>
      <c r="BG45" s="161">
        <v>1075957</v>
      </c>
      <c r="BH45" s="161">
        <v>1084145</v>
      </c>
      <c r="BI45" s="161">
        <v>1051176</v>
      </c>
      <c r="BJ45" s="161">
        <v>1051176</v>
      </c>
      <c r="BK45" s="161">
        <v>1062173</v>
      </c>
      <c r="BL45" s="161">
        <v>1018940</v>
      </c>
      <c r="BM45" s="161">
        <v>888065</v>
      </c>
      <c r="BN45" s="161">
        <v>858955</v>
      </c>
      <c r="BO45" s="161">
        <v>858955</v>
      </c>
      <c r="BP45" s="161">
        <v>877845</v>
      </c>
      <c r="BQ45" s="161">
        <v>505049</v>
      </c>
      <c r="BR45" s="161">
        <v>502822</v>
      </c>
      <c r="BS45" s="161">
        <v>503299</v>
      </c>
      <c r="BT45" s="161">
        <v>503299</v>
      </c>
      <c r="BU45" s="161">
        <v>493831</v>
      </c>
      <c r="BV45" s="161">
        <v>499555</v>
      </c>
    </row>
    <row r="46" spans="1:74" s="1" customFormat="1" ht="15" customHeight="1">
      <c r="A46" t="s">
        <v>147</v>
      </c>
      <c r="B46" s="9" t="str">
        <f>IF('Sumário | Summary'!P1=1,"Financiamentos e Empréstimos","Loans and Financing")</f>
        <v>Financiamentos e Empréstimos</v>
      </c>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v>1447107</v>
      </c>
      <c r="AC46" s="159">
        <v>1383336</v>
      </c>
      <c r="AD46" s="159">
        <v>876005</v>
      </c>
      <c r="AE46" s="159">
        <v>857816.99999999988</v>
      </c>
      <c r="AF46" s="159">
        <v>857816.99999999988</v>
      </c>
      <c r="AG46" s="159">
        <v>823016.99999999988</v>
      </c>
      <c r="AH46" s="159">
        <v>793678</v>
      </c>
      <c r="AI46" s="159">
        <v>792000</v>
      </c>
      <c r="AJ46" s="159">
        <v>542416</v>
      </c>
      <c r="AK46" s="159">
        <v>542416</v>
      </c>
      <c r="AL46" s="159">
        <v>546226</v>
      </c>
      <c r="AM46" s="159">
        <v>504618</v>
      </c>
      <c r="AN46" s="159">
        <v>509655.00000000006</v>
      </c>
      <c r="AO46" s="159">
        <v>181312</v>
      </c>
      <c r="AP46" s="159">
        <v>181312</v>
      </c>
      <c r="AQ46" s="159">
        <v>180680</v>
      </c>
      <c r="AR46" s="159">
        <v>179626</v>
      </c>
      <c r="AS46" s="159">
        <v>178560</v>
      </c>
      <c r="AT46" s="159">
        <v>177565</v>
      </c>
      <c r="AU46" s="159">
        <v>177565</v>
      </c>
      <c r="AV46" s="159">
        <v>176543</v>
      </c>
      <c r="AW46" s="159">
        <v>175448</v>
      </c>
      <c r="AX46" s="159">
        <v>174365</v>
      </c>
      <c r="AY46" s="159">
        <v>118922</v>
      </c>
      <c r="AZ46" s="159">
        <v>118922</v>
      </c>
      <c r="BA46" s="159">
        <v>118965</v>
      </c>
      <c r="BB46" s="159">
        <v>118926</v>
      </c>
      <c r="BC46" s="159">
        <v>118999</v>
      </c>
      <c r="BD46" s="159">
        <v>118999</v>
      </c>
      <c r="BE46" s="159">
        <v>118999</v>
      </c>
      <c r="BF46" s="159">
        <v>118999</v>
      </c>
      <c r="BG46" s="159">
        <v>118999</v>
      </c>
      <c r="BH46" s="159">
        <v>118982</v>
      </c>
      <c r="BI46" s="159">
        <v>118907</v>
      </c>
      <c r="BJ46" s="159">
        <v>118907</v>
      </c>
      <c r="BK46" s="159">
        <v>118894</v>
      </c>
      <c r="BL46" s="159">
        <v>39630</v>
      </c>
      <c r="BM46" s="159">
        <v>39631</v>
      </c>
      <c r="BN46" s="159">
        <v>39638</v>
      </c>
      <c r="BO46" s="159">
        <v>39638</v>
      </c>
      <c r="BP46" s="159">
        <v>39669</v>
      </c>
      <c r="BQ46" s="159">
        <v>39649</v>
      </c>
      <c r="BR46" s="159">
        <v>39649</v>
      </c>
      <c r="BS46" s="159">
        <v>39649</v>
      </c>
      <c r="BT46" s="159">
        <v>39649</v>
      </c>
      <c r="BU46" s="159">
        <v>26448</v>
      </c>
      <c r="BV46" s="159">
        <v>26431</v>
      </c>
    </row>
    <row r="47" spans="1:74" s="1" customFormat="1" ht="15" customHeight="1">
      <c r="A47" t="s">
        <v>148</v>
      </c>
      <c r="B47" s="9" t="str">
        <f>IF('Sumário | Summary'!P1=1,"Debêntures e Notas Promissórias","Debentures")</f>
        <v>Debêntures e Notas Promissórias</v>
      </c>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v>1086507</v>
      </c>
      <c r="AC47" s="159">
        <v>1071827</v>
      </c>
      <c r="AD47" s="159">
        <v>816715</v>
      </c>
      <c r="AE47" s="159">
        <v>717260</v>
      </c>
      <c r="AF47" s="159">
        <v>717260</v>
      </c>
      <c r="AG47" s="159">
        <v>918028</v>
      </c>
      <c r="AH47" s="159">
        <v>921786</v>
      </c>
      <c r="AI47" s="159">
        <v>882805.00000000012</v>
      </c>
      <c r="AJ47" s="159">
        <v>1090819</v>
      </c>
      <c r="AK47" s="159">
        <v>1090819</v>
      </c>
      <c r="AL47" s="159">
        <v>1027368.9999999999</v>
      </c>
      <c r="AM47" s="159">
        <v>1326569</v>
      </c>
      <c r="AN47" s="159">
        <v>1092891</v>
      </c>
      <c r="AO47" s="159">
        <v>1435950</v>
      </c>
      <c r="AP47" s="159">
        <v>1435950</v>
      </c>
      <c r="AQ47" s="159">
        <v>1475600.6</v>
      </c>
      <c r="AR47" s="159">
        <v>1470221.33</v>
      </c>
      <c r="AS47" s="159">
        <v>1419329.26</v>
      </c>
      <c r="AT47" s="159">
        <v>1410558.02</v>
      </c>
      <c r="AU47" s="159">
        <v>1410558.02</v>
      </c>
      <c r="AV47" s="159">
        <v>1258110</v>
      </c>
      <c r="AW47" s="159">
        <v>1569418</v>
      </c>
      <c r="AX47" s="159">
        <v>1532148</v>
      </c>
      <c r="AY47" s="159">
        <v>1538963</v>
      </c>
      <c r="AZ47" s="159">
        <v>1538963</v>
      </c>
      <c r="BA47" s="159">
        <v>1368979</v>
      </c>
      <c r="BB47" s="159">
        <v>1190778</v>
      </c>
      <c r="BC47" s="159">
        <v>991554</v>
      </c>
      <c r="BD47" s="159">
        <v>967203</v>
      </c>
      <c r="BE47" s="159">
        <v>967203</v>
      </c>
      <c r="BF47" s="159">
        <v>980860</v>
      </c>
      <c r="BG47" s="159">
        <v>956958</v>
      </c>
      <c r="BH47" s="159">
        <v>965163</v>
      </c>
      <c r="BI47" s="159">
        <v>932269</v>
      </c>
      <c r="BJ47" s="159">
        <v>932269</v>
      </c>
      <c r="BK47" s="159">
        <v>943279</v>
      </c>
      <c r="BL47" s="159">
        <v>979310</v>
      </c>
      <c r="BM47" s="159">
        <v>848434</v>
      </c>
      <c r="BN47" s="159">
        <v>819317</v>
      </c>
      <c r="BO47" s="159">
        <v>819317</v>
      </c>
      <c r="BP47" s="159">
        <v>838176</v>
      </c>
      <c r="BQ47" s="159">
        <v>465400</v>
      </c>
      <c r="BR47" s="159">
        <v>463173</v>
      </c>
      <c r="BS47" s="159">
        <v>463650</v>
      </c>
      <c r="BT47" s="159">
        <v>463650</v>
      </c>
      <c r="BU47" s="159">
        <v>467383</v>
      </c>
      <c r="BV47" s="159">
        <v>473124</v>
      </c>
    </row>
    <row r="48" spans="1:74" s="70" customFormat="1" ht="15" customHeight="1">
      <c r="A48" t="s">
        <v>324</v>
      </c>
      <c r="B48" s="8" t="str">
        <f>IF('Sumário | Summary'!P1=1,"Disponibilidades","Cash and Equivalents")</f>
        <v>Disponibilidades</v>
      </c>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v>279756</v>
      </c>
      <c r="AC48" s="161">
        <v>312027.00000000006</v>
      </c>
      <c r="AD48" s="161">
        <v>433324</v>
      </c>
      <c r="AE48" s="161">
        <v>325818.99999999994</v>
      </c>
      <c r="AF48" s="161">
        <v>325818.99999999994</v>
      </c>
      <c r="AG48" s="161">
        <v>491556</v>
      </c>
      <c r="AH48" s="161">
        <v>528844</v>
      </c>
      <c r="AI48" s="161">
        <v>467798</v>
      </c>
      <c r="AJ48" s="161">
        <v>366781</v>
      </c>
      <c r="AK48" s="161">
        <v>366781</v>
      </c>
      <c r="AL48" s="161">
        <v>313479.00000000006</v>
      </c>
      <c r="AM48" s="161">
        <v>544889</v>
      </c>
      <c r="AN48" s="161">
        <v>304904</v>
      </c>
      <c r="AO48" s="161">
        <v>867431.99999999988</v>
      </c>
      <c r="AP48" s="161">
        <v>867431.99999999988</v>
      </c>
      <c r="AQ48" s="161">
        <v>828428.40403632692</v>
      </c>
      <c r="AR48" s="161">
        <v>719514.13059659989</v>
      </c>
      <c r="AS48" s="161">
        <v>586028.94602988707</v>
      </c>
      <c r="AT48" s="161">
        <v>392550.59578783787</v>
      </c>
      <c r="AU48" s="161">
        <v>392550.59578783787</v>
      </c>
      <c r="AV48" s="161">
        <v>321635</v>
      </c>
      <c r="AW48" s="161">
        <v>619004</v>
      </c>
      <c r="AX48" s="161">
        <v>583557</v>
      </c>
      <c r="AY48" s="161">
        <v>707643</v>
      </c>
      <c r="AZ48" s="161">
        <v>707643</v>
      </c>
      <c r="BA48" s="161">
        <v>546808</v>
      </c>
      <c r="BB48" s="161">
        <v>621329</v>
      </c>
      <c r="BC48" s="161">
        <v>405000</v>
      </c>
      <c r="BD48" s="161">
        <v>316919</v>
      </c>
      <c r="BE48" s="161">
        <v>316919</v>
      </c>
      <c r="BF48" s="161">
        <v>327710</v>
      </c>
      <c r="BG48" s="161">
        <v>292324.40992920002</v>
      </c>
      <c r="BH48" s="161">
        <v>304101.63265583199</v>
      </c>
      <c r="BI48" s="161">
        <v>282780.51583749597</v>
      </c>
      <c r="BJ48" s="161">
        <v>282780.51583749597</v>
      </c>
      <c r="BK48" s="161">
        <v>623257</v>
      </c>
      <c r="BL48" s="161">
        <v>1219751.0981075526</v>
      </c>
      <c r="BM48" s="161">
        <v>564681.98483439873</v>
      </c>
      <c r="BN48" s="161">
        <v>386235.93750782456</v>
      </c>
      <c r="BO48" s="161">
        <v>386235.93750782456</v>
      </c>
      <c r="BP48" s="161">
        <v>419356.40946254693</v>
      </c>
      <c r="BQ48" s="161">
        <v>553086.91488531616</v>
      </c>
      <c r="BR48" s="161">
        <v>230912.7284477154</v>
      </c>
      <c r="BS48" s="161">
        <v>181707.878856492</v>
      </c>
      <c r="BT48" s="161">
        <v>181707.878856492</v>
      </c>
      <c r="BU48" s="161">
        <v>192105.45278208095</v>
      </c>
      <c r="BV48" s="161">
        <v>198286.01928201664</v>
      </c>
    </row>
    <row r="49" spans="1:74" s="1" customFormat="1" ht="15" customHeight="1">
      <c r="A49" t="s">
        <v>149</v>
      </c>
      <c r="B49" s="9" t="str">
        <f>IF('Sumário | Summary'!P1=1,"Caixa, Investimentos e Valores Mobiliários","Cash and Equivalents")</f>
        <v>Caixa, Investimentos e Valores Mobiliários</v>
      </c>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v>279756</v>
      </c>
      <c r="AC49" s="159">
        <v>312027.00000000006</v>
      </c>
      <c r="AD49" s="159">
        <v>433324</v>
      </c>
      <c r="AE49" s="159">
        <v>325818.99999999994</v>
      </c>
      <c r="AF49" s="159">
        <v>325818.99999999994</v>
      </c>
      <c r="AG49" s="159">
        <v>491556</v>
      </c>
      <c r="AH49" s="159">
        <v>528844</v>
      </c>
      <c r="AI49" s="159">
        <v>467798</v>
      </c>
      <c r="AJ49" s="159">
        <v>366781</v>
      </c>
      <c r="AK49" s="159">
        <v>366781</v>
      </c>
      <c r="AL49" s="159">
        <v>313479.00000000006</v>
      </c>
      <c r="AM49" s="159">
        <v>544889</v>
      </c>
      <c r="AN49" s="159">
        <v>304904</v>
      </c>
      <c r="AO49" s="159">
        <v>867431.99999999988</v>
      </c>
      <c r="AP49" s="159">
        <v>867431.99999999988</v>
      </c>
      <c r="AQ49" s="159">
        <v>828428.40403632692</v>
      </c>
      <c r="AR49" s="159">
        <v>719514.13059659989</v>
      </c>
      <c r="AS49" s="159">
        <v>586028.94602988707</v>
      </c>
      <c r="AT49" s="159">
        <v>392550.59578783787</v>
      </c>
      <c r="AU49" s="159">
        <v>392550.59578783787</v>
      </c>
      <c r="AV49" s="159">
        <v>321635</v>
      </c>
      <c r="AW49" s="159">
        <v>619004</v>
      </c>
      <c r="AX49" s="159">
        <v>583557</v>
      </c>
      <c r="AY49" s="159">
        <v>707643</v>
      </c>
      <c r="AZ49" s="159">
        <v>707643</v>
      </c>
      <c r="BA49" s="159">
        <v>546808</v>
      </c>
      <c r="BB49" s="159">
        <v>621329</v>
      </c>
      <c r="BC49" s="159">
        <v>405000</v>
      </c>
      <c r="BD49" s="159">
        <v>316919</v>
      </c>
      <c r="BE49" s="159">
        <v>316919</v>
      </c>
      <c r="BF49" s="159">
        <v>327710</v>
      </c>
      <c r="BG49" s="159">
        <v>292324.40992920002</v>
      </c>
      <c r="BH49" s="159">
        <v>304101.63265583199</v>
      </c>
      <c r="BI49" s="159">
        <v>282780.51583749597</v>
      </c>
      <c r="BJ49" s="159">
        <v>282780.51583749597</v>
      </c>
      <c r="BK49" s="159">
        <v>623257</v>
      </c>
      <c r="BL49" s="159">
        <v>1219751.0981075526</v>
      </c>
      <c r="BM49" s="159">
        <v>564681.98483439873</v>
      </c>
      <c r="BN49" s="159">
        <v>386235.93750782456</v>
      </c>
      <c r="BO49" s="159">
        <v>386235.93750782456</v>
      </c>
      <c r="BP49" s="159">
        <v>419356.40946254693</v>
      </c>
      <c r="BQ49" s="159">
        <v>553086.91488531616</v>
      </c>
      <c r="BR49" s="159">
        <v>230912.7284477154</v>
      </c>
      <c r="BS49" s="159">
        <v>181707.878856492</v>
      </c>
      <c r="BT49" s="159">
        <v>181707.878856492</v>
      </c>
      <c r="BU49" s="159">
        <v>192105.45278208095</v>
      </c>
      <c r="BV49" s="159">
        <v>198286.01928201664</v>
      </c>
    </row>
    <row r="50" spans="1:74" s="70" customFormat="1" ht="15" customHeight="1">
      <c r="A50" t="s">
        <v>325</v>
      </c>
      <c r="B50" s="8" t="str">
        <f>IF('Sumário | Summary'!P1=1,"Dívida Líquida Total","Net Debt")</f>
        <v>Dívida Líquida Total</v>
      </c>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c r="AA50" s="166"/>
      <c r="AB50" s="166">
        <v>2253858</v>
      </c>
      <c r="AC50" s="166">
        <v>2143136</v>
      </c>
      <c r="AD50" s="166">
        <v>1259396</v>
      </c>
      <c r="AE50" s="166">
        <v>1249258</v>
      </c>
      <c r="AF50" s="166">
        <v>1249258</v>
      </c>
      <c r="AG50" s="166">
        <v>1249489</v>
      </c>
      <c r="AH50" s="166">
        <v>1186620</v>
      </c>
      <c r="AI50" s="166">
        <v>1207007</v>
      </c>
      <c r="AJ50" s="166">
        <v>1266454</v>
      </c>
      <c r="AK50" s="166">
        <v>1266454</v>
      </c>
      <c r="AL50" s="166">
        <v>1260116</v>
      </c>
      <c r="AM50" s="166">
        <v>1286298</v>
      </c>
      <c r="AN50" s="166">
        <v>1297642</v>
      </c>
      <c r="AO50" s="166">
        <v>749830.00000000012</v>
      </c>
      <c r="AP50" s="166">
        <v>749830.00000000012</v>
      </c>
      <c r="AQ50" s="166">
        <v>827852.19596367318</v>
      </c>
      <c r="AR50" s="166">
        <v>930333.19940340018</v>
      </c>
      <c r="AS50" s="166">
        <v>1011860.3139701129</v>
      </c>
      <c r="AT50" s="166">
        <v>1195572.4242121622</v>
      </c>
      <c r="AU50" s="166">
        <v>1195572.4242121622</v>
      </c>
      <c r="AV50" s="166">
        <v>1113018</v>
      </c>
      <c r="AW50" s="166">
        <v>1125862</v>
      </c>
      <c r="AX50" s="166">
        <v>1122956</v>
      </c>
      <c r="AY50" s="166">
        <v>950242</v>
      </c>
      <c r="AZ50" s="166">
        <v>950242</v>
      </c>
      <c r="BA50" s="166">
        <v>941136</v>
      </c>
      <c r="BB50" s="166">
        <v>688375</v>
      </c>
      <c r="BC50" s="166">
        <v>705553</v>
      </c>
      <c r="BD50" s="166">
        <v>769283</v>
      </c>
      <c r="BE50" s="166">
        <v>769283</v>
      </c>
      <c r="BF50" s="166">
        <v>772149</v>
      </c>
      <c r="BG50" s="166">
        <v>783632.59007079992</v>
      </c>
      <c r="BH50" s="166">
        <v>780043.36734416801</v>
      </c>
      <c r="BI50" s="166">
        <v>768395.48416250409</v>
      </c>
      <c r="BJ50" s="166">
        <v>768395.48416250409</v>
      </c>
      <c r="BK50" s="166">
        <v>438916</v>
      </c>
      <c r="BL50" s="166">
        <v>-200811.09810755262</v>
      </c>
      <c r="BM50" s="166">
        <v>323383.01516560127</v>
      </c>
      <c r="BN50" s="166">
        <v>472719.06249217544</v>
      </c>
      <c r="BO50" s="166">
        <v>472719.06249217544</v>
      </c>
      <c r="BP50" s="166">
        <v>458488.59053745307</v>
      </c>
      <c r="BQ50" s="166">
        <v>-48037.914885316161</v>
      </c>
      <c r="BR50" s="166">
        <v>271909.2715522846</v>
      </c>
      <c r="BS50" s="166">
        <v>321591.121143508</v>
      </c>
      <c r="BT50" s="166">
        <v>321591.121143508</v>
      </c>
      <c r="BU50" s="166">
        <v>301725.54721791903</v>
      </c>
      <c r="BV50" s="166">
        <v>301268.98071798333</v>
      </c>
    </row>
    <row r="51" spans="1:74" s="1" customFormat="1" ht="15" customHeight="1">
      <c r="A51" t="s">
        <v>150</v>
      </c>
      <c r="B51" s="9" t="str">
        <f>IF('Sumário | Summary'!P1=1,"Dívida Líquida Total/EBITDA Ajustado UDM","Total Net Debt/Adjusted EBITDA LTM")</f>
        <v>Dívida Líquida Total/EBITDA Ajustado UDM</v>
      </c>
      <c r="C51" s="74"/>
      <c r="D51" s="74"/>
      <c r="E51" s="74"/>
      <c r="F51" s="79"/>
      <c r="G51" s="79"/>
      <c r="H51" s="79"/>
      <c r="I51" s="79"/>
      <c r="J51" s="79"/>
      <c r="K51" s="79"/>
      <c r="L51" s="79"/>
      <c r="M51" s="79"/>
      <c r="N51" s="79"/>
      <c r="O51" s="79"/>
      <c r="P51" s="79"/>
      <c r="Q51" s="79"/>
      <c r="R51" s="79"/>
      <c r="S51" s="79"/>
      <c r="T51" s="79"/>
      <c r="U51" s="79"/>
      <c r="V51" s="79"/>
      <c r="W51" s="79"/>
      <c r="X51" s="79"/>
      <c r="Y51" s="79"/>
      <c r="Z51" s="79"/>
      <c r="AA51" s="79"/>
      <c r="AB51" s="167"/>
      <c r="AC51" s="167"/>
      <c r="AD51" s="167"/>
      <c r="AE51" s="167">
        <v>7.2430261836092287</v>
      </c>
      <c r="AF51" s="167">
        <v>7.2430261836092287</v>
      </c>
      <c r="AG51" s="167">
        <v>7.618252994094048</v>
      </c>
      <c r="AH51" s="167">
        <v>7.9369969037466159</v>
      </c>
      <c r="AI51" s="167">
        <v>6.903429430848651</v>
      </c>
      <c r="AJ51" s="167">
        <v>7.0510735180579855</v>
      </c>
      <c r="AK51" s="167">
        <v>7.0510735180579855</v>
      </c>
      <c r="AL51" s="167">
        <v>6.6866653543688264</v>
      </c>
      <c r="AM51" s="167">
        <v>6.6288492882916445</v>
      </c>
      <c r="AN51" s="167">
        <v>6.4896481489536502</v>
      </c>
      <c r="AO51" s="167">
        <v>3.6722530725129583</v>
      </c>
      <c r="AP51" s="167">
        <v>3.6722530725129583</v>
      </c>
      <c r="AQ51" s="167">
        <v>3.9706333002478846</v>
      </c>
      <c r="AR51" s="167">
        <v>4.9219846071643421</v>
      </c>
      <c r="AS51" s="167">
        <v>5.6450394498185421</v>
      </c>
      <c r="AT51" s="167">
        <v>6.8503813856542308</v>
      </c>
      <c r="AU51" s="167">
        <v>6.8503813856542308</v>
      </c>
      <c r="AV51" s="167">
        <v>6.871044657061522</v>
      </c>
      <c r="AW51" s="167">
        <v>6.2931377590691309</v>
      </c>
      <c r="AX51" s="167">
        <v>5.6934365054284761</v>
      </c>
      <c r="AY51" s="167">
        <v>4.7711915419210156</v>
      </c>
      <c r="AZ51" s="167">
        <v>4.7711915419210156</v>
      </c>
      <c r="BA51" s="167">
        <v>4.7458918754205337</v>
      </c>
      <c r="BB51" s="167">
        <v>3.6724190782294559</v>
      </c>
      <c r="BC51" s="168">
        <v>4.2211921678544515</v>
      </c>
      <c r="BD51" s="168">
        <v>4.9380014698357249</v>
      </c>
      <c r="BE51" s="168">
        <v>4.9380014698357249</v>
      </c>
      <c r="BF51" s="168">
        <v>5.1363356302979906</v>
      </c>
      <c r="BG51" s="168">
        <v>5.489468379222707</v>
      </c>
      <c r="BH51" s="168">
        <v>5.2457170250648479</v>
      </c>
      <c r="BI51" s="168">
        <v>4.4209855462919139</v>
      </c>
      <c r="BJ51" s="168">
        <v>4.4209855462919139</v>
      </c>
      <c r="BK51" s="168">
        <v>2.4424206006549056</v>
      </c>
      <c r="BL51" s="228">
        <v>-1.1795424810170285</v>
      </c>
      <c r="BM51" s="228">
        <v>2.2236850167416042</v>
      </c>
      <c r="BN51" s="228">
        <v>3.8081838050501879</v>
      </c>
      <c r="BO51" s="228">
        <v>3.8081838050501879</v>
      </c>
      <c r="BP51" s="228">
        <v>4.6212683069107117</v>
      </c>
      <c r="BQ51" s="228">
        <v>-0.55772396949622116</v>
      </c>
      <c r="BR51" s="228">
        <v>3.0579484771593455</v>
      </c>
      <c r="BS51" s="228">
        <v>3.8434239024987802</v>
      </c>
      <c r="BT51" s="228">
        <v>3.8434239024987802</v>
      </c>
      <c r="BU51" s="228">
        <v>3.3746017896237612</v>
      </c>
      <c r="BV51" s="228">
        <v>3.1795133159644502</v>
      </c>
    </row>
    <row r="52" spans="1:74" s="1" customFormat="1" ht="15" customHeight="1">
      <c r="A52"/>
      <c r="B52" s="66"/>
      <c r="C52" s="67"/>
      <c r="D52" s="67"/>
      <c r="E52" s="67"/>
      <c r="F52" s="67"/>
      <c r="G52" s="67"/>
      <c r="H52" s="68"/>
      <c r="I52" s="68"/>
      <c r="J52" s="68"/>
      <c r="K52" s="68"/>
      <c r="L52" s="68"/>
      <c r="M52" s="68"/>
      <c r="N52" s="68"/>
      <c r="O52" s="68"/>
      <c r="P52" s="68"/>
      <c r="Q52" s="68"/>
      <c r="R52" s="68"/>
      <c r="S52" s="68"/>
      <c r="T52" s="68"/>
      <c r="U52" s="68"/>
      <c r="V52" s="68"/>
      <c r="W52" s="68"/>
      <c r="X52" s="68"/>
      <c r="Y52" s="68"/>
      <c r="Z52" s="68"/>
      <c r="AA52" s="68"/>
      <c r="AB52" s="68"/>
      <c r="AC52" s="68"/>
      <c r="AD52" s="68"/>
      <c r="AE52" s="68"/>
      <c r="AF52" s="68"/>
      <c r="AG52" s="68"/>
      <c r="AH52" s="68"/>
      <c r="AI52" s="68"/>
      <c r="AJ52" s="68"/>
      <c r="AK52" s="68"/>
      <c r="AL52" s="68"/>
      <c r="AM52" s="68"/>
      <c r="AN52" s="68"/>
      <c r="AP52" s="165"/>
      <c r="AU52" s="165"/>
      <c r="AV52" s="165"/>
      <c r="AW52" s="165"/>
      <c r="AX52" s="165"/>
      <c r="AY52" s="165"/>
      <c r="AZ52" s="165"/>
      <c r="BA52" s="165"/>
      <c r="BB52" s="165"/>
      <c r="BC52" s="165"/>
      <c r="BD52" s="165"/>
      <c r="BE52" s="165"/>
      <c r="BF52" s="165"/>
      <c r="BG52" s="165"/>
      <c r="BH52" s="165"/>
      <c r="BI52" s="165"/>
      <c r="BJ52" s="165"/>
      <c r="BK52" s="165"/>
      <c r="BL52" s="165"/>
      <c r="BM52" s="165"/>
      <c r="BN52" s="165"/>
      <c r="BO52" s="165"/>
      <c r="BP52" s="165"/>
      <c r="BQ52" s="165"/>
      <c r="BR52" s="165"/>
      <c r="BS52" s="165"/>
      <c r="BT52" s="165"/>
      <c r="BU52" s="165"/>
      <c r="BV52" s="165"/>
    </row>
    <row r="53" spans="1:74" s="1" customFormat="1" ht="18.75" customHeight="1">
      <c r="A53"/>
      <c r="B53" s="64" t="str">
        <f>IF('Sumário | Summary'!P1=1,"Indicadores de Performance de Edifícios","Building Performance Indicators")</f>
        <v>Indicadores de Performance de Edifícios</v>
      </c>
      <c r="C53" s="65"/>
      <c r="D53" s="64"/>
      <c r="E53" s="65"/>
      <c r="F53" s="64"/>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119"/>
      <c r="AO53" s="119"/>
      <c r="AP53" s="64"/>
      <c r="AQ53" s="119"/>
      <c r="AR53" s="119"/>
      <c r="AS53" s="119"/>
      <c r="AT53" s="119"/>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64"/>
      <c r="BS53" s="64"/>
      <c r="BT53" s="64"/>
      <c r="BU53" s="64"/>
      <c r="BV53" s="64"/>
    </row>
    <row r="54" spans="1:74" s="1" customFormat="1" ht="15" customHeight="1">
      <c r="A54" t="s">
        <v>151</v>
      </c>
      <c r="B54" s="9" t="str">
        <f>IF('Sumário | Summary'!P1=1,"ABL SPE (m²)","SPV GLA (sqm)")</f>
        <v>ABL SPE (m²)</v>
      </c>
      <c r="C54" s="51">
        <v>91913.639999999985</v>
      </c>
      <c r="D54" s="51">
        <v>91913.639999999985</v>
      </c>
      <c r="E54" s="51">
        <v>91913.639999999985</v>
      </c>
      <c r="F54" s="51">
        <v>91913.639999999985</v>
      </c>
      <c r="G54" s="51">
        <v>91913.639999999985</v>
      </c>
      <c r="H54" s="51">
        <v>91913.639999999985</v>
      </c>
      <c r="I54" s="51">
        <v>91913.69</v>
      </c>
      <c r="J54" s="51">
        <v>102798.98999999999</v>
      </c>
      <c r="K54" s="51">
        <v>102798.98999999999</v>
      </c>
      <c r="L54" s="51">
        <v>102798.98999999999</v>
      </c>
      <c r="M54" s="51">
        <v>33982</v>
      </c>
      <c r="N54" s="51">
        <v>33982</v>
      </c>
      <c r="O54" s="51">
        <v>35297.5</v>
      </c>
      <c r="P54" s="51">
        <v>35297.5</v>
      </c>
      <c r="Q54" s="51">
        <v>35297.5</v>
      </c>
      <c r="R54" s="51">
        <v>121801.20490869999</v>
      </c>
      <c r="S54" s="51">
        <v>118957.56490870001</v>
      </c>
      <c r="T54" s="51">
        <v>118956.88</v>
      </c>
      <c r="U54" s="51">
        <v>118956.88</v>
      </c>
      <c r="V54" s="51">
        <v>118956.88</v>
      </c>
      <c r="W54" s="51">
        <v>99955.299999999988</v>
      </c>
      <c r="X54" s="51">
        <v>99955.299999999988</v>
      </c>
      <c r="Y54" s="51">
        <v>99955.06</v>
      </c>
      <c r="Z54" s="51">
        <v>99955.06</v>
      </c>
      <c r="AA54" s="51">
        <v>99955.06</v>
      </c>
      <c r="AB54" s="169">
        <v>98371.076000000001</v>
      </c>
      <c r="AC54" s="169">
        <v>114659.65599999999</v>
      </c>
      <c r="AD54" s="169">
        <v>114660.076</v>
      </c>
      <c r="AE54" s="169">
        <v>114660.076</v>
      </c>
      <c r="AF54" s="169">
        <v>114660.076</v>
      </c>
      <c r="AG54" s="169">
        <v>114660.076</v>
      </c>
      <c r="AH54" s="169">
        <v>114660.076</v>
      </c>
      <c r="AI54" s="169">
        <v>126121.55599999998</v>
      </c>
      <c r="AJ54" s="169">
        <v>126949.68599999999</v>
      </c>
      <c r="AK54" s="169">
        <v>126949.68599999999</v>
      </c>
      <c r="AL54" s="169">
        <v>115488.20599999998</v>
      </c>
      <c r="AM54" s="169">
        <v>127070.20599999998</v>
      </c>
      <c r="AN54" s="169">
        <v>127070.20600000001</v>
      </c>
      <c r="AO54" s="169">
        <v>155021.93599999999</v>
      </c>
      <c r="AP54" s="169">
        <v>155021.93599999999</v>
      </c>
      <c r="AQ54" s="169">
        <v>155021.93599999999</v>
      </c>
      <c r="AR54" s="169">
        <v>156638.62599999999</v>
      </c>
      <c r="AS54" s="169">
        <v>155054.39600000001</v>
      </c>
      <c r="AT54" s="169">
        <v>156956.45600000001</v>
      </c>
      <c r="AU54" s="169">
        <v>156956.45600000001</v>
      </c>
      <c r="AV54" s="169">
        <v>156956.45600000001</v>
      </c>
      <c r="AW54" s="169">
        <v>156956.45600000001</v>
      </c>
      <c r="AX54" s="169">
        <v>156956.45600000001</v>
      </c>
      <c r="AY54" s="169">
        <v>156956.45600000001</v>
      </c>
      <c r="AZ54" s="169">
        <v>156956.45600000001</v>
      </c>
      <c r="BA54" s="169">
        <v>156956.45600000001</v>
      </c>
      <c r="BB54" s="169">
        <v>156956.50599999999</v>
      </c>
      <c r="BC54" s="169">
        <v>156956.50599999999</v>
      </c>
      <c r="BD54" s="169">
        <v>89603.939212374142</v>
      </c>
      <c r="BE54" s="169">
        <v>89603.939212374142</v>
      </c>
      <c r="BF54" s="169">
        <v>89603.939212374142</v>
      </c>
      <c r="BG54" s="169">
        <v>89603.939212374142</v>
      </c>
      <c r="BH54" s="169">
        <v>89604.239312374149</v>
      </c>
      <c r="BI54" s="169">
        <v>85754.239312374149</v>
      </c>
      <c r="BJ54" s="169">
        <v>85754.239312374149</v>
      </c>
      <c r="BK54" s="169">
        <v>85754.239312374149</v>
      </c>
      <c r="BL54" s="169">
        <v>85754.239312374149</v>
      </c>
      <c r="BM54" s="169">
        <v>120110.31431237415</v>
      </c>
      <c r="BN54" s="169">
        <v>120283.19431237414</v>
      </c>
      <c r="BO54" s="169">
        <v>120283.19431237414</v>
      </c>
      <c r="BP54" s="169">
        <v>112971.80431237415</v>
      </c>
      <c r="BQ54" s="169">
        <v>112202.18431237416</v>
      </c>
      <c r="BR54" s="169">
        <v>111047.75431237413</v>
      </c>
      <c r="BS54" s="169">
        <v>110278.13377773558</v>
      </c>
      <c r="BT54" s="169">
        <v>110278.13377773558</v>
      </c>
      <c r="BU54" s="169">
        <v>110278.13377773558</v>
      </c>
      <c r="BV54" s="169">
        <v>110278.42461925738</v>
      </c>
    </row>
    <row r="55" spans="1:74" s="1" customFormat="1" ht="15" customHeight="1">
      <c r="A55" t="s">
        <v>152</v>
      </c>
      <c r="B55" s="9" t="str">
        <f>IF('Sumário | Summary'!P1=1,"ABL Própria (m²)","SYN GLA (sqm)")</f>
        <v>ABL Própria (m²)</v>
      </c>
      <c r="C55" s="51">
        <v>86621.109999999986</v>
      </c>
      <c r="D55" s="51">
        <v>86621.109999999986</v>
      </c>
      <c r="E55" s="51">
        <v>86621.109999999986</v>
      </c>
      <c r="F55" s="51">
        <v>86621.109999999986</v>
      </c>
      <c r="G55" s="51">
        <v>86621.109999999986</v>
      </c>
      <c r="H55" s="51">
        <v>86621.109999999986</v>
      </c>
      <c r="I55" s="51">
        <v>109633.25518079998</v>
      </c>
      <c r="J55" s="51">
        <v>112354.65518079999</v>
      </c>
      <c r="K55" s="51">
        <v>112354.65518079999</v>
      </c>
      <c r="L55" s="51">
        <v>112354.65518079999</v>
      </c>
      <c r="M55" s="51">
        <v>112354.65518079999</v>
      </c>
      <c r="N55" s="51">
        <v>112354.65518079999</v>
      </c>
      <c r="O55" s="51">
        <v>131356.9200895</v>
      </c>
      <c r="P55" s="51">
        <v>131356.87008949998</v>
      </c>
      <c r="Q55" s="51">
        <v>131356.87008949998</v>
      </c>
      <c r="R55" s="51">
        <v>131356.87008949998</v>
      </c>
      <c r="S55" s="51">
        <v>105501.13490869998</v>
      </c>
      <c r="T55" s="51">
        <v>105500.04999999999</v>
      </c>
      <c r="U55" s="51">
        <v>105500.04999999999</v>
      </c>
      <c r="V55" s="51">
        <v>105500.04999999999</v>
      </c>
      <c r="W55" s="51">
        <v>86498.87</v>
      </c>
      <c r="X55" s="51">
        <v>86498.87</v>
      </c>
      <c r="Y55" s="51">
        <v>89342.665999999997</v>
      </c>
      <c r="Z55" s="51">
        <v>86498.665999999997</v>
      </c>
      <c r="AA55" s="51">
        <v>86498.665999999997</v>
      </c>
      <c r="AB55" s="51">
        <v>86498.794999999984</v>
      </c>
      <c r="AC55" s="51">
        <v>101203.39099999999</v>
      </c>
      <c r="AD55" s="51">
        <v>72276.859721200002</v>
      </c>
      <c r="AE55" s="51">
        <v>72277.53003319999</v>
      </c>
      <c r="AF55" s="51">
        <v>72277.53003319999</v>
      </c>
      <c r="AG55" s="51">
        <v>72277.53003319999</v>
      </c>
      <c r="AH55" s="51">
        <v>72277.53003319999</v>
      </c>
      <c r="AI55" s="51">
        <v>72277.53003319999</v>
      </c>
      <c r="AJ55" s="51">
        <v>72691.207722199993</v>
      </c>
      <c r="AK55" s="51">
        <v>72691.207722199993</v>
      </c>
      <c r="AL55" s="51">
        <v>72691.207722199993</v>
      </c>
      <c r="AM55" s="51">
        <v>84563.207722199993</v>
      </c>
      <c r="AN55" s="51">
        <v>84563.207722199993</v>
      </c>
      <c r="AO55" s="51">
        <v>92023.535302199991</v>
      </c>
      <c r="AP55" s="51">
        <v>92023.535302199991</v>
      </c>
      <c r="AQ55" s="51">
        <v>92023.535302200005</v>
      </c>
      <c r="AR55" s="51">
        <v>92884.241970200004</v>
      </c>
      <c r="AS55" s="51">
        <v>91829.62005920001</v>
      </c>
      <c r="AT55" s="51">
        <v>92728.083391199994</v>
      </c>
      <c r="AU55" s="51">
        <v>92728.083391199994</v>
      </c>
      <c r="AV55" s="51">
        <v>46019.179604712233</v>
      </c>
      <c r="AW55" s="169">
        <v>92728.083391199994</v>
      </c>
      <c r="AX55" s="51">
        <v>46019.179604712233</v>
      </c>
      <c r="AY55" s="51">
        <v>46019.179604712233</v>
      </c>
      <c r="AZ55" s="51">
        <v>46019.179604712233</v>
      </c>
      <c r="BA55" s="51">
        <v>46019.179604712248</v>
      </c>
      <c r="BB55" s="51">
        <v>46019.129604712245</v>
      </c>
      <c r="BC55" s="51">
        <v>46019.129604712245</v>
      </c>
      <c r="BD55" s="51">
        <v>46019.129604712245</v>
      </c>
      <c r="BE55" s="51">
        <v>46019.129604712245</v>
      </c>
      <c r="BF55" s="51">
        <v>46019.129604712245</v>
      </c>
      <c r="BG55" s="169">
        <v>46019.129604712231</v>
      </c>
      <c r="BH55" s="169">
        <v>46019.204634712252</v>
      </c>
      <c r="BI55" s="169">
        <v>43456.259634712245</v>
      </c>
      <c r="BJ55" s="169">
        <v>43456.259634712245</v>
      </c>
      <c r="BK55" s="169">
        <v>43456.259634712245</v>
      </c>
      <c r="BL55" s="169">
        <v>37159.839772237414</v>
      </c>
      <c r="BM55" s="169">
        <v>60261.909304282322</v>
      </c>
      <c r="BN55" s="169">
        <v>60279.206944362406</v>
      </c>
      <c r="BO55" s="169">
        <v>60279.206944362406</v>
      </c>
      <c r="BP55" s="169">
        <v>57970.346944362405</v>
      </c>
      <c r="BQ55" s="169">
        <v>58871.446346037868</v>
      </c>
      <c r="BR55" s="169">
        <v>59022.799310357244</v>
      </c>
      <c r="BS55" s="169">
        <v>58253.179176697602</v>
      </c>
      <c r="BT55" s="169">
        <v>58253.179176697602</v>
      </c>
      <c r="BU55" s="169">
        <v>58253.179176697602</v>
      </c>
      <c r="BV55" s="169">
        <v>59023.514145386354</v>
      </c>
    </row>
    <row r="56" spans="1:74" s="91" customFormat="1" ht="15" customHeight="1">
      <c r="A56" t="s">
        <v>326</v>
      </c>
      <c r="B56" s="9" t="str">
        <f>IF('Sumário | Summary'!P1=1,"Taxa de Ocupação Física (%)","Physical Occupancy Rate")</f>
        <v>Taxa de Ocupação Física (%)</v>
      </c>
      <c r="C56" s="92">
        <v>0.98399999999999999</v>
      </c>
      <c r="D56" s="92">
        <v>1</v>
      </c>
      <c r="E56" s="92">
        <v>1</v>
      </c>
      <c r="F56" s="92">
        <v>1</v>
      </c>
      <c r="G56" s="92">
        <v>1</v>
      </c>
      <c r="H56" s="92">
        <v>0.98899999999999999</v>
      </c>
      <c r="I56" s="92">
        <v>0.97599999999999998</v>
      </c>
      <c r="J56" s="92">
        <v>0.94100000000000006</v>
      </c>
      <c r="K56" s="92">
        <v>0.92100000000000004</v>
      </c>
      <c r="L56" s="92">
        <v>0.92100000000000004</v>
      </c>
      <c r="M56" s="92">
        <v>0.91700000000000004</v>
      </c>
      <c r="N56" s="92">
        <v>0.92</v>
      </c>
      <c r="O56" s="92">
        <v>0.81499999999999995</v>
      </c>
      <c r="P56" s="92">
        <v>0.79600000000000004</v>
      </c>
      <c r="Q56" s="92">
        <v>0.79600000000000004</v>
      </c>
      <c r="R56" s="92">
        <v>0.80099999999999993</v>
      </c>
      <c r="S56" s="92">
        <v>0.82200000000000006</v>
      </c>
      <c r="T56" s="92">
        <v>0.86599999999999999</v>
      </c>
      <c r="U56" s="92">
        <v>0.88500000000000001</v>
      </c>
      <c r="V56" s="92">
        <v>0.88500000000000001</v>
      </c>
      <c r="W56" s="69">
        <v>0.89800000000000002</v>
      </c>
      <c r="X56" s="69">
        <v>0.91400000000000003</v>
      </c>
      <c r="Y56" s="69">
        <v>0.91100000000000003</v>
      </c>
      <c r="Z56" s="69">
        <v>0.89929999999999999</v>
      </c>
      <c r="AA56" s="92">
        <v>0.89929999999999999</v>
      </c>
      <c r="AB56" s="69">
        <v>0.90876908173999327</v>
      </c>
      <c r="AC56" s="69">
        <v>0.82776860802967644</v>
      </c>
      <c r="AD56" s="69">
        <v>0.80033291366132386</v>
      </c>
      <c r="AE56" s="69">
        <v>0.83905125602066288</v>
      </c>
      <c r="AF56" s="69">
        <v>0.83905125602066288</v>
      </c>
      <c r="AG56" s="69">
        <v>0.83939727392995467</v>
      </c>
      <c r="AH56" s="69">
        <v>0.82748255671272275</v>
      </c>
      <c r="AI56" s="69">
        <v>0.83737436706068347</v>
      </c>
      <c r="AJ56" s="69">
        <v>0.88179650144792332</v>
      </c>
      <c r="AK56" s="69">
        <v>0.88179650144792332</v>
      </c>
      <c r="AL56" s="69">
        <v>0.88250370768854913</v>
      </c>
      <c r="AM56" s="69">
        <v>0.77602389801460037</v>
      </c>
      <c r="AN56" s="69">
        <v>0.84437513675885389</v>
      </c>
      <c r="AO56" s="69">
        <v>0.86404176283911038</v>
      </c>
      <c r="AP56" s="69">
        <v>0.87060332129320395</v>
      </c>
      <c r="AQ56" s="69">
        <v>0.87066081476360913</v>
      </c>
      <c r="AR56" s="69">
        <v>0.85288792431874771</v>
      </c>
      <c r="AS56" s="69">
        <v>0.91514750752286611</v>
      </c>
      <c r="AT56" s="69">
        <v>0.88835944655099497</v>
      </c>
      <c r="AU56" s="99">
        <v>0.88835944655099497</v>
      </c>
      <c r="AV56" s="69">
        <v>0.84929898204586718</v>
      </c>
      <c r="AW56" s="99">
        <v>0.96990253530825976</v>
      </c>
      <c r="AX56" s="69">
        <v>0.84929898204586718</v>
      </c>
      <c r="AY56" s="69">
        <v>0.84929898204586718</v>
      </c>
      <c r="AZ56" s="99">
        <v>0.84929898204586718</v>
      </c>
      <c r="BA56" s="99">
        <v>0.84928294459046016</v>
      </c>
      <c r="BB56" s="99">
        <v>0.85054510825874063</v>
      </c>
      <c r="BC56" s="99">
        <v>0.85474212441701691</v>
      </c>
      <c r="BD56" s="99">
        <v>0.85845195126565388</v>
      </c>
      <c r="BE56" s="99">
        <v>0.85845195126565388</v>
      </c>
      <c r="BF56" s="99">
        <v>0.85850234446019669</v>
      </c>
      <c r="BG56" s="99">
        <v>0.85475674882569741</v>
      </c>
      <c r="BH56" s="99">
        <v>0.84809297451492716</v>
      </c>
      <c r="BI56" s="99">
        <v>0.8494422311941956</v>
      </c>
      <c r="BJ56" s="99">
        <v>0.8494422311941956</v>
      </c>
      <c r="BK56" s="99">
        <v>0.8564975429910513</v>
      </c>
      <c r="BL56" s="99">
        <v>0.83603820556427677</v>
      </c>
      <c r="BM56" s="99">
        <v>0.826885502386008</v>
      </c>
      <c r="BN56" s="99">
        <v>0.82967573979590303</v>
      </c>
      <c r="BO56" s="99">
        <v>0.82967573979590303</v>
      </c>
      <c r="BP56" s="99">
        <v>0.87357807619126704</v>
      </c>
      <c r="BQ56" s="99">
        <v>0.88851632104271305</v>
      </c>
      <c r="BR56" s="99">
        <v>0.91617736029461561</v>
      </c>
      <c r="BS56" s="99">
        <v>0.94614104987769909</v>
      </c>
      <c r="BT56" s="99">
        <v>0.94614104987769909</v>
      </c>
      <c r="BU56" s="99">
        <v>0.94614104987769909</v>
      </c>
      <c r="BV56" s="99">
        <v>0.8858547596077444</v>
      </c>
    </row>
    <row r="57" spans="1:74" s="91" customFormat="1" ht="15" customHeight="1">
      <c r="A57" t="s">
        <v>327</v>
      </c>
      <c r="B57" s="9" t="str">
        <f>IF('Sumário | Summary'!P1=1,"Taxa de Ocupação Financeira (%)","Financial Occupancy Rate")</f>
        <v>Taxa de Ocupação Financeira (%)</v>
      </c>
      <c r="C57" s="92">
        <v>0.99199999999999999</v>
      </c>
      <c r="D57" s="92">
        <v>1</v>
      </c>
      <c r="E57" s="92">
        <v>1</v>
      </c>
      <c r="F57" s="92">
        <v>1</v>
      </c>
      <c r="G57" s="92">
        <v>1</v>
      </c>
      <c r="H57" s="92">
        <v>0.98499999999999999</v>
      </c>
      <c r="I57" s="92">
        <v>0.96499999999999997</v>
      </c>
      <c r="J57" s="92">
        <v>0.94100000000000006</v>
      </c>
      <c r="K57" s="92">
        <v>0.91088235486769509</v>
      </c>
      <c r="L57" s="92">
        <v>0.91088235486769509</v>
      </c>
      <c r="M57" s="92">
        <v>0.90969052422472707</v>
      </c>
      <c r="N57" s="92">
        <v>0.91428560513776114</v>
      </c>
      <c r="O57" s="92">
        <v>0.82254641845742249</v>
      </c>
      <c r="P57" s="92">
        <v>0.80904526688964085</v>
      </c>
      <c r="Q57" s="92">
        <v>0.80904526688964085</v>
      </c>
      <c r="R57" s="92">
        <v>0.81</v>
      </c>
      <c r="S57" s="92">
        <v>0.87944109203879262</v>
      </c>
      <c r="T57" s="92">
        <v>0.86099999999999999</v>
      </c>
      <c r="U57" s="92">
        <v>0.87934289526069898</v>
      </c>
      <c r="V57" s="92">
        <v>0.87934289526069898</v>
      </c>
      <c r="W57" s="92">
        <v>0.89564105499956259</v>
      </c>
      <c r="X57" s="92">
        <v>0.91094184554275848</v>
      </c>
      <c r="Y57" s="92">
        <v>0.90200000000000002</v>
      </c>
      <c r="Z57" s="92">
        <v>0.92149999999999999</v>
      </c>
      <c r="AA57" s="92">
        <v>0.92149999999999999</v>
      </c>
      <c r="AB57" s="92">
        <v>0.91104419378074708</v>
      </c>
      <c r="AC57" s="92">
        <v>0.85969312191738168</v>
      </c>
      <c r="AD57" s="92">
        <v>0.87065025654884065</v>
      </c>
      <c r="AE57" s="92">
        <v>0.90277460572626178</v>
      </c>
      <c r="AF57" s="92">
        <v>0.90277460572626178</v>
      </c>
      <c r="AG57" s="92">
        <v>0.89313285233259421</v>
      </c>
      <c r="AH57" s="92">
        <v>0.88242773974737365</v>
      </c>
      <c r="AI57" s="92">
        <v>0.89082727727221866</v>
      </c>
      <c r="AJ57" s="92">
        <v>0.92358476579175142</v>
      </c>
      <c r="AK57" s="92">
        <v>0.92358476579175142</v>
      </c>
      <c r="AL57" s="92">
        <v>0.90712999596983701</v>
      </c>
      <c r="AM57" s="92">
        <v>0.87219652454552665</v>
      </c>
      <c r="AN57" s="92">
        <v>0.91311741115774714</v>
      </c>
      <c r="AO57" s="92">
        <v>0.92075872792481162</v>
      </c>
      <c r="AP57" s="92">
        <v>0.93063829224255668</v>
      </c>
      <c r="AQ57" s="92">
        <v>0.93063829224255668</v>
      </c>
      <c r="AR57" s="92">
        <v>0.91705097793847579</v>
      </c>
      <c r="AS57" s="92">
        <v>0.91366764221318253</v>
      </c>
      <c r="AT57" s="92">
        <v>0.86652221057292278</v>
      </c>
      <c r="AU57" s="99">
        <v>0.86652221057292278</v>
      </c>
      <c r="AV57" s="92">
        <v>0.86156013035301371</v>
      </c>
      <c r="AW57" s="99">
        <v>0.89713401549690375</v>
      </c>
      <c r="AX57" s="92">
        <v>0.86156013035301371</v>
      </c>
      <c r="AY57" s="92">
        <v>0.86156013035301371</v>
      </c>
      <c r="AZ57" s="99">
        <v>0.86156013035301371</v>
      </c>
      <c r="BA57" s="99">
        <v>0.86156013035301371</v>
      </c>
      <c r="BB57" s="99">
        <v>0.87529978150719012</v>
      </c>
      <c r="BC57" s="99">
        <v>0.87606214927633375</v>
      </c>
      <c r="BD57" s="99">
        <v>0.88882676676469941</v>
      </c>
      <c r="BE57" s="99">
        <v>0.88882676676469941</v>
      </c>
      <c r="BF57" s="99">
        <v>0.88149072285063146</v>
      </c>
      <c r="BG57" s="99">
        <v>0.88178989049156087</v>
      </c>
      <c r="BH57" s="99">
        <v>0.86985253902308934</v>
      </c>
      <c r="BI57" s="99">
        <v>0.87096031270718721</v>
      </c>
      <c r="BJ57" s="99">
        <v>0.87096031270718721</v>
      </c>
      <c r="BK57" s="99">
        <v>0.8880269117162819</v>
      </c>
      <c r="BL57" s="99">
        <v>0.84403024357020107</v>
      </c>
      <c r="BM57" s="99">
        <v>0.83915005211468996</v>
      </c>
      <c r="BN57" s="99">
        <v>0.85447540788821297</v>
      </c>
      <c r="BO57" s="99">
        <v>0.85447540788821297</v>
      </c>
      <c r="BP57" s="99">
        <v>0.88251346412990195</v>
      </c>
      <c r="BQ57" s="99">
        <v>0.90613727252040099</v>
      </c>
      <c r="BR57" s="99">
        <v>0.9102908143084778</v>
      </c>
      <c r="BS57" s="99">
        <v>0.94612029397206832</v>
      </c>
      <c r="BT57" s="99">
        <v>0.94612029397206832</v>
      </c>
      <c r="BU57" s="99">
        <v>0.95153564106292754</v>
      </c>
      <c r="BV57" s="99">
        <v>0.90984795962159892</v>
      </c>
    </row>
    <row r="58" spans="1:74" s="95" customFormat="1" ht="15" customHeight="1">
      <c r="A58"/>
      <c r="B58" s="93"/>
      <c r="C58" s="94"/>
      <c r="D58" s="94"/>
      <c r="E58" s="94"/>
      <c r="F58" s="94"/>
      <c r="G58" s="94"/>
      <c r="H58" s="98"/>
      <c r="I58" s="94"/>
      <c r="J58" s="94"/>
      <c r="K58" s="94"/>
      <c r="L58" s="98"/>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4"/>
      <c r="AP58" s="170"/>
      <c r="AU58" s="170"/>
      <c r="AV58" s="170"/>
      <c r="AW58" s="170"/>
      <c r="AX58" s="170"/>
      <c r="AY58" s="170"/>
      <c r="AZ58" s="170"/>
      <c r="BA58" s="170"/>
      <c r="BB58" s="170"/>
      <c r="BC58" s="170"/>
      <c r="BD58" s="170"/>
      <c r="BE58" s="170"/>
      <c r="BF58" s="170"/>
      <c r="BG58" s="170"/>
      <c r="BH58" s="170"/>
      <c r="BI58" s="170"/>
      <c r="BJ58" s="170"/>
      <c r="BK58" s="170"/>
      <c r="BL58" s="170"/>
      <c r="BM58" s="170"/>
      <c r="BN58" s="170"/>
      <c r="BO58" s="170"/>
      <c r="BP58" s="170"/>
      <c r="BQ58" s="170"/>
      <c r="BR58" s="170"/>
      <c r="BS58" s="170"/>
      <c r="BT58" s="170"/>
      <c r="BU58" s="170"/>
      <c r="BV58" s="170"/>
    </row>
    <row r="59" spans="1:74" s="1" customFormat="1" ht="18.75" customHeight="1">
      <c r="A59"/>
      <c r="B59" s="64" t="str">
        <f>IF('Sumário | Summary'!P1=1,"Indicadores de Performance de Shopping","Shopping Performance Indicators")</f>
        <v>Indicadores de Performance de Shopping</v>
      </c>
      <c r="C59" s="65"/>
      <c r="D59" s="64"/>
      <c r="E59" s="65"/>
      <c r="F59" s="64"/>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119"/>
      <c r="AO59" s="119"/>
      <c r="AP59" s="64"/>
      <c r="AQ59" s="119"/>
      <c r="AR59" s="119"/>
      <c r="AS59" s="119"/>
      <c r="AT59" s="119"/>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row>
    <row r="60" spans="1:74" s="85" customFormat="1" ht="15" customHeight="1">
      <c r="A60" t="s">
        <v>153</v>
      </c>
      <c r="B60" s="9" t="str">
        <f>IF('Sumário | Summary'!P1=1,"ABL SPE (m²)","SPV GLA (sqm)")</f>
        <v>ABL SPE (m²)</v>
      </c>
      <c r="C60" s="32">
        <v>69247</v>
      </c>
      <c r="D60" s="32">
        <v>134509</v>
      </c>
      <c r="E60" s="32">
        <v>134509</v>
      </c>
      <c r="F60" s="32">
        <v>149043</v>
      </c>
      <c r="G60" s="32">
        <v>149043</v>
      </c>
      <c r="H60" s="32">
        <v>149043</v>
      </c>
      <c r="I60" s="32">
        <v>144531</v>
      </c>
      <c r="J60" s="32">
        <v>144530.8303</v>
      </c>
      <c r="K60" s="32">
        <v>144530.8303</v>
      </c>
      <c r="L60" s="32">
        <v>144530.8303</v>
      </c>
      <c r="M60" s="32">
        <v>500161.32000000007</v>
      </c>
      <c r="N60" s="32">
        <v>554614.67000000004</v>
      </c>
      <c r="O60" s="32">
        <v>618316.12</v>
      </c>
      <c r="P60" s="32">
        <v>618316.12</v>
      </c>
      <c r="Q60" s="32">
        <v>618316.12</v>
      </c>
      <c r="R60" s="32">
        <v>224664.24381208274</v>
      </c>
      <c r="S60" s="32">
        <v>242763.72575104475</v>
      </c>
      <c r="T60" s="32">
        <v>242763.72575104475</v>
      </c>
      <c r="U60" s="32">
        <v>241910.72575104478</v>
      </c>
      <c r="V60" s="32">
        <v>241910.72575104478</v>
      </c>
      <c r="W60" s="32">
        <v>241851.59534031298</v>
      </c>
      <c r="X60" s="32">
        <v>268642.85063107818</v>
      </c>
      <c r="Y60" s="32">
        <v>268536.13427490514</v>
      </c>
      <c r="Z60" s="32">
        <v>268531.24907705461</v>
      </c>
      <c r="AA60" s="32">
        <v>268531.24907705461</v>
      </c>
      <c r="AB60" s="51">
        <v>268064.32980271138</v>
      </c>
      <c r="AC60" s="51">
        <v>268151.76999999996</v>
      </c>
      <c r="AD60" s="51">
        <v>267599.2</v>
      </c>
      <c r="AE60" s="51">
        <v>269150.40187100001</v>
      </c>
      <c r="AF60" s="51">
        <v>269150.40187100001</v>
      </c>
      <c r="AG60" s="51">
        <v>239099.29907099996</v>
      </c>
      <c r="AH60" s="51">
        <v>240488.02889199997</v>
      </c>
      <c r="AI60" s="51">
        <v>261418.69</v>
      </c>
      <c r="AJ60" s="51">
        <v>261534.68</v>
      </c>
      <c r="AK60" s="51">
        <v>261534.68</v>
      </c>
      <c r="AL60" s="87">
        <v>260952.28</v>
      </c>
      <c r="AM60" s="51">
        <v>261290.80999999997</v>
      </c>
      <c r="AN60" s="176">
        <v>240425</v>
      </c>
      <c r="AO60" s="219">
        <v>241850</v>
      </c>
      <c r="AP60" s="176">
        <v>241850</v>
      </c>
      <c r="AQ60" s="219">
        <v>241892</v>
      </c>
      <c r="AR60" s="219">
        <v>241907</v>
      </c>
      <c r="AS60" s="219">
        <v>241938</v>
      </c>
      <c r="AT60" s="219">
        <v>242185</v>
      </c>
      <c r="AU60" s="176">
        <v>242185</v>
      </c>
      <c r="AV60" s="169">
        <v>203136.83132166663</v>
      </c>
      <c r="AW60" s="176">
        <v>240663.913936</v>
      </c>
      <c r="AX60" s="169">
        <v>203136.83132166663</v>
      </c>
      <c r="AY60" s="169">
        <v>203136.83132166663</v>
      </c>
      <c r="AZ60" s="176">
        <v>203136.83132166663</v>
      </c>
      <c r="BA60" s="169">
        <v>203136.83132166663</v>
      </c>
      <c r="BB60" s="169">
        <v>203142.30132166666</v>
      </c>
      <c r="BC60" s="176">
        <v>203173.75253199998</v>
      </c>
      <c r="BD60" s="176">
        <v>176329.62119166669</v>
      </c>
      <c r="BE60" s="176">
        <v>176329.62119166669</v>
      </c>
      <c r="BF60" s="176">
        <v>176426.227766</v>
      </c>
      <c r="BG60" s="176">
        <v>176578.24286599999</v>
      </c>
      <c r="BH60" s="176">
        <v>176702.99523399997</v>
      </c>
      <c r="BI60" s="176">
        <v>176706.54063799998</v>
      </c>
      <c r="BJ60" s="176">
        <v>176706.54063799998</v>
      </c>
      <c r="BK60" s="176">
        <v>167906.32030199998</v>
      </c>
      <c r="BL60" s="176">
        <v>102124.19807800002</v>
      </c>
      <c r="BM60" s="176">
        <v>102356.37644173493</v>
      </c>
      <c r="BN60" s="176">
        <v>67118.260041666683</v>
      </c>
      <c r="BO60" s="176">
        <v>67118.260041666683</v>
      </c>
      <c r="BP60" s="176">
        <v>67098.849589000005</v>
      </c>
      <c r="BQ60" s="176">
        <v>67096.576045000023</v>
      </c>
      <c r="BR60" s="176">
        <v>67092.028957000017</v>
      </c>
      <c r="BS60" s="176">
        <v>56330.254708000008</v>
      </c>
      <c r="BT60" s="176">
        <v>56330.254708000008</v>
      </c>
      <c r="BU60" s="176">
        <v>56330.214708</v>
      </c>
      <c r="BV60" s="176">
        <v>56330.497166000001</v>
      </c>
    </row>
    <row r="61" spans="1:74" s="85" customFormat="1" ht="15" customHeight="1">
      <c r="A61" t="s">
        <v>154</v>
      </c>
      <c r="B61" s="9" t="str">
        <f>IF('Sumário | Summary'!P1=1,"ABL Própria (m²)","SYN GLA (sqm)")</f>
        <v>ABL Própria (m²)</v>
      </c>
      <c r="C61" s="32">
        <v>45781</v>
      </c>
      <c r="D61" s="32">
        <v>66517</v>
      </c>
      <c r="E61" s="32">
        <v>66517</v>
      </c>
      <c r="F61" s="32">
        <v>75198</v>
      </c>
      <c r="G61" s="32">
        <v>75198</v>
      </c>
      <c r="H61" s="32">
        <v>75198</v>
      </c>
      <c r="I61" s="32">
        <v>73680</v>
      </c>
      <c r="J61" s="32">
        <v>73680.061155999996</v>
      </c>
      <c r="K61" s="32">
        <v>73680.061155999996</v>
      </c>
      <c r="L61" s="32">
        <v>73680.061155999996</v>
      </c>
      <c r="M61" s="32">
        <v>117315.061156</v>
      </c>
      <c r="N61" s="32">
        <v>117315.061156</v>
      </c>
      <c r="O61" s="32">
        <v>118006.34216500001</v>
      </c>
      <c r="P61" s="32">
        <v>118006</v>
      </c>
      <c r="Q61" s="32">
        <v>118006</v>
      </c>
      <c r="R61" s="32">
        <v>118006</v>
      </c>
      <c r="S61" s="32">
        <v>135839.62227015995</v>
      </c>
      <c r="T61" s="32">
        <v>135839.62227015995</v>
      </c>
      <c r="U61" s="32">
        <v>134884.80077015999</v>
      </c>
      <c r="V61" s="32">
        <v>134884.80077015999</v>
      </c>
      <c r="W61" s="32">
        <v>134857.59803200001</v>
      </c>
      <c r="X61" s="32">
        <v>149128.715861</v>
      </c>
      <c r="Y61" s="32">
        <v>149073</v>
      </c>
      <c r="Z61" s="32">
        <v>149070</v>
      </c>
      <c r="AA61" s="32">
        <v>149070</v>
      </c>
      <c r="AB61" s="51">
        <v>148603.1259675</v>
      </c>
      <c r="AC61" s="51">
        <v>148643</v>
      </c>
      <c r="AD61" s="51">
        <v>148505</v>
      </c>
      <c r="AE61" s="51">
        <v>149328.54668699999</v>
      </c>
      <c r="AF61" s="51">
        <v>149328.54668699999</v>
      </c>
      <c r="AG61" s="51">
        <v>140821.66738699996</v>
      </c>
      <c r="AH61" s="51">
        <v>141533.10520799999</v>
      </c>
      <c r="AI61" s="51">
        <v>141464.08938549997</v>
      </c>
      <c r="AJ61" s="51">
        <v>141515.80938549998</v>
      </c>
      <c r="AK61" s="51">
        <v>141515.80938549998</v>
      </c>
      <c r="AL61" s="87">
        <v>141165.607304</v>
      </c>
      <c r="AM61" s="51">
        <v>141292.68565433333</v>
      </c>
      <c r="AN61" s="87">
        <v>141563.92785066666</v>
      </c>
      <c r="AO61" s="87">
        <v>141556.87456199998</v>
      </c>
      <c r="AP61" s="169">
        <v>141556.87456199998</v>
      </c>
      <c r="AQ61" s="87">
        <v>141574.514024</v>
      </c>
      <c r="AR61" s="87">
        <v>141580.88878466666</v>
      </c>
      <c r="AS61" s="87">
        <v>141592.60481633333</v>
      </c>
      <c r="AT61" s="87">
        <v>141665.55497966666</v>
      </c>
      <c r="AU61" s="169">
        <v>141665.55497966666</v>
      </c>
      <c r="AV61" s="169">
        <v>126805.71719433332</v>
      </c>
      <c r="AW61" s="169">
        <v>141586.607613</v>
      </c>
      <c r="AX61" s="169">
        <v>126805.71719433332</v>
      </c>
      <c r="AY61" s="169">
        <v>126805.71719433332</v>
      </c>
      <c r="AZ61" s="169">
        <v>126805.71719433332</v>
      </c>
      <c r="BA61" s="169">
        <v>126805.71719433332</v>
      </c>
      <c r="BB61" s="169">
        <v>126825.55571099999</v>
      </c>
      <c r="BC61" s="176">
        <v>126835.752788</v>
      </c>
      <c r="BD61" s="169">
        <v>126858.04119166666</v>
      </c>
      <c r="BE61" s="169">
        <v>126858.04119166666</v>
      </c>
      <c r="BF61" s="169">
        <v>126954.64776600001</v>
      </c>
      <c r="BG61" s="169">
        <v>127038.572241</v>
      </c>
      <c r="BH61" s="169">
        <v>127163.324609</v>
      </c>
      <c r="BI61" s="169">
        <v>127166.87001300001</v>
      </c>
      <c r="BJ61" s="169">
        <v>127166.87001300001</v>
      </c>
      <c r="BK61" s="169">
        <v>127173.64967700001</v>
      </c>
      <c r="BL61" s="169">
        <v>29270.962478000001</v>
      </c>
      <c r="BM61" s="169">
        <v>29308.965119287903</v>
      </c>
      <c r="BN61" s="169">
        <v>29380.791875000006</v>
      </c>
      <c r="BO61" s="169">
        <v>29380.791875000006</v>
      </c>
      <c r="BP61" s="169">
        <v>29373.827488999999</v>
      </c>
      <c r="BQ61" s="169">
        <v>29371.553945000003</v>
      </c>
      <c r="BR61" s="169">
        <v>29367.006857</v>
      </c>
      <c r="BS61" s="169">
        <v>25505.719707999997</v>
      </c>
      <c r="BT61" s="169">
        <v>25505.719707999997</v>
      </c>
      <c r="BU61" s="169">
        <v>25505.714708</v>
      </c>
      <c r="BV61" s="169">
        <v>25505.997165999994</v>
      </c>
    </row>
    <row r="62" spans="1:74" s="88" customFormat="1" ht="15" customHeight="1">
      <c r="A62" t="s">
        <v>273</v>
      </c>
      <c r="B62" s="9" t="str">
        <f>IF('Sumário | Summary'!P1=1,"Vendas Totais (R mil)","Total Sales (R 000')")</f>
        <v>Vendas Totais (R mil)</v>
      </c>
      <c r="C62" s="76">
        <v>166149.55100000001</v>
      </c>
      <c r="D62" s="76">
        <v>223893.54080000005</v>
      </c>
      <c r="E62" s="76">
        <v>274554.83798700001</v>
      </c>
      <c r="F62" s="76">
        <v>445285.66801000002</v>
      </c>
      <c r="G62" s="76">
        <v>1109883.5977970001</v>
      </c>
      <c r="H62" s="76">
        <v>319809.86275999999</v>
      </c>
      <c r="I62" s="76">
        <v>357702.80884000007</v>
      </c>
      <c r="J62" s="76">
        <v>375634.81006500003</v>
      </c>
      <c r="K62" s="76">
        <v>551687.73405999993</v>
      </c>
      <c r="L62" s="76">
        <v>1604835.215725</v>
      </c>
      <c r="M62" s="76">
        <v>435200.00000000006</v>
      </c>
      <c r="N62" s="76">
        <v>508515.78940566676</v>
      </c>
      <c r="O62" s="76">
        <v>535288.53099999996</v>
      </c>
      <c r="P62" s="76">
        <v>778436.19913499989</v>
      </c>
      <c r="Q62" s="76">
        <v>2257440.5195406666</v>
      </c>
      <c r="R62" s="76">
        <v>533276.00576585717</v>
      </c>
      <c r="S62" s="76">
        <v>620219.6320000001</v>
      </c>
      <c r="T62" s="76">
        <v>629753.53299999994</v>
      </c>
      <c r="U62" s="76">
        <v>883740</v>
      </c>
      <c r="V62" s="76">
        <v>2666989.1707658572</v>
      </c>
      <c r="W62" s="76">
        <v>626700</v>
      </c>
      <c r="X62" s="76">
        <v>689900</v>
      </c>
      <c r="Y62" s="76">
        <v>690700</v>
      </c>
      <c r="Z62" s="97">
        <v>919700</v>
      </c>
      <c r="AA62" s="76">
        <v>2927000</v>
      </c>
      <c r="AB62" s="76">
        <v>683800</v>
      </c>
      <c r="AC62" s="76">
        <v>762000</v>
      </c>
      <c r="AD62" s="76">
        <v>752091</v>
      </c>
      <c r="AE62" s="76">
        <v>995000</v>
      </c>
      <c r="AF62" s="76">
        <v>3192891</v>
      </c>
      <c r="AG62" s="76">
        <v>736066.83379599999</v>
      </c>
      <c r="AH62" s="76">
        <v>731517.0160399999</v>
      </c>
      <c r="AI62" s="76">
        <v>747121.27310999995</v>
      </c>
      <c r="AJ62" s="76">
        <v>984134.69001999986</v>
      </c>
      <c r="AK62" s="76">
        <v>3198839.8129659994</v>
      </c>
      <c r="AL62" s="97">
        <v>744676.07632998005</v>
      </c>
      <c r="AM62" s="76">
        <v>812015.86888345005</v>
      </c>
      <c r="AN62" s="97">
        <v>798107.74325009005</v>
      </c>
      <c r="AO62" s="97">
        <v>1046887.93336</v>
      </c>
      <c r="AP62" s="160">
        <v>3331441.7920399602</v>
      </c>
      <c r="AQ62" s="97">
        <v>658716.14348999993</v>
      </c>
      <c r="AR62" s="97">
        <v>90440.676300099978</v>
      </c>
      <c r="AS62" s="97">
        <v>429342.35996298998</v>
      </c>
      <c r="AT62" s="97">
        <v>770918.8370800002</v>
      </c>
      <c r="AU62" s="160">
        <v>1949418.01683309</v>
      </c>
      <c r="AV62" s="160">
        <v>398319.81358000002</v>
      </c>
      <c r="AW62" s="160">
        <v>440742.43374999997</v>
      </c>
      <c r="AX62" s="160">
        <v>658282.20578999992</v>
      </c>
      <c r="AY62" s="173">
        <v>839898.19920999999</v>
      </c>
      <c r="AZ62" s="160">
        <v>2337242.65233</v>
      </c>
      <c r="BA62" s="173">
        <v>565323.97085999988</v>
      </c>
      <c r="BB62" s="160">
        <v>699185.04259999993</v>
      </c>
      <c r="BC62" s="160">
        <v>673166.13684999989</v>
      </c>
      <c r="BD62" s="160">
        <v>872849.08773999999</v>
      </c>
      <c r="BE62" s="160">
        <v>2810524.2380499998</v>
      </c>
      <c r="BF62" s="160">
        <v>649100.12115999998</v>
      </c>
      <c r="BG62" s="160">
        <v>749887.38326000003</v>
      </c>
      <c r="BH62" s="160">
        <v>737711.15636999987</v>
      </c>
      <c r="BI62" s="160">
        <v>941903.20854000014</v>
      </c>
      <c r="BJ62" s="160">
        <v>3078601.8693300001</v>
      </c>
      <c r="BK62" s="160">
        <v>679449.75390999997</v>
      </c>
      <c r="BL62" s="160">
        <v>721474.54223999998</v>
      </c>
      <c r="BM62" s="160">
        <v>724234.40635000006</v>
      </c>
      <c r="BN62" s="160">
        <v>954640.50294000003</v>
      </c>
      <c r="BO62" s="160">
        <v>3079799.2054399997</v>
      </c>
      <c r="BP62" s="160">
        <v>696699.03376999998</v>
      </c>
      <c r="BQ62" s="160">
        <v>788846.56171999988</v>
      </c>
      <c r="BR62" s="160">
        <v>756557.00651999994</v>
      </c>
      <c r="BS62" s="160">
        <v>953176.97100999998</v>
      </c>
      <c r="BT62" s="160">
        <v>3195279.5730199995</v>
      </c>
      <c r="BU62" s="160">
        <v>711504.79937000002</v>
      </c>
      <c r="BV62" s="160">
        <v>788764.19154999999</v>
      </c>
    </row>
    <row r="63" spans="1:74" s="96" customFormat="1" ht="15" customHeight="1">
      <c r="A63" t="s">
        <v>274</v>
      </c>
      <c r="B63" s="9" t="str">
        <f>IF('Sumário | Summary'!P1=1,"Vendas mesmas lojas (SSS)","Same Store Sales (SSS)")</f>
        <v>Vendas mesmas lojas (SSS)</v>
      </c>
      <c r="C63" s="101" t="s">
        <v>18</v>
      </c>
      <c r="D63" s="101" t="s">
        <v>18</v>
      </c>
      <c r="E63" s="101" t="s">
        <v>18</v>
      </c>
      <c r="F63" s="101" t="s">
        <v>18</v>
      </c>
      <c r="G63" s="101" t="s">
        <v>18</v>
      </c>
      <c r="H63" s="69">
        <v>6.0900000000000003E-2</v>
      </c>
      <c r="I63" s="69">
        <v>3.56E-2</v>
      </c>
      <c r="J63" s="69">
        <v>7.6399999999999996E-2</v>
      </c>
      <c r="K63" s="69">
        <v>4.3900000000000002E-2</v>
      </c>
      <c r="L63" s="69">
        <v>4.3900000000000002E-2</v>
      </c>
      <c r="M63" s="69">
        <v>1.4E-2</v>
      </c>
      <c r="N63" s="69">
        <v>0.02</v>
      </c>
      <c r="O63" s="69">
        <v>-8.9999999999999993E-3</v>
      </c>
      <c r="P63" s="69">
        <v>1.7999999999999999E-2</v>
      </c>
      <c r="Q63" s="69">
        <v>1.7999999999999999E-2</v>
      </c>
      <c r="R63" s="69">
        <v>0.100959995207032</v>
      </c>
      <c r="S63" s="69">
        <v>7.52698867301511E-2</v>
      </c>
      <c r="T63" s="69">
        <v>4.2203867495185898E-2</v>
      </c>
      <c r="U63" s="69">
        <v>5.8503376048046896E-3</v>
      </c>
      <c r="V63" s="69">
        <v>5.8503376048046896E-3</v>
      </c>
      <c r="W63" s="69">
        <v>2.2207494815995377E-2</v>
      </c>
      <c r="X63" s="69">
        <v>5.3999999999999999E-2</v>
      </c>
      <c r="Y63" s="69">
        <v>6.4000000000000001E-2</v>
      </c>
      <c r="Z63" s="99">
        <v>0.03</v>
      </c>
      <c r="AA63" s="69">
        <v>0.03</v>
      </c>
      <c r="AB63" s="69">
        <v>5.6000000000000001E-2</v>
      </c>
      <c r="AC63" s="69">
        <v>7.6999999999999999E-2</v>
      </c>
      <c r="AD63" s="69">
        <v>0.06</v>
      </c>
      <c r="AE63" s="69">
        <v>4.6620390386878263E-2</v>
      </c>
      <c r="AF63" s="69">
        <v>4.6620390386878263E-2</v>
      </c>
      <c r="AG63" s="69">
        <v>4.3999999999999997E-2</v>
      </c>
      <c r="AH63" s="69">
        <v>-4.0000000000000001E-3</v>
      </c>
      <c r="AI63" s="69">
        <v>4.2278165195345219E-2</v>
      </c>
      <c r="AJ63" s="69">
        <v>4.4555454113896609E-2</v>
      </c>
      <c r="AK63" s="69">
        <v>3.1378059393820434E-2</v>
      </c>
      <c r="AL63" s="99">
        <v>4.0381464565989456E-2</v>
      </c>
      <c r="AM63" s="69">
        <v>7.0765743882198917E-2</v>
      </c>
      <c r="AN63" s="99">
        <v>3.1391354323813569E-2</v>
      </c>
      <c r="AO63" s="99">
        <v>3.5915623531437735E-2</v>
      </c>
      <c r="AP63" s="163">
        <v>4.3915868261686031E-2</v>
      </c>
      <c r="AQ63" s="99">
        <v>-0.13238745914015371</v>
      </c>
      <c r="AR63" s="99">
        <v>-0.78816788842251961</v>
      </c>
      <c r="AS63" s="99">
        <v>-0.39529069838149489</v>
      </c>
      <c r="AT63" s="99">
        <v>-0.23277609863815119</v>
      </c>
      <c r="AU63" s="163">
        <v>-0.23277609863815119</v>
      </c>
      <c r="AV63" s="163">
        <v>-0.3698093375554129</v>
      </c>
      <c r="AW63" s="163">
        <v>2.2417646735262453</v>
      </c>
      <c r="AX63" s="163">
        <v>0.42306840884913566</v>
      </c>
      <c r="AY63" s="174">
        <v>0.21232686906592901</v>
      </c>
      <c r="AZ63" s="163">
        <v>0.21232686906592901</v>
      </c>
      <c r="BA63" s="174">
        <v>0.63175635465065727</v>
      </c>
      <c r="BB63" s="163">
        <v>0.58481117355995038</v>
      </c>
      <c r="BC63" s="163">
        <v>0.19766268221681083</v>
      </c>
      <c r="BD63" s="163">
        <v>7.6510164784604928E-2</v>
      </c>
      <c r="BE63" s="163">
        <v>7.6510164784604928E-2</v>
      </c>
      <c r="BF63" s="163">
        <v>0.11988114430502628</v>
      </c>
      <c r="BG63" s="163">
        <v>3.3340414478779001E-2</v>
      </c>
      <c r="BH63" s="163">
        <v>5.934426802765369E-2</v>
      </c>
      <c r="BI63" s="163">
        <v>5.5244405348069847E-2</v>
      </c>
      <c r="BJ63" s="163">
        <v>6.3635987114478043E-2</v>
      </c>
      <c r="BK63" s="163">
        <v>7.931827904205635E-2</v>
      </c>
      <c r="BL63" s="163">
        <v>9.7108134643679733E-3</v>
      </c>
      <c r="BM63" s="163">
        <v>3.1583410522722621E-2</v>
      </c>
      <c r="BN63" s="163">
        <v>4.453361825278157E-2</v>
      </c>
      <c r="BO63" s="163">
        <v>3.9899520279528033E-2</v>
      </c>
      <c r="BP63" s="163">
        <v>-2.0128200648977801E-3</v>
      </c>
      <c r="BQ63" s="163">
        <v>7.0590745689980805E-2</v>
      </c>
      <c r="BR63" s="163">
        <v>1.6158027701195232E-2</v>
      </c>
      <c r="BS63" s="163">
        <v>2.9645720528526986E-2</v>
      </c>
      <c r="BT63" s="163">
        <v>3.023508757741511E-2</v>
      </c>
      <c r="BU63" s="163">
        <v>3.6477095073098598E-2</v>
      </c>
      <c r="BV63" s="163">
        <v>2.2420865248112598E-2</v>
      </c>
    </row>
    <row r="64" spans="1:74" s="96" customFormat="1" ht="15" customHeight="1">
      <c r="A64" t="s">
        <v>306</v>
      </c>
      <c r="B64" s="9" t="str">
        <f>IF('Sumário | Summary'!P1=1,"Aluguéis mesmas lojas (SSR)","Same Store Rent (SSR)")</f>
        <v>Aluguéis mesmas lojas (SSR)</v>
      </c>
      <c r="C64" s="48" t="s">
        <v>18</v>
      </c>
      <c r="D64" s="48" t="s">
        <v>18</v>
      </c>
      <c r="E64" s="48" t="s">
        <v>18</v>
      </c>
      <c r="F64" s="48" t="s">
        <v>18</v>
      </c>
      <c r="G64" s="48" t="s">
        <v>18</v>
      </c>
      <c r="H64" s="99">
        <v>8.0799999999999997E-2</v>
      </c>
      <c r="I64" s="99">
        <v>9.1399999999999995E-2</v>
      </c>
      <c r="J64" s="99">
        <v>8.48E-2</v>
      </c>
      <c r="K64" s="99">
        <v>8.0699999999999994E-2</v>
      </c>
      <c r="L64" s="99">
        <v>8.0699999999999994E-2</v>
      </c>
      <c r="M64" s="99">
        <v>7.3999999999999996E-2</v>
      </c>
      <c r="N64" s="99">
        <v>6.3E-2</v>
      </c>
      <c r="O64" s="99">
        <v>6.9000000000000006E-2</v>
      </c>
      <c r="P64" s="99">
        <v>7.1999999999999995E-2</v>
      </c>
      <c r="Q64" s="99">
        <v>7.1999999999999995E-2</v>
      </c>
      <c r="R64" s="99">
        <v>6.6147724267828806E-2</v>
      </c>
      <c r="S64" s="99">
        <v>5.75493812235435E-2</v>
      </c>
      <c r="T64" s="99">
        <v>4.08582860918223E-2</v>
      </c>
      <c r="U64" s="99">
        <v>4.1550765987549143E-2</v>
      </c>
      <c r="V64" s="99">
        <v>4.1550765987549143E-2</v>
      </c>
      <c r="W64" s="99">
        <v>5.9641017952214881E-2</v>
      </c>
      <c r="X64" s="99">
        <v>6.0999999999999999E-2</v>
      </c>
      <c r="Y64" s="99">
        <v>0.128</v>
      </c>
      <c r="Z64" s="99">
        <v>9.7000000000000003E-2</v>
      </c>
      <c r="AA64" s="99">
        <v>9.7000000000000003E-2</v>
      </c>
      <c r="AB64" s="99">
        <v>9.1999999999999998E-2</v>
      </c>
      <c r="AC64" s="99">
        <v>0.108</v>
      </c>
      <c r="AD64" s="99">
        <v>5.1999999999999998E-2</v>
      </c>
      <c r="AE64" s="99">
        <v>2.7E-2</v>
      </c>
      <c r="AF64" s="99">
        <v>5.6000000000000001E-2</v>
      </c>
      <c r="AG64" s="99">
        <v>4.9000000000000002E-2</v>
      </c>
      <c r="AH64" s="99">
        <v>1.9E-2</v>
      </c>
      <c r="AI64" s="99">
        <v>3.7148491879612555E-2</v>
      </c>
      <c r="AJ64" s="99">
        <v>4.1608191356610646E-2</v>
      </c>
      <c r="AK64" s="99">
        <v>3.6273325660403533E-2</v>
      </c>
      <c r="AL64" s="99">
        <v>4.6724768863937616E-2</v>
      </c>
      <c r="AM64" s="99">
        <v>9.2817662658065903E-2</v>
      </c>
      <c r="AN64" s="99">
        <v>7.3728393852621199E-2</v>
      </c>
      <c r="AO64" s="99">
        <v>7.4151463743060475E-2</v>
      </c>
      <c r="AP64" s="163">
        <v>7.2072412777032913E-2</v>
      </c>
      <c r="AQ64" s="99">
        <v>5.4756237412427966E-2</v>
      </c>
      <c r="AR64" s="99">
        <v>-4.0892686540409784E-2</v>
      </c>
      <c r="AS64" s="99">
        <v>-2.7978763216537472E-2</v>
      </c>
      <c r="AT64" s="99">
        <v>-2.4185681857092245E-2</v>
      </c>
      <c r="AU64" s="163">
        <v>-2.4185681857092245E-2</v>
      </c>
      <c r="AV64" s="163">
        <v>1.4772846126341221E-2</v>
      </c>
      <c r="AW64" s="163">
        <v>0.1932796227667315</v>
      </c>
      <c r="AX64" s="163">
        <v>0.2064169673696219</v>
      </c>
      <c r="AY64" s="174">
        <v>0.18820553838735177</v>
      </c>
      <c r="AZ64" s="163">
        <v>0.18820553838735177</v>
      </c>
      <c r="BA64" s="174">
        <v>0.16230685247236831</v>
      </c>
      <c r="BB64" s="163">
        <v>0.14625716960566804</v>
      </c>
      <c r="BC64" s="163">
        <v>0.1660630849236826</v>
      </c>
      <c r="BD64" s="163">
        <v>9.8590154258900942E-2</v>
      </c>
      <c r="BE64" s="163">
        <v>9.8590154258900942E-2</v>
      </c>
      <c r="BF64" s="163">
        <v>9.3262436261752901E-2</v>
      </c>
      <c r="BG64" s="163">
        <v>8.1605585817364323E-2</v>
      </c>
      <c r="BH64" s="163">
        <v>4.3813812946054131E-2</v>
      </c>
      <c r="BI64" s="163">
        <v>2.8642248143916138E-2</v>
      </c>
      <c r="BJ64" s="163">
        <v>5.87898792485817E-2</v>
      </c>
      <c r="BK64" s="163">
        <v>5.9020465507217512E-2</v>
      </c>
      <c r="BL64" s="163">
        <v>2.9591790631451342E-3</v>
      </c>
      <c r="BM64" s="163">
        <v>2.671941971202596E-2</v>
      </c>
      <c r="BN64" s="163">
        <v>4.220853376406164E-2</v>
      </c>
      <c r="BO64" s="163">
        <v>3.2425890565278559E-2</v>
      </c>
      <c r="BP64" s="163">
        <v>5.5382790062543652E-3</v>
      </c>
      <c r="BQ64" s="163">
        <v>6.8423595139722293E-2</v>
      </c>
      <c r="BR64" s="163">
        <v>3.4172681803891214E-2</v>
      </c>
      <c r="BS64" s="163">
        <v>4.5866720860432197E-2</v>
      </c>
      <c r="BT64" s="163">
        <v>4.0523663242880259E-2</v>
      </c>
      <c r="BU64" s="163">
        <v>5.6440474412056796E-2</v>
      </c>
      <c r="BV64" s="163">
        <v>2.0995320503588211E-2</v>
      </c>
    </row>
    <row r="65" spans="1:74" s="96" customFormat="1" ht="15" customHeight="1">
      <c r="A65" t="s">
        <v>307</v>
      </c>
      <c r="B65" s="9" t="str">
        <f>IF('Sumário | Summary'!P1=1,"Custo de Ocupação (% das vendas)","Occupancy Cost (% of sales)")</f>
        <v>Custo de Ocupação (% das vendas)</v>
      </c>
      <c r="C65" s="48" t="s">
        <v>18</v>
      </c>
      <c r="D65" s="48" t="s">
        <v>18</v>
      </c>
      <c r="E65" s="48" t="s">
        <v>18</v>
      </c>
      <c r="F65" s="48" t="s">
        <v>18</v>
      </c>
      <c r="G65" s="48" t="s">
        <v>18</v>
      </c>
      <c r="H65" s="48">
        <v>0.15441025888551688</v>
      </c>
      <c r="I65" s="48">
        <v>0.13853190157939368</v>
      </c>
      <c r="J65" s="48">
        <v>0.14013385457452601</v>
      </c>
      <c r="K65" s="48">
        <v>0.11569603768424541</v>
      </c>
      <c r="L65" s="48">
        <v>0.13459100625062237</v>
      </c>
      <c r="M65" s="48">
        <v>0.17063377944857391</v>
      </c>
      <c r="N65" s="48">
        <v>0.14987228687475279</v>
      </c>
      <c r="O65" s="48">
        <v>0.14494486918954363</v>
      </c>
      <c r="P65" s="48">
        <v>0.11663644776216654</v>
      </c>
      <c r="Q65" s="48">
        <v>0.14125127108063598</v>
      </c>
      <c r="R65" s="99">
        <v>0.14000000000000001</v>
      </c>
      <c r="S65" s="99">
        <v>0.15041614829426758</v>
      </c>
      <c r="T65" s="99">
        <v>0.15117202966282237</v>
      </c>
      <c r="U65" s="99">
        <v>0.12734047572052717</v>
      </c>
      <c r="V65" s="99">
        <v>0.12734047572052717</v>
      </c>
      <c r="W65" s="99">
        <v>0.13879717241638742</v>
      </c>
      <c r="X65" s="99">
        <v>0.12639943610649162</v>
      </c>
      <c r="Y65" s="99">
        <v>0.13090943835090901</v>
      </c>
      <c r="Z65" s="99">
        <v>0.11692840331409804</v>
      </c>
      <c r="AA65" s="99">
        <v>0.12708982126624355</v>
      </c>
      <c r="AB65" s="99">
        <v>0.1328574689168304</v>
      </c>
      <c r="AC65" s="99">
        <v>0.11799999999999999</v>
      </c>
      <c r="AD65" s="99">
        <v>0.12034326126255311</v>
      </c>
      <c r="AE65" s="99">
        <v>0.11129300484031378</v>
      </c>
      <c r="AF65" s="99">
        <v>0.11961236396662049</v>
      </c>
      <c r="AG65" s="99">
        <v>0.12843330224851937</v>
      </c>
      <c r="AH65" s="99">
        <v>0.11799999999999999</v>
      </c>
      <c r="AI65" s="99">
        <v>0.11746611525488741</v>
      </c>
      <c r="AJ65" s="99">
        <v>0.10761275964847347</v>
      </c>
      <c r="AK65" s="99">
        <v>0.1168410584522087</v>
      </c>
      <c r="AL65" s="99">
        <v>0.12226074952912679</v>
      </c>
      <c r="AM65" s="99">
        <v>0.11292251006737461</v>
      </c>
      <c r="AN65" s="99">
        <v>0.11501566126127517</v>
      </c>
      <c r="AO65" s="99">
        <v>0.10433378321205491</v>
      </c>
      <c r="AP65" s="99">
        <v>0.11089617329558167</v>
      </c>
      <c r="AQ65" s="99">
        <v>0.1324601208333763</v>
      </c>
      <c r="AR65" s="99">
        <v>0.63725634632229289</v>
      </c>
      <c r="AS65" s="99">
        <v>0.17564728263327783</v>
      </c>
      <c r="AT65" s="99">
        <v>0.12808975345408016</v>
      </c>
      <c r="AU65" s="163">
        <v>0.1641504621053024</v>
      </c>
      <c r="AV65" s="163">
        <v>0.21447006464924886</v>
      </c>
      <c r="AW65" s="163">
        <v>0.1623534162196939</v>
      </c>
      <c r="AX65" s="163">
        <v>0.13735529865366433</v>
      </c>
      <c r="AY65" s="174">
        <v>0.118632699171571</v>
      </c>
      <c r="AZ65" s="174">
        <v>0.14559974232323009</v>
      </c>
      <c r="BA65" s="174">
        <v>0.14358446212043163</v>
      </c>
      <c r="BB65" s="163">
        <v>0.11929177854394862</v>
      </c>
      <c r="BC65" s="163">
        <v>0.12656429829178881</v>
      </c>
      <c r="BD65" s="163">
        <v>0.11632656675701368</v>
      </c>
      <c r="BE65" s="163">
        <v>0.12499903348053755</v>
      </c>
      <c r="BF65" s="163">
        <v>0.13360951127404325</v>
      </c>
      <c r="BG65" s="163">
        <v>0.11875836696482331</v>
      </c>
      <c r="BH65" s="163">
        <v>0.12036851240972159</v>
      </c>
      <c r="BI65" s="163">
        <v>0.1116643556433537</v>
      </c>
      <c r="BJ65" s="163">
        <v>0.12011008701392857</v>
      </c>
      <c r="BK65" s="163">
        <v>0.12679417239761223</v>
      </c>
      <c r="BL65" s="163">
        <v>0.1177944503899315</v>
      </c>
      <c r="BM65" s="163">
        <v>0.12013567870366179</v>
      </c>
      <c r="BN65" s="163">
        <v>0.10850760896815358</v>
      </c>
      <c r="BO65" s="163">
        <v>0.11835490974218238</v>
      </c>
      <c r="BP65" s="163">
        <v>0.12668797213965591</v>
      </c>
      <c r="BQ65" s="163">
        <v>0.11570969905826847</v>
      </c>
      <c r="BR65" s="163">
        <v>0.1221438213280199</v>
      </c>
      <c r="BS65" s="163">
        <v>0.10996373738633634</v>
      </c>
      <c r="BT65" s="163">
        <v>0.11830930614799924</v>
      </c>
      <c r="BU65" s="163">
        <v>0.12762569551719194</v>
      </c>
      <c r="BV65" s="163">
        <v>0.11469716307660882</v>
      </c>
    </row>
    <row r="66" spans="1:74" s="96" customFormat="1" ht="15" customHeight="1">
      <c r="A66" t="s">
        <v>308</v>
      </c>
      <c r="B66" s="9" t="str">
        <f>IF('Sumário | Summary'!P1=1,"Taxa de Ocupação Física (%)","Physical Occupancy Rate")</f>
        <v>Taxa de Ocupação Física (%)</v>
      </c>
      <c r="C66" s="99">
        <v>0.995</v>
      </c>
      <c r="D66" s="99">
        <v>0.97</v>
      </c>
      <c r="E66" s="99">
        <v>0.98299999999999998</v>
      </c>
      <c r="F66" s="99">
        <v>0.98599999999999999</v>
      </c>
      <c r="G66" s="99">
        <v>0.98599999999999999</v>
      </c>
      <c r="H66" s="99">
        <v>0.97699999999999998</v>
      </c>
      <c r="I66" s="99">
        <v>0.96899999999999997</v>
      </c>
      <c r="J66" s="99">
        <v>0.98799999999999999</v>
      </c>
      <c r="K66" s="99">
        <v>0.97</v>
      </c>
      <c r="L66" s="99">
        <v>0.97</v>
      </c>
      <c r="M66" s="99">
        <v>0.96699999999999997</v>
      </c>
      <c r="N66" s="99">
        <v>0.95499999999999996</v>
      </c>
      <c r="O66" s="99">
        <v>0.94899999999999995</v>
      </c>
      <c r="P66" s="99">
        <v>0.95699999999999996</v>
      </c>
      <c r="Q66" s="99">
        <v>0.95699999999999996</v>
      </c>
      <c r="R66" s="99">
        <v>0.95899999999999996</v>
      </c>
      <c r="S66" s="99">
        <v>0.95799999999999996</v>
      </c>
      <c r="T66" s="99">
        <v>0.95299999999999996</v>
      </c>
      <c r="U66" s="99">
        <v>0.95699999999999996</v>
      </c>
      <c r="V66" s="99">
        <v>0.95699999999999996</v>
      </c>
      <c r="W66" s="99">
        <v>0.94199999999999995</v>
      </c>
      <c r="X66" s="99">
        <v>0.90200000000000002</v>
      </c>
      <c r="Y66" s="99">
        <v>0.90600000000000003</v>
      </c>
      <c r="Z66" s="99">
        <v>0.92700000000000005</v>
      </c>
      <c r="AA66" s="99">
        <v>0.92700000000000005</v>
      </c>
      <c r="AB66" s="99">
        <v>0.91986953121965787</v>
      </c>
      <c r="AC66" s="99">
        <v>0.91892906842225186</v>
      </c>
      <c r="AD66" s="99">
        <v>0.93297822390398621</v>
      </c>
      <c r="AE66" s="99">
        <v>0.93791265423326364</v>
      </c>
      <c r="AF66" s="99">
        <v>0.93791265423326364</v>
      </c>
      <c r="AG66" s="99">
        <v>0.92910549445800961</v>
      </c>
      <c r="AH66" s="99">
        <v>0.93557858189751786</v>
      </c>
      <c r="AI66" s="99">
        <v>0.94567067272771932</v>
      </c>
      <c r="AJ66" s="99">
        <v>0.94168489538140909</v>
      </c>
      <c r="AK66" s="99">
        <v>0.94168489538140909</v>
      </c>
      <c r="AL66" s="99">
        <v>0.94134902802254961</v>
      </c>
      <c r="AM66" s="99">
        <v>0.94746263389037877</v>
      </c>
      <c r="AN66" s="99">
        <v>0.95256433047042144</v>
      </c>
      <c r="AO66" s="99">
        <v>0.95101305187786689</v>
      </c>
      <c r="AP66" s="99">
        <v>0.95101305187786689</v>
      </c>
      <c r="AQ66" s="99">
        <v>0.9472262196906106</v>
      </c>
      <c r="AR66" s="99">
        <v>0.93751401648271648</v>
      </c>
      <c r="AS66" s="99">
        <v>0.92496308515261993</v>
      </c>
      <c r="AT66" s="99">
        <v>0.92425861585691271</v>
      </c>
      <c r="AU66" s="163">
        <v>0.92425861585691271</v>
      </c>
      <c r="AV66" s="163">
        <v>0.92303441708486722</v>
      </c>
      <c r="AW66" s="163">
        <v>0.9147285140449154</v>
      </c>
      <c r="AX66" s="163">
        <v>0.92303441708486722</v>
      </c>
      <c r="AY66" s="174">
        <v>0.92301601801800681</v>
      </c>
      <c r="AZ66" s="174">
        <v>0.92301601801800681</v>
      </c>
      <c r="BA66" s="174">
        <v>0.92303441708486722</v>
      </c>
      <c r="BB66" s="163">
        <v>0.92683516179253878</v>
      </c>
      <c r="BC66" s="163">
        <v>0.9343370773834262</v>
      </c>
      <c r="BD66" s="163">
        <v>0.95152396545461848</v>
      </c>
      <c r="BE66" s="163">
        <v>0.95152396545461848</v>
      </c>
      <c r="BF66" s="163">
        <v>0.94943171376180746</v>
      </c>
      <c r="BG66" s="163">
        <v>0.9418851385126743</v>
      </c>
      <c r="BH66" s="163">
        <v>0.95413610965321349</v>
      </c>
      <c r="BI66" s="163">
        <v>0.95766704629686172</v>
      </c>
      <c r="BJ66" s="163">
        <v>0.95766704629686172</v>
      </c>
      <c r="BK66" s="163">
        <v>0.94856361724869409</v>
      </c>
      <c r="BL66" s="163">
        <v>0.95982120181787889</v>
      </c>
      <c r="BM66" s="163">
        <v>0.93400726753251784</v>
      </c>
      <c r="BN66" s="163">
        <v>0.94822405531232812</v>
      </c>
      <c r="BO66" s="163">
        <v>0.94822405531232812</v>
      </c>
      <c r="BP66" s="163">
        <v>0.95171798221173498</v>
      </c>
      <c r="BQ66" s="163">
        <v>0.94356002772486836</v>
      </c>
      <c r="BR66" s="163">
        <v>0.94347609052965731</v>
      </c>
      <c r="BS66" s="163">
        <v>0.9595859442064667</v>
      </c>
      <c r="BT66" s="163">
        <v>0.95958594420646703</v>
      </c>
      <c r="BU66" s="163">
        <v>0.973166676925727</v>
      </c>
      <c r="BV66" s="163">
        <v>0.9615223284568708</v>
      </c>
    </row>
    <row r="67" spans="1:74" s="96" customFormat="1" ht="15" customHeight="1">
      <c r="A67" t="s">
        <v>309</v>
      </c>
      <c r="B67" s="9" t="str">
        <f>IF('Sumário | Summary'!P1=1,"Taxa de Ocupação Financeira (%)","Financial Occupancy Rate")</f>
        <v>Taxa de Ocupação Financeira (%)</v>
      </c>
      <c r="C67" s="99">
        <v>0.99</v>
      </c>
      <c r="D67" s="99">
        <v>0.96899999999999997</v>
      </c>
      <c r="E67" s="99">
        <v>0.99</v>
      </c>
      <c r="F67" s="99">
        <v>0.98599999999999999</v>
      </c>
      <c r="G67" s="99">
        <v>0.98599999999999999</v>
      </c>
      <c r="H67" s="99">
        <v>0.97799999999999998</v>
      </c>
      <c r="I67" s="99">
        <v>0.96899999999999997</v>
      </c>
      <c r="J67" s="99">
        <v>0.98799999999999999</v>
      </c>
      <c r="K67" s="99">
        <v>0.96961996216955737</v>
      </c>
      <c r="L67" s="99">
        <v>0.96961996216955737</v>
      </c>
      <c r="M67" s="99">
        <v>0.96719590528295252</v>
      </c>
      <c r="N67" s="99">
        <v>0.95522997499864859</v>
      </c>
      <c r="O67" s="99">
        <v>0.92843237458180072</v>
      </c>
      <c r="P67" s="99">
        <v>0.94260489577256301</v>
      </c>
      <c r="Q67" s="99">
        <v>0.94260489577256301</v>
      </c>
      <c r="R67" s="99">
        <v>0.92200000000000004</v>
      </c>
      <c r="S67" s="99">
        <v>0.92200597987122968</v>
      </c>
      <c r="T67" s="99">
        <v>0.91900000000000004</v>
      </c>
      <c r="U67" s="99">
        <v>0.92659159367050858</v>
      </c>
      <c r="V67" s="99">
        <v>0.92659159367050858</v>
      </c>
      <c r="W67" s="99">
        <v>0.92659159367050858</v>
      </c>
      <c r="X67" s="99">
        <v>0.89127162596025467</v>
      </c>
      <c r="Y67" s="99">
        <v>0.89600000000000002</v>
      </c>
      <c r="Z67" s="99">
        <v>0.90539999999999998</v>
      </c>
      <c r="AA67" s="99">
        <v>0.90539999999999998</v>
      </c>
      <c r="AB67" s="99">
        <v>0.89600000000000002</v>
      </c>
      <c r="AC67" s="99">
        <v>0.9</v>
      </c>
      <c r="AD67" s="99">
        <v>0.91600000000000004</v>
      </c>
      <c r="AE67" s="99">
        <v>0.92142398159900796</v>
      </c>
      <c r="AF67" s="99">
        <v>0.92142398159900796</v>
      </c>
      <c r="AG67" s="99">
        <v>0.93500000000000005</v>
      </c>
      <c r="AH67" s="99">
        <v>0.94623576728565539</v>
      </c>
      <c r="AI67" s="99">
        <v>0.95062529582591115</v>
      </c>
      <c r="AJ67" s="99">
        <v>0.94983089971686296</v>
      </c>
      <c r="AK67" s="99">
        <v>0.94983089971686296</v>
      </c>
      <c r="AL67" s="99">
        <v>0.94044278558193872</v>
      </c>
      <c r="AM67" s="99">
        <v>0.94061205749574173</v>
      </c>
      <c r="AN67" s="99">
        <v>0.94818638997648452</v>
      </c>
      <c r="AO67" s="99">
        <v>0.94813804157935311</v>
      </c>
      <c r="AP67" s="99">
        <v>0.94813804157935311</v>
      </c>
      <c r="AQ67" s="99">
        <v>0.9508109335592454</v>
      </c>
      <c r="AR67" s="99">
        <v>0.9338653359502006</v>
      </c>
      <c r="AS67" s="99">
        <v>0.92608958654877127</v>
      </c>
      <c r="AT67" s="99">
        <v>0.9308687898684912</v>
      </c>
      <c r="AU67" s="163">
        <v>0.9308687898684912</v>
      </c>
      <c r="AV67" s="163">
        <v>0.92265355365979052</v>
      </c>
      <c r="AW67" s="163">
        <v>0.91806799164384045</v>
      </c>
      <c r="AX67" s="163">
        <v>0.92265355365979052</v>
      </c>
      <c r="AY67" s="174">
        <v>0.92468800716505251</v>
      </c>
      <c r="AZ67" s="174">
        <v>0.90662324579800169</v>
      </c>
      <c r="BA67" s="174">
        <v>0.92265355365979052</v>
      </c>
      <c r="BB67" s="163">
        <v>0.91922238337833528</v>
      </c>
      <c r="BC67" s="163">
        <v>0.92213723968746175</v>
      </c>
      <c r="BD67" s="163">
        <v>0.9445258900514274</v>
      </c>
      <c r="BE67" s="163">
        <v>0.9445258900514274</v>
      </c>
      <c r="BF67" s="163">
        <v>0.94416439621943593</v>
      </c>
      <c r="BG67" s="163">
        <v>0.93515231133278731</v>
      </c>
      <c r="BH67" s="163">
        <v>0.94243020458426507</v>
      </c>
      <c r="BI67" s="163">
        <v>0.94761914540130543</v>
      </c>
      <c r="BJ67" s="163">
        <v>0.94761914540130543</v>
      </c>
      <c r="BK67" s="163">
        <v>0.94131344742241874</v>
      </c>
      <c r="BL67" s="163">
        <v>0.95720016834812449</v>
      </c>
      <c r="BM67" s="163">
        <v>0.94965811982441983</v>
      </c>
      <c r="BN67" s="163">
        <v>0.95222459870682552</v>
      </c>
      <c r="BO67" s="163">
        <v>0.95222459870682552</v>
      </c>
      <c r="BP67" s="163">
        <v>0.94954280030727101</v>
      </c>
      <c r="BQ67" s="163">
        <v>0.95160397631104832</v>
      </c>
      <c r="BR67" s="163">
        <v>0.95269576843786852</v>
      </c>
      <c r="BS67" s="163">
        <v>0.96510421692996629</v>
      </c>
      <c r="BT67" s="163">
        <v>0.96510421692996595</v>
      </c>
      <c r="BU67" s="163">
        <v>0.96698572856682652</v>
      </c>
      <c r="BV67" s="163">
        <v>0.95684814202231827</v>
      </c>
    </row>
    <row r="68" spans="1:74" s="96" customFormat="1" ht="15" customHeight="1">
      <c r="A68" t="s">
        <v>310</v>
      </c>
      <c r="B68" s="9" t="str">
        <f>IF('Sumário | Summary'!P1=1,"Inadimplência líquida (%)","Net Default")</f>
        <v>Inadimplência líquida (%)</v>
      </c>
      <c r="C68" s="48">
        <v>6.3446944795405948E-5</v>
      </c>
      <c r="D68" s="48">
        <v>-1.8373262823806894E-3</v>
      </c>
      <c r="E68" s="48">
        <v>4.4107664777989226E-2</v>
      </c>
      <c r="F68" s="48">
        <v>1.2639856652241654E-2</v>
      </c>
      <c r="G68" s="48">
        <v>1.6717375515167929E-2</v>
      </c>
      <c r="H68" s="48">
        <v>3.064182438599922E-2</v>
      </c>
      <c r="I68" s="48">
        <v>2.3365230513745106E-2</v>
      </c>
      <c r="J68" s="48">
        <v>1.4036190002638709E-2</v>
      </c>
      <c r="K68" s="48">
        <v>1.0199457330800773E-2</v>
      </c>
      <c r="L68" s="48">
        <v>1.9813254610476349E-2</v>
      </c>
      <c r="M68" s="48">
        <v>5.0532470545629649E-2</v>
      </c>
      <c r="N68" s="48">
        <v>4.9401616377818848E-2</v>
      </c>
      <c r="O68" s="48">
        <v>2.559636851829462E-2</v>
      </c>
      <c r="P68" s="99">
        <v>1.6247780489484703E-2</v>
      </c>
      <c r="Q68" s="99">
        <v>3.5399301724702917E-2</v>
      </c>
      <c r="R68" s="99">
        <v>7.9000000000000001E-2</v>
      </c>
      <c r="S68" s="99">
        <v>5.2924527367774005E-2</v>
      </c>
      <c r="T68" s="99">
        <v>3.0840649526738262E-2</v>
      </c>
      <c r="U68" s="99">
        <v>2.2065564922835738E-2</v>
      </c>
      <c r="V68" s="99">
        <v>2.2065564922835738E-2</v>
      </c>
      <c r="W68" s="99">
        <v>5.6097789235478354E-2</v>
      </c>
      <c r="X68" s="99">
        <v>3.8203536881908272E-2</v>
      </c>
      <c r="Y68" s="99">
        <v>3.0738218168385161E-2</v>
      </c>
      <c r="Z68" s="99">
        <v>3.1318752024554697E-2</v>
      </c>
      <c r="AA68" s="99">
        <v>3.9816464205255864E-2</v>
      </c>
      <c r="AB68" s="99">
        <v>5.1549172269938048E-2</v>
      </c>
      <c r="AC68" s="99">
        <v>1.6556366698077252E-2</v>
      </c>
      <c r="AD68" s="99">
        <v>7.3359976954346928E-3</v>
      </c>
      <c r="AE68" s="99">
        <v>1.2147640477296551E-2</v>
      </c>
      <c r="AF68" s="99">
        <v>2.351953710864918E-2</v>
      </c>
      <c r="AG68" s="99">
        <v>4.7213097422773354E-2</v>
      </c>
      <c r="AH68" s="99">
        <v>2.3538702546541002E-2</v>
      </c>
      <c r="AI68" s="99">
        <v>1.4286809962313241E-2</v>
      </c>
      <c r="AJ68" s="99">
        <v>4.7608519706683339E-3</v>
      </c>
      <c r="AK68" s="99">
        <v>2.3586999165056688E-2</v>
      </c>
      <c r="AL68" s="99">
        <v>3.2312980731915616E-2</v>
      </c>
      <c r="AM68" s="99">
        <v>4.9728953161738924E-3</v>
      </c>
      <c r="AN68" s="99">
        <v>1.7416340145349339E-2</v>
      </c>
      <c r="AO68" s="99">
        <v>-1.8325421815240054E-3</v>
      </c>
      <c r="AP68" s="99">
        <v>1.4251743404439021E-2</v>
      </c>
      <c r="AQ68" s="99">
        <v>4.6192981409242606E-2</v>
      </c>
      <c r="AR68" s="99">
        <v>5.725085554970615E-3</v>
      </c>
      <c r="AS68" s="99">
        <v>0.10624361200631294</v>
      </c>
      <c r="AT68" s="99">
        <v>5.5556186066665951E-2</v>
      </c>
      <c r="AU68" s="163">
        <v>5.2759166430050408E-2</v>
      </c>
      <c r="AV68" s="163">
        <v>0.17176102211540467</v>
      </c>
      <c r="AW68" s="163">
        <v>9.7617072264351568E-2</v>
      </c>
      <c r="AX68" s="163">
        <v>-2.8447965748809922E-2</v>
      </c>
      <c r="AY68" s="174">
        <v>-1.7473669291911964E-3</v>
      </c>
      <c r="AZ68" s="174">
        <v>5.1411817978261221E-2</v>
      </c>
      <c r="BA68" s="174">
        <v>3.0466575954839703E-2</v>
      </c>
      <c r="BB68" s="163">
        <v>-1.2367937602997703E-2</v>
      </c>
      <c r="BC68" s="163">
        <v>3.423529386271329E-3</v>
      </c>
      <c r="BD68" s="163">
        <v>-5.5294695290784013E-3</v>
      </c>
      <c r="BE68" s="163">
        <v>4.8640468428989836E-3</v>
      </c>
      <c r="BF68" s="163">
        <v>3.4167910066470242E-2</v>
      </c>
      <c r="BG68" s="163">
        <v>-3.073020529259729E-3</v>
      </c>
      <c r="BH68" s="163">
        <v>1.7681544369021029E-2</v>
      </c>
      <c r="BI68" s="163">
        <v>-7.3035673428569758E-3</v>
      </c>
      <c r="BJ68" s="163">
        <v>1.1269455958643371E-2</v>
      </c>
      <c r="BK68" s="163">
        <v>3.6487381584644485E-2</v>
      </c>
      <c r="BL68" s="163">
        <v>6.2412363374059199E-3</v>
      </c>
      <c r="BM68" s="163">
        <v>1.6227661405791571E-2</v>
      </c>
      <c r="BN68" s="163">
        <v>-1.7884341144607019E-2</v>
      </c>
      <c r="BO68" s="163">
        <v>1.233641751515191E-2</v>
      </c>
      <c r="BP68" s="163">
        <v>2.9893820613604127E-2</v>
      </c>
      <c r="BQ68" s="163">
        <v>3.7159325789309916E-3</v>
      </c>
      <c r="BR68" s="163">
        <v>1.5326187984635475E-2</v>
      </c>
      <c r="BS68" s="163">
        <v>6.5971910729302197E-3</v>
      </c>
      <c r="BT68" s="163">
        <v>1.3332441422696073E-2</v>
      </c>
      <c r="BU68" s="163">
        <v>3.3882401110916782E-2</v>
      </c>
      <c r="BV68" s="163">
        <v>1.1062220949835888E-2</v>
      </c>
    </row>
    <row r="69" spans="1:74" s="96" customFormat="1" ht="15" customHeight="1">
      <c r="A69" t="s">
        <v>311</v>
      </c>
      <c r="B69" s="9" t="s">
        <v>311</v>
      </c>
      <c r="C69" s="48" t="s">
        <v>18</v>
      </c>
      <c r="D69" s="48" t="s">
        <v>18</v>
      </c>
      <c r="E69" s="48" t="s">
        <v>18</v>
      </c>
      <c r="F69" s="48" t="s">
        <v>18</v>
      </c>
      <c r="G69" s="48" t="s">
        <v>18</v>
      </c>
      <c r="H69" s="48" t="s">
        <v>18</v>
      </c>
      <c r="I69" s="48" t="s">
        <v>18</v>
      </c>
      <c r="J69" s="48" t="s">
        <v>18</v>
      </c>
      <c r="K69" s="48" t="s">
        <v>18</v>
      </c>
      <c r="L69" s="48" t="s">
        <v>18</v>
      </c>
      <c r="M69" s="48" t="s">
        <v>18</v>
      </c>
      <c r="N69" s="48" t="s">
        <v>18</v>
      </c>
      <c r="O69" s="48" t="s">
        <v>18</v>
      </c>
      <c r="P69" s="48" t="s">
        <v>18</v>
      </c>
      <c r="Q69" s="48" t="s">
        <v>18</v>
      </c>
      <c r="R69" s="48" t="s">
        <v>18</v>
      </c>
      <c r="S69" s="48" t="s">
        <v>18</v>
      </c>
      <c r="T69" s="48" t="s">
        <v>18</v>
      </c>
      <c r="U69" s="48" t="s">
        <v>18</v>
      </c>
      <c r="V69" s="48" t="s">
        <v>18</v>
      </c>
      <c r="W69" s="48" t="s">
        <v>18</v>
      </c>
      <c r="X69" s="48" t="s">
        <v>18</v>
      </c>
      <c r="Y69" s="48" t="s">
        <v>18</v>
      </c>
      <c r="Z69" s="48" t="s">
        <v>18</v>
      </c>
      <c r="AA69" s="48" t="s">
        <v>18</v>
      </c>
      <c r="AB69" s="48" t="s">
        <v>18</v>
      </c>
      <c r="AC69" s="48" t="s">
        <v>18</v>
      </c>
      <c r="AD69" s="48" t="s">
        <v>18</v>
      </c>
      <c r="AE69" s="48" t="s">
        <v>18</v>
      </c>
      <c r="AF69" s="48" t="s">
        <v>18</v>
      </c>
      <c r="AG69" s="48" t="s">
        <v>18</v>
      </c>
      <c r="AH69" s="48" t="s">
        <v>18</v>
      </c>
      <c r="AI69" s="48" t="s">
        <v>18</v>
      </c>
      <c r="AJ69" s="48" t="s">
        <v>18</v>
      </c>
      <c r="AK69" s="48" t="s">
        <v>18</v>
      </c>
      <c r="AL69" s="99">
        <v>3.7082428145531854E-3</v>
      </c>
      <c r="AM69" s="99">
        <v>8.6108251752922624E-3</v>
      </c>
      <c r="AN69" s="99">
        <v>3.0778989053377409E-3</v>
      </c>
      <c r="AO69" s="99">
        <v>2.6559527414963323E-3</v>
      </c>
      <c r="AP69" s="99">
        <v>4.5037812132252275E-3</v>
      </c>
      <c r="AQ69" s="99">
        <v>2.2911663178862324E-3</v>
      </c>
      <c r="AR69" s="99">
        <v>2.6310715469764789E-3</v>
      </c>
      <c r="AS69" s="99">
        <v>5.3643458007781126E-3</v>
      </c>
      <c r="AT69" s="99">
        <v>7.3784405642785909E-3</v>
      </c>
      <c r="AU69" s="163">
        <v>4.3935852110093742E-3</v>
      </c>
      <c r="AV69" s="163">
        <v>9.502224226397564E-3</v>
      </c>
      <c r="AW69" s="163">
        <v>3.1113724661483225E-3</v>
      </c>
      <c r="AX69" s="163">
        <v>8.8914811077884775E-3</v>
      </c>
      <c r="AY69" s="174">
        <v>7.244859688022744E-3</v>
      </c>
      <c r="AZ69" s="174">
        <v>7.2017720273455776E-3</v>
      </c>
      <c r="BA69" s="174">
        <v>2.5483067256527651E-3</v>
      </c>
      <c r="BB69" s="163">
        <v>1.989339591633241E-2</v>
      </c>
      <c r="BC69" s="163">
        <v>7.0043002428651843E-3</v>
      </c>
      <c r="BD69" s="163">
        <v>0</v>
      </c>
      <c r="BE69" s="163">
        <v>1.0937253251250091E-2</v>
      </c>
      <c r="BF69" s="163">
        <v>6.2776359411206772E-3</v>
      </c>
      <c r="BG69" s="163">
        <v>8.9285479558861239E-3</v>
      </c>
      <c r="BH69" s="163">
        <v>6.1208019313108014E-3</v>
      </c>
      <c r="BI69" s="163">
        <v>1.3931691021221862E-3</v>
      </c>
      <c r="BJ69" s="163">
        <v>5.6615611576119607E-3</v>
      </c>
      <c r="BK69" s="163">
        <v>4.3187899007810253E-3</v>
      </c>
      <c r="BL69" s="163">
        <v>5.9803924822867238E-3</v>
      </c>
      <c r="BM69" s="163">
        <v>1.270939099957865E-2</v>
      </c>
      <c r="BN69" s="163">
        <v>9.9767854021720961E-3</v>
      </c>
      <c r="BO69" s="163">
        <v>9.4424936474685681E-3</v>
      </c>
      <c r="BP69" s="163">
        <v>7.6678879755182651E-3</v>
      </c>
      <c r="BQ69" s="163">
        <v>4.1270170097910683E-3</v>
      </c>
      <c r="BR69" s="163">
        <v>1.4057229963674678E-3</v>
      </c>
      <c r="BS69" s="163">
        <v>2.6691554537533321E-3</v>
      </c>
      <c r="BT69" s="163">
        <v>4.4196099805839575E-3</v>
      </c>
      <c r="BU69" s="163">
        <v>1.6866208224977448E-3</v>
      </c>
      <c r="BV69" s="163">
        <v>3.3559515498026893E-3</v>
      </c>
    </row>
    <row r="72" spans="1:74">
      <c r="AW72" s="155"/>
    </row>
  </sheetData>
  <dataConsolidate/>
  <phoneticPr fontId="158" type="noConversion"/>
  <conditionalFormatting sqref="C61:AO69 AQ61:AT69 AV61:AW69">
    <cfRule type="cellIs" dxfId="8" priority="679" operator="equal">
      <formula>""</formula>
    </cfRule>
  </conditionalFormatting>
  <conditionalFormatting sqref="AP62:AP69">
    <cfRule type="cellIs" dxfId="7" priority="1" operator="equal">
      <formula>""</formula>
    </cfRule>
  </conditionalFormatting>
  <conditionalFormatting sqref="AU62:AU69">
    <cfRule type="cellIs" dxfId="6" priority="2" operator="equal">
      <formula>""</formula>
    </cfRule>
  </conditionalFormatting>
  <conditionalFormatting sqref="AX62:AZ69">
    <cfRule type="cellIs" dxfId="5" priority="3" operator="equal">
      <formula>""</formula>
    </cfRule>
  </conditionalFormatting>
  <conditionalFormatting sqref="BA61:BB69">
    <cfRule type="cellIs" dxfId="4" priority="677" operator="equal">
      <formula>""</formula>
    </cfRule>
  </conditionalFormatting>
  <conditionalFormatting sqref="BC62:BC69">
    <cfRule type="cellIs" dxfId="3" priority="680" operator="equal">
      <formula>""</formula>
    </cfRule>
  </conditionalFormatting>
  <conditionalFormatting sqref="BD62:BH65">
    <cfRule type="cellIs" dxfId="2" priority="4" operator="equal">
      <formula>""</formula>
    </cfRule>
  </conditionalFormatting>
  <pageMargins left="0.25" right="0.25" top="0.75" bottom="0.75" header="0.3" footer="0.3"/>
  <pageSetup paperSize="9" scale="87" orientation="landscape" r:id="rId1"/>
  <ignoredErrors>
    <ignoredError sqref="BJ5"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dimension ref="A1:BE67"/>
  <sheetViews>
    <sheetView showGridLines="0" showRowColHeaders="0" zoomScaleNormal="100" workbookViewId="0">
      <pane xSplit="2" ySplit="5" topLeftCell="AX6" activePane="bottomRight" state="frozen"/>
      <selection activeCell="B1" sqref="B1"/>
      <selection pane="topRight" activeCell="B1" sqref="B1"/>
      <selection pane="bottomLeft" activeCell="B1" sqref="B1"/>
      <selection pane="bottomRight" activeCell="B1" sqref="B1"/>
    </sheetView>
  </sheetViews>
  <sheetFormatPr defaultRowHeight="14.4" outlineLevelCol="1"/>
  <cols>
    <col min="1" max="1" width="27.44140625" hidden="1" customWidth="1"/>
    <col min="2" max="2" width="58.44140625" customWidth="1"/>
    <col min="3" max="14" width="15.109375" hidden="1" customWidth="1" outlineLevel="1"/>
    <col min="15" max="18" width="15.109375" style="2" hidden="1" customWidth="1" outlineLevel="1"/>
    <col min="19" max="19" width="15.109375" hidden="1" customWidth="1" outlineLevel="1"/>
    <col min="20" max="20" width="15.109375" customWidth="1" collapsed="1"/>
    <col min="21" max="22" width="15.109375" customWidth="1"/>
    <col min="23" max="24" width="15.109375" style="2" customWidth="1"/>
    <col min="25" max="28" width="17.88671875" style="2" bestFit="1" customWidth="1"/>
    <col min="29" max="30" width="17.88671875" bestFit="1" customWidth="1"/>
    <col min="31" max="31" width="17.44140625" bestFit="1" customWidth="1"/>
    <col min="32" max="57" width="17.5546875" bestFit="1" customWidth="1"/>
  </cols>
  <sheetData>
    <row r="1" spans="1:57">
      <c r="B1" s="108" t="s">
        <v>42</v>
      </c>
      <c r="O1"/>
      <c r="P1"/>
      <c r="Q1"/>
      <c r="R1"/>
      <c r="W1"/>
      <c r="X1"/>
      <c r="Y1"/>
      <c r="Z1"/>
      <c r="AA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row>
    <row r="2" spans="1:57">
      <c r="B2" s="108" t="s">
        <v>41</v>
      </c>
      <c r="O2"/>
      <c r="P2"/>
      <c r="Q2"/>
      <c r="R2"/>
      <c r="W2"/>
      <c r="X2"/>
      <c r="Y2"/>
      <c r="Z2"/>
      <c r="AA2"/>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row>
    <row r="3" spans="1:57" s="223" customFormat="1">
      <c r="B3" s="224">
        <v>1</v>
      </c>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row>
    <row r="4" spans="1:57" ht="3" customHeight="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row>
    <row r="5" spans="1:57" s="7" customFormat="1" ht="18.75" customHeight="1">
      <c r="B5" s="183" t="str">
        <f>IF('Sumário | Summary'!P1=1,"Balanço Patrimonial - IFRS (R$ MM)","Balance Sheet - IFRS (R$ million)")</f>
        <v>Balanço Patrimonial - IFRS (R$ MM)</v>
      </c>
      <c r="C5" s="184" t="s">
        <v>81</v>
      </c>
      <c r="D5" s="184" t="s">
        <v>77</v>
      </c>
      <c r="E5" s="184" t="s">
        <v>76</v>
      </c>
      <c r="F5" s="184" t="s">
        <v>75</v>
      </c>
      <c r="G5" s="184" t="s">
        <v>74</v>
      </c>
      <c r="H5" s="184" t="s">
        <v>73</v>
      </c>
      <c r="I5" s="184" t="s">
        <v>72</v>
      </c>
      <c r="J5" s="184" t="s">
        <v>71</v>
      </c>
      <c r="K5" s="184" t="s">
        <v>70</v>
      </c>
      <c r="L5" s="184" t="s">
        <v>69</v>
      </c>
      <c r="M5" s="184" t="s">
        <v>68</v>
      </c>
      <c r="N5" s="184" t="s">
        <v>67</v>
      </c>
      <c r="O5" s="184" t="s">
        <v>66</v>
      </c>
      <c r="P5" s="184" t="s">
        <v>59</v>
      </c>
      <c r="Q5" s="184" t="s">
        <v>60</v>
      </c>
      <c r="R5" s="184" t="s">
        <v>61</v>
      </c>
      <c r="S5" s="182" t="s">
        <v>62</v>
      </c>
      <c r="T5" s="182" t="s">
        <v>55</v>
      </c>
      <c r="U5" s="182" t="s">
        <v>56</v>
      </c>
      <c r="V5" s="182" t="s">
        <v>57</v>
      </c>
      <c r="W5" s="182" t="s">
        <v>58</v>
      </c>
      <c r="X5" s="182" t="s">
        <v>54</v>
      </c>
      <c r="Y5" s="182" t="s">
        <v>53</v>
      </c>
      <c r="Z5" s="182" t="s">
        <v>52</v>
      </c>
      <c r="AA5" s="182" t="s">
        <v>51</v>
      </c>
      <c r="AB5" s="182" t="s">
        <v>43</v>
      </c>
      <c r="AC5" s="182" t="s">
        <v>44</v>
      </c>
      <c r="AD5" s="182" t="s">
        <v>46</v>
      </c>
      <c r="AE5" s="182" t="s">
        <v>47</v>
      </c>
      <c r="AF5" s="182" t="s">
        <v>50</v>
      </c>
      <c r="AG5" s="182" t="s">
        <v>63</v>
      </c>
      <c r="AH5" s="182" t="s">
        <v>64</v>
      </c>
      <c r="AI5" s="182" t="s">
        <v>65</v>
      </c>
      <c r="AJ5" s="182" t="s">
        <v>98</v>
      </c>
      <c r="AK5" s="182" t="s">
        <v>99</v>
      </c>
      <c r="AL5" s="182" t="s">
        <v>113</v>
      </c>
      <c r="AM5" s="182" t="s">
        <v>114</v>
      </c>
      <c r="AN5" s="182" t="s">
        <v>125</v>
      </c>
      <c r="AO5" s="182" t="s">
        <v>264</v>
      </c>
      <c r="AP5" s="182" t="s">
        <v>265</v>
      </c>
      <c r="AQ5" s="182" t="s">
        <v>271</v>
      </c>
      <c r="AR5" s="194" t="s">
        <v>283</v>
      </c>
      <c r="AS5" s="194" t="s">
        <v>286</v>
      </c>
      <c r="AT5" s="194" t="s">
        <v>288</v>
      </c>
      <c r="AU5" s="194" t="s">
        <v>312</v>
      </c>
      <c r="AV5" s="194" t="s">
        <v>318</v>
      </c>
      <c r="AW5" s="194" t="s">
        <v>320</v>
      </c>
      <c r="AX5" s="194" t="s">
        <v>328</v>
      </c>
      <c r="AY5" s="194" t="s">
        <v>330</v>
      </c>
      <c r="AZ5" s="194" t="s">
        <v>332</v>
      </c>
      <c r="BA5" s="194" t="s">
        <v>333</v>
      </c>
      <c r="BB5" s="194" t="s">
        <v>334</v>
      </c>
      <c r="BC5" s="194" t="s">
        <v>335</v>
      </c>
      <c r="BD5" s="194" t="s">
        <v>336</v>
      </c>
      <c r="BE5" s="194" t="s">
        <v>337</v>
      </c>
    </row>
    <row r="6" spans="1:57" ht="15" customHeight="1">
      <c r="A6" t="s">
        <v>115</v>
      </c>
      <c r="B6" s="20" t="str">
        <f>IF('Sumário | Summary'!P1=1,"ATIVOS","ASSETS")</f>
        <v>ATIVOS</v>
      </c>
      <c r="C6" s="6">
        <v>2143.2750000000001</v>
      </c>
      <c r="D6" s="6">
        <v>2385.2370000000001</v>
      </c>
      <c r="E6" s="6">
        <v>2455.1689999999999</v>
      </c>
      <c r="F6" s="6">
        <v>2770.3290000000002</v>
      </c>
      <c r="G6" s="6">
        <v>3123.3249999999998</v>
      </c>
      <c r="H6" s="6">
        <v>3593.3209999999999</v>
      </c>
      <c r="I6" s="6">
        <v>3755.99</v>
      </c>
      <c r="J6" s="6">
        <v>3892.1060000000002</v>
      </c>
      <c r="K6" s="6">
        <v>4353.5380000000005</v>
      </c>
      <c r="L6" s="6">
        <v>4293.8420000000006</v>
      </c>
      <c r="M6" s="6">
        <v>4310.8969999999999</v>
      </c>
      <c r="N6" s="6">
        <v>4839.5839999999998</v>
      </c>
      <c r="O6" s="6">
        <v>4856.183</v>
      </c>
      <c r="P6" s="6">
        <v>4656.232</v>
      </c>
      <c r="Q6" s="6">
        <v>4640.0110000000004</v>
      </c>
      <c r="R6" s="6">
        <v>4720.8610000000008</v>
      </c>
      <c r="S6" s="6">
        <v>4832.8989999999994</v>
      </c>
      <c r="T6" s="127">
        <f t="shared" ref="T6:AS6" si="0">T7+T18+T29</f>
        <v>4728.7190000000001</v>
      </c>
      <c r="U6" s="127">
        <f t="shared" si="0"/>
        <v>4756.2469999999994</v>
      </c>
      <c r="V6" s="127">
        <f t="shared" si="0"/>
        <v>3852.1019999999999</v>
      </c>
      <c r="W6" s="127">
        <f t="shared" si="0"/>
        <v>3639.4279999999999</v>
      </c>
      <c r="X6" s="127">
        <f t="shared" si="0"/>
        <v>3836.3679999999995</v>
      </c>
      <c r="Y6" s="127">
        <f t="shared" si="0"/>
        <v>3780.3959999999997</v>
      </c>
      <c r="Z6" s="127">
        <f t="shared" si="0"/>
        <v>3753.7060000000001</v>
      </c>
      <c r="AA6" s="127">
        <f t="shared" si="0"/>
        <v>3588.4249999999993</v>
      </c>
      <c r="AB6" s="127">
        <f t="shared" si="0"/>
        <v>3518.8719999999998</v>
      </c>
      <c r="AC6" s="127">
        <f t="shared" si="0"/>
        <v>3860.3849999999993</v>
      </c>
      <c r="AD6" s="127">
        <f t="shared" si="0"/>
        <v>3614.64</v>
      </c>
      <c r="AE6" s="127">
        <f t="shared" si="0"/>
        <v>5311.6080000000002</v>
      </c>
      <c r="AF6" s="127">
        <f t="shared" si="0"/>
        <v>5239.0839999999998</v>
      </c>
      <c r="AG6" s="127">
        <f t="shared" si="0"/>
        <v>5146.6899999999996</v>
      </c>
      <c r="AH6" s="127">
        <f t="shared" si="0"/>
        <v>5046.5360000000001</v>
      </c>
      <c r="AI6" s="127">
        <f t="shared" si="0"/>
        <v>4924.9710000000005</v>
      </c>
      <c r="AJ6" s="127">
        <f t="shared" si="0"/>
        <v>4845.8620000000001</v>
      </c>
      <c r="AK6" s="127">
        <f t="shared" si="0"/>
        <v>5154.8260000000009</v>
      </c>
      <c r="AL6" s="127">
        <f t="shared" si="0"/>
        <v>5130.0630000000001</v>
      </c>
      <c r="AM6" s="127">
        <f t="shared" si="0"/>
        <v>4892.8850000000002</v>
      </c>
      <c r="AN6" s="127">
        <f t="shared" si="0"/>
        <v>4717.1069999999991</v>
      </c>
      <c r="AO6" s="127">
        <f t="shared" si="0"/>
        <v>4437.9489999999996</v>
      </c>
      <c r="AP6" s="127">
        <f t="shared" si="0"/>
        <v>4201.393</v>
      </c>
      <c r="AQ6" s="127">
        <f t="shared" si="0"/>
        <v>4075.0766100000001</v>
      </c>
      <c r="AR6" s="127">
        <f t="shared" si="0"/>
        <v>4054.5749999999998</v>
      </c>
      <c r="AS6" s="127">
        <f t="shared" si="0"/>
        <v>4010.509</v>
      </c>
      <c r="AT6" s="127">
        <v>4027.2219999999998</v>
      </c>
      <c r="AU6" s="127">
        <v>4004.4669999999996</v>
      </c>
      <c r="AV6" s="127">
        <v>4101.7489999999998</v>
      </c>
      <c r="AW6" s="127">
        <v>4529.3879999999999</v>
      </c>
      <c r="AX6" s="127">
        <v>3795.5910000000003</v>
      </c>
      <c r="AY6" s="127">
        <v>3148.1729999999998</v>
      </c>
      <c r="AZ6" s="127">
        <v>3168.4380000000001</v>
      </c>
      <c r="BA6" s="127">
        <v>2753.3329999999996</v>
      </c>
      <c r="BB6" s="127">
        <v>2362.14</v>
      </c>
      <c r="BC6" s="127">
        <v>2278.5659999999998</v>
      </c>
      <c r="BD6" s="127">
        <v>2247.3890000000001</v>
      </c>
      <c r="BE6" s="127">
        <f>BE7+BE18+BE29</f>
        <v>2264.181</v>
      </c>
    </row>
    <row r="7" spans="1:57" ht="15" customHeight="1">
      <c r="A7" t="s">
        <v>116</v>
      </c>
      <c r="B7" s="11" t="str">
        <f>IF('Sumário | Summary'!P1=1,"Total Circulante","Total Current Assets")</f>
        <v>Total Circulante</v>
      </c>
      <c r="C7" s="6">
        <v>860.10600000000011</v>
      </c>
      <c r="D7" s="6">
        <v>1073.8630000000001</v>
      </c>
      <c r="E7" s="6">
        <v>1169.279</v>
      </c>
      <c r="F7" s="6">
        <v>1212.748</v>
      </c>
      <c r="G7" s="6">
        <v>588.93000000000006</v>
      </c>
      <c r="H7" s="6">
        <v>725.96800000000007</v>
      </c>
      <c r="I7" s="6">
        <v>1134.4989999999998</v>
      </c>
      <c r="J7" s="6">
        <v>630.64699999999993</v>
      </c>
      <c r="K7" s="6">
        <v>949.72199999999998</v>
      </c>
      <c r="L7" s="6">
        <v>694.5680000000001</v>
      </c>
      <c r="M7" s="6">
        <v>608.70500000000004</v>
      </c>
      <c r="N7" s="6">
        <v>1009.151</v>
      </c>
      <c r="O7" s="6">
        <v>714.27499999999998</v>
      </c>
      <c r="P7" s="6">
        <v>599.70400000000006</v>
      </c>
      <c r="Q7" s="6">
        <v>433.41</v>
      </c>
      <c r="R7" s="6">
        <v>462.35299999999995</v>
      </c>
      <c r="S7" s="6">
        <v>578.63199999999995</v>
      </c>
      <c r="T7" s="127">
        <f t="shared" ref="T7:AS7" si="1">SUM(T8:T17)</f>
        <v>445.92600000000004</v>
      </c>
      <c r="U7" s="127">
        <f t="shared" si="1"/>
        <v>1391.934</v>
      </c>
      <c r="V7" s="127">
        <f t="shared" si="1"/>
        <v>648.32100000000014</v>
      </c>
      <c r="W7" s="127">
        <f t="shared" si="1"/>
        <v>461.74200000000002</v>
      </c>
      <c r="X7" s="127">
        <f t="shared" si="1"/>
        <v>661.62599999999998</v>
      </c>
      <c r="Y7" s="127">
        <f t="shared" si="1"/>
        <v>671.35</v>
      </c>
      <c r="Z7" s="127">
        <f t="shared" si="1"/>
        <v>685.00000000000011</v>
      </c>
      <c r="AA7" s="127">
        <f t="shared" si="1"/>
        <v>508.23799999999994</v>
      </c>
      <c r="AB7" s="127">
        <f t="shared" si="1"/>
        <v>424.27499999999998</v>
      </c>
      <c r="AC7" s="127">
        <f t="shared" si="1"/>
        <v>654.78800000000001</v>
      </c>
      <c r="AD7" s="127">
        <f t="shared" si="1"/>
        <v>410.18399999999997</v>
      </c>
      <c r="AE7" s="127">
        <f t="shared" si="1"/>
        <v>1004.566</v>
      </c>
      <c r="AF7" s="127">
        <f t="shared" si="1"/>
        <v>912.37300000000005</v>
      </c>
      <c r="AG7" s="127">
        <f t="shared" si="1"/>
        <v>823.92399999999998</v>
      </c>
      <c r="AH7" s="127">
        <f t="shared" si="1"/>
        <v>736.20400000000018</v>
      </c>
      <c r="AI7" s="127">
        <f t="shared" si="1"/>
        <v>534.279</v>
      </c>
      <c r="AJ7" s="127">
        <f t="shared" si="1"/>
        <v>466.31</v>
      </c>
      <c r="AK7" s="127">
        <f t="shared" si="1"/>
        <v>777.23200000000008</v>
      </c>
      <c r="AL7" s="127">
        <f t="shared" si="1"/>
        <v>1254.0800000000002</v>
      </c>
      <c r="AM7" s="127">
        <f t="shared" si="1"/>
        <v>920.08100000000002</v>
      </c>
      <c r="AN7" s="127">
        <f t="shared" si="1"/>
        <v>858.46499999999992</v>
      </c>
      <c r="AO7" s="127">
        <f t="shared" si="1"/>
        <v>950.67500000000007</v>
      </c>
      <c r="AP7" s="127">
        <f t="shared" si="1"/>
        <v>726.09299999999996</v>
      </c>
      <c r="AQ7" s="127">
        <f t="shared" si="1"/>
        <v>457.47661000000005</v>
      </c>
      <c r="AR7" s="127">
        <f t="shared" si="1"/>
        <v>441.57800000000003</v>
      </c>
      <c r="AS7" s="127">
        <f t="shared" si="1"/>
        <v>421.20000000000005</v>
      </c>
      <c r="AT7" s="127">
        <v>432.12899999999996</v>
      </c>
      <c r="AU7" s="127">
        <v>415.30700000000007</v>
      </c>
      <c r="AV7" s="127">
        <v>653.11400000000003</v>
      </c>
      <c r="AW7" s="127">
        <v>1849.0549999999998</v>
      </c>
      <c r="AX7" s="127">
        <v>1178.241</v>
      </c>
      <c r="AY7" s="127">
        <v>609.43499999999995</v>
      </c>
      <c r="AZ7" s="127">
        <v>1194.069</v>
      </c>
      <c r="BA7" s="127">
        <v>778.33199999999988</v>
      </c>
      <c r="BB7" s="127">
        <v>359.81000000000006</v>
      </c>
      <c r="BC7" s="127">
        <v>280.63</v>
      </c>
      <c r="BD7" s="127">
        <v>273.46999999999997</v>
      </c>
      <c r="BE7" s="127">
        <f>SUM(BE8:BE17)</f>
        <v>288.73600000000005</v>
      </c>
    </row>
    <row r="8" spans="1:57" ht="15" customHeight="1">
      <c r="A8" t="s">
        <v>155</v>
      </c>
      <c r="B8" s="21" t="str">
        <f>IF('Sumário | Summary'!P1=1,"Caixa e equivalentes de caixa","Cash and Cash Equivalents")</f>
        <v>Caixa e equivalentes de caixa</v>
      </c>
      <c r="C8" s="5">
        <v>92.1</v>
      </c>
      <c r="D8" s="5">
        <v>220.5</v>
      </c>
      <c r="E8" s="5">
        <v>232.67500000000001</v>
      </c>
      <c r="F8" s="5">
        <v>186.39</v>
      </c>
      <c r="G8" s="5">
        <v>149.251</v>
      </c>
      <c r="H8" s="5">
        <v>344.03100000000001</v>
      </c>
      <c r="I8" s="5">
        <v>315.17899999999997</v>
      </c>
      <c r="J8" s="5">
        <v>263.25799999999998</v>
      </c>
      <c r="K8" s="5">
        <v>572.99</v>
      </c>
      <c r="L8" s="5">
        <v>391.36500000000001</v>
      </c>
      <c r="M8" s="5">
        <v>270.70400000000001</v>
      </c>
      <c r="N8" s="5">
        <v>655.952</v>
      </c>
      <c r="O8" s="34">
        <v>566.07299999999998</v>
      </c>
      <c r="P8" s="18">
        <v>478.8</v>
      </c>
      <c r="Q8" s="18">
        <v>291.06799999999998</v>
      </c>
      <c r="R8" s="18">
        <v>238.358</v>
      </c>
      <c r="S8" s="18">
        <v>348.57799999999997</v>
      </c>
      <c r="T8" s="18">
        <v>239.11699999999999</v>
      </c>
      <c r="U8" s="52">
        <v>243.65799999999999</v>
      </c>
      <c r="V8" s="52">
        <v>266.38200000000001</v>
      </c>
      <c r="W8" s="18">
        <v>170.32400000000001</v>
      </c>
      <c r="X8" s="18">
        <v>292.26799999999997</v>
      </c>
      <c r="Y8" s="18">
        <v>293.97000000000003</v>
      </c>
      <c r="Z8" s="18">
        <v>255.55</v>
      </c>
      <c r="AA8" s="18">
        <v>215.89599999999999</v>
      </c>
      <c r="AB8" s="18">
        <v>185.84399999999999</v>
      </c>
      <c r="AC8" s="18">
        <v>407.46100000000001</v>
      </c>
      <c r="AD8" s="18">
        <v>198.88</v>
      </c>
      <c r="AE8" s="18">
        <v>401.30099999999999</v>
      </c>
      <c r="AF8" s="18">
        <v>348.47300000000001</v>
      </c>
      <c r="AG8" s="18">
        <v>360.71800000000002</v>
      </c>
      <c r="AH8" s="18">
        <v>296.8</v>
      </c>
      <c r="AI8" s="18">
        <v>156.07599999999999</v>
      </c>
      <c r="AJ8" s="40">
        <v>150.18700000000001</v>
      </c>
      <c r="AK8" s="40">
        <v>381.49</v>
      </c>
      <c r="AL8" s="40">
        <v>338.69</v>
      </c>
      <c r="AM8" s="40">
        <v>447.02100000000002</v>
      </c>
      <c r="AN8" s="40">
        <v>276.30799999999999</v>
      </c>
      <c r="AO8" s="156">
        <v>259.697</v>
      </c>
      <c r="AP8" s="40">
        <v>144.91300000000001</v>
      </c>
      <c r="AQ8" s="40">
        <v>132.39500000000001</v>
      </c>
      <c r="AR8" s="40">
        <v>155.04499999999999</v>
      </c>
      <c r="AS8" s="40">
        <v>171.339</v>
      </c>
      <c r="AT8" s="40">
        <v>162.982</v>
      </c>
      <c r="AU8" s="40">
        <v>165.346</v>
      </c>
      <c r="AV8" s="40">
        <v>437.33300000000003</v>
      </c>
      <c r="AW8" s="40">
        <v>1212.5160000000001</v>
      </c>
      <c r="AX8" s="40">
        <v>542.452</v>
      </c>
      <c r="AY8" s="40">
        <v>268.58600000000001</v>
      </c>
      <c r="AZ8" s="40">
        <v>294.57100000000003</v>
      </c>
      <c r="BA8" s="40">
        <v>511.983</v>
      </c>
      <c r="BB8" s="40">
        <v>232.09200000000001</v>
      </c>
      <c r="BC8" s="40">
        <v>167.881</v>
      </c>
      <c r="BD8" s="40">
        <v>156.07499999999999</v>
      </c>
      <c r="BE8" s="40">
        <v>177.31</v>
      </c>
    </row>
    <row r="9" spans="1:57" ht="15" customHeight="1">
      <c r="A9" t="s">
        <v>156</v>
      </c>
      <c r="B9" s="21" t="str">
        <f>IF('Sumário | Summary'!P1=1,"Títulos e valores mobiliários","Securities")</f>
        <v>Títulos e valores mobiliários</v>
      </c>
      <c r="C9" s="5">
        <v>227.47800000000001</v>
      </c>
      <c r="D9" s="5">
        <v>247.93899999999999</v>
      </c>
      <c r="E9" s="5">
        <v>102.185</v>
      </c>
      <c r="F9" s="5">
        <v>33.429000000000002</v>
      </c>
      <c r="G9" s="5">
        <v>115.152</v>
      </c>
      <c r="H9" s="5">
        <v>0</v>
      </c>
      <c r="I9" s="5">
        <v>0</v>
      </c>
      <c r="J9" s="5">
        <v>0</v>
      </c>
      <c r="K9" s="5">
        <v>0</v>
      </c>
      <c r="L9" s="31">
        <v>0</v>
      </c>
      <c r="M9" s="5">
        <v>0</v>
      </c>
      <c r="N9" s="31">
        <v>0</v>
      </c>
      <c r="O9" s="31">
        <v>0</v>
      </c>
      <c r="P9" s="18">
        <v>20.033999999999999</v>
      </c>
      <c r="Q9" s="18">
        <v>12.731999999999999</v>
      </c>
      <c r="R9" s="18">
        <v>71.852999999999994</v>
      </c>
      <c r="S9" s="18">
        <v>64.861999999999995</v>
      </c>
      <c r="T9" s="18">
        <v>54.366</v>
      </c>
      <c r="U9" s="52">
        <v>85.876000000000005</v>
      </c>
      <c r="V9" s="52">
        <v>181.26400000000001</v>
      </c>
      <c r="W9" s="18">
        <v>170.90799999999999</v>
      </c>
      <c r="X9" s="18">
        <v>216.279</v>
      </c>
      <c r="Y9" s="18">
        <v>248.613</v>
      </c>
      <c r="Z9" s="18">
        <v>238.386</v>
      </c>
      <c r="AA9" s="18">
        <v>166.68700000000001</v>
      </c>
      <c r="AB9" s="18">
        <v>150.69</v>
      </c>
      <c r="AC9" s="18">
        <v>161.19399999999999</v>
      </c>
      <c r="AD9" s="18">
        <v>130.99600000000001</v>
      </c>
      <c r="AE9" s="18">
        <v>497.90800000000002</v>
      </c>
      <c r="AF9" s="18">
        <v>479.95600000000002</v>
      </c>
      <c r="AG9" s="18">
        <v>358.79599999999999</v>
      </c>
      <c r="AH9" s="18">
        <v>322.24400000000003</v>
      </c>
      <c r="AI9" s="18">
        <v>260.14100000000002</v>
      </c>
      <c r="AJ9" s="40">
        <v>202.86699999999999</v>
      </c>
      <c r="AK9" s="40">
        <v>277.91000000000003</v>
      </c>
      <c r="AL9" s="40">
        <v>294.16300000000001</v>
      </c>
      <c r="AM9" s="40">
        <v>293.28699999999998</v>
      </c>
      <c r="AN9" s="40">
        <v>300.83600000000001</v>
      </c>
      <c r="AO9" s="156">
        <v>393.73399999999998</v>
      </c>
      <c r="AP9" s="40">
        <v>287.19400000000002</v>
      </c>
      <c r="AQ9" s="40">
        <v>196.81100000000001</v>
      </c>
      <c r="AR9" s="40">
        <v>196.19900000000001</v>
      </c>
      <c r="AS9" s="40">
        <v>141.15100000000001</v>
      </c>
      <c r="AT9" s="40">
        <v>168.202</v>
      </c>
      <c r="AU9" s="40">
        <v>148.119</v>
      </c>
      <c r="AV9" s="40">
        <v>143.15600000000001</v>
      </c>
      <c r="AW9" s="40">
        <v>155.589</v>
      </c>
      <c r="AX9" s="40">
        <v>138.08099999999999</v>
      </c>
      <c r="AY9" s="40">
        <v>139.15100000000001</v>
      </c>
      <c r="AZ9" s="40">
        <v>143.89400000000001</v>
      </c>
      <c r="BA9" s="40">
        <v>195.64</v>
      </c>
      <c r="BB9" s="40">
        <v>74.429000000000002</v>
      </c>
      <c r="BC9" s="40">
        <v>61.845999999999997</v>
      </c>
      <c r="BD9" s="40">
        <v>69.867999999999995</v>
      </c>
      <c r="BE9" s="40">
        <v>62.920999999999999</v>
      </c>
    </row>
    <row r="10" spans="1:57" ht="15" customHeight="1">
      <c r="A10" t="s">
        <v>157</v>
      </c>
      <c r="B10" s="21" t="str">
        <f>IF('Sumário | Summary'!P1=1,"Contas a receber","Accounts Receivable")</f>
        <v>Contas a receber</v>
      </c>
      <c r="C10" s="5">
        <v>51.305999999999997</v>
      </c>
      <c r="D10" s="5">
        <v>41.264000000000003</v>
      </c>
      <c r="E10" s="5">
        <v>52.936</v>
      </c>
      <c r="F10" s="5">
        <v>71.765000000000001</v>
      </c>
      <c r="G10" s="5">
        <v>75.671000000000006</v>
      </c>
      <c r="H10" s="5">
        <v>86.73</v>
      </c>
      <c r="I10" s="5">
        <v>87.317999999999998</v>
      </c>
      <c r="J10" s="5">
        <v>83.674000000000007</v>
      </c>
      <c r="K10" s="5">
        <v>80.021000000000001</v>
      </c>
      <c r="L10" s="5">
        <v>64.180000000000007</v>
      </c>
      <c r="M10" s="5">
        <v>85.772999999999996</v>
      </c>
      <c r="N10" s="5">
        <v>85.2</v>
      </c>
      <c r="O10" s="34">
        <v>99.891000000000005</v>
      </c>
      <c r="P10" s="18">
        <v>87.201999999999998</v>
      </c>
      <c r="Q10" s="18">
        <v>91.465000000000003</v>
      </c>
      <c r="R10" s="18">
        <v>123.871</v>
      </c>
      <c r="S10" s="18">
        <v>97.316000000000003</v>
      </c>
      <c r="T10" s="18">
        <v>87.760999999999996</v>
      </c>
      <c r="U10" s="52">
        <v>94.111000000000004</v>
      </c>
      <c r="V10" s="52">
        <v>92.766000000000005</v>
      </c>
      <c r="W10" s="18">
        <v>100.65300000000001</v>
      </c>
      <c r="X10" s="18">
        <v>91.894000000000005</v>
      </c>
      <c r="Y10" s="18">
        <v>109.48399999999999</v>
      </c>
      <c r="Z10" s="18">
        <v>111.873</v>
      </c>
      <c r="AA10" s="18">
        <v>80.793999999999997</v>
      </c>
      <c r="AB10" s="18">
        <v>46.735999999999997</v>
      </c>
      <c r="AC10" s="18">
        <v>50.293999999999997</v>
      </c>
      <c r="AD10" s="18">
        <v>50.073</v>
      </c>
      <c r="AE10" s="18">
        <v>75.19</v>
      </c>
      <c r="AF10" s="18">
        <v>55.066000000000003</v>
      </c>
      <c r="AG10" s="18">
        <v>74.805999999999997</v>
      </c>
      <c r="AH10" s="18">
        <v>81.950999999999993</v>
      </c>
      <c r="AI10" s="18">
        <v>88.302000000000007</v>
      </c>
      <c r="AJ10" s="40">
        <v>81.302000000000007</v>
      </c>
      <c r="AK10" s="40">
        <v>90.347999999999999</v>
      </c>
      <c r="AL10" s="40">
        <v>95.331000000000003</v>
      </c>
      <c r="AM10" s="40">
        <v>89.477000000000004</v>
      </c>
      <c r="AN10" s="40">
        <v>82.968000000000004</v>
      </c>
      <c r="AO10" s="156">
        <v>79.271000000000001</v>
      </c>
      <c r="AP10" s="40">
        <v>80.11</v>
      </c>
      <c r="AQ10" s="40">
        <v>72.593609999999998</v>
      </c>
      <c r="AR10" s="40">
        <v>57.201999999999998</v>
      </c>
      <c r="AS10" s="40">
        <v>60.668999999999997</v>
      </c>
      <c r="AT10" s="40">
        <v>62.088999999999999</v>
      </c>
      <c r="AU10" s="40">
        <v>67.680999999999997</v>
      </c>
      <c r="AV10" s="40">
        <v>39.546999999999997</v>
      </c>
      <c r="AW10" s="40">
        <v>189.09</v>
      </c>
      <c r="AX10" s="40">
        <v>197.482</v>
      </c>
      <c r="AY10" s="40">
        <v>59.447000000000003</v>
      </c>
      <c r="AZ10" s="40">
        <v>616.80899999999997</v>
      </c>
      <c r="BA10" s="40">
        <v>32.756999999999998</v>
      </c>
      <c r="BB10" s="40">
        <v>33.206000000000003</v>
      </c>
      <c r="BC10" s="40">
        <v>33.283000000000001</v>
      </c>
      <c r="BD10" s="40">
        <v>30.352</v>
      </c>
      <c r="BE10" s="40">
        <v>30.858000000000001</v>
      </c>
    </row>
    <row r="11" spans="1:57" ht="15" customHeight="1">
      <c r="A11" t="s">
        <v>158</v>
      </c>
      <c r="B11" s="21" t="str">
        <f>IF('Sumário | Summary'!P1=1,"Estoques","Inventory")</f>
        <v>Estoques</v>
      </c>
      <c r="C11" s="5">
        <v>456.53800000000001</v>
      </c>
      <c r="D11" s="5">
        <v>546.11099999999999</v>
      </c>
      <c r="E11" s="5">
        <v>763.25300000000004</v>
      </c>
      <c r="F11" s="5">
        <v>902.13900000000001</v>
      </c>
      <c r="G11" s="5">
        <v>208.518</v>
      </c>
      <c r="H11" s="5">
        <v>230.804</v>
      </c>
      <c r="I11" s="5">
        <v>701.02599999999995</v>
      </c>
      <c r="J11" s="5">
        <v>249.56299999999999</v>
      </c>
      <c r="K11" s="5">
        <v>261.54000000000002</v>
      </c>
      <c r="L11" s="5">
        <v>191.833</v>
      </c>
      <c r="M11" s="5">
        <v>199.96</v>
      </c>
      <c r="N11" s="5">
        <v>204.3</v>
      </c>
      <c r="O11" s="34">
        <v>25.54</v>
      </c>
      <c r="P11" s="18">
        <v>2.9000000000000001E-2</v>
      </c>
      <c r="Q11" s="18">
        <v>22.047999999999998</v>
      </c>
      <c r="R11" s="18">
        <v>14.093999999999999</v>
      </c>
      <c r="S11" s="18">
        <v>5.6529999999999996</v>
      </c>
      <c r="T11" s="18">
        <v>5.6459999999999999</v>
      </c>
      <c r="U11" s="52">
        <v>22.87</v>
      </c>
      <c r="V11" s="52">
        <v>4.2389999999999999</v>
      </c>
      <c r="W11" s="18">
        <v>4.4279999999999999</v>
      </c>
      <c r="X11" s="18">
        <v>45.445</v>
      </c>
      <c r="Y11" s="18">
        <v>4.4279999999999999</v>
      </c>
      <c r="Z11" s="18">
        <v>0.94399999999999995</v>
      </c>
      <c r="AA11" s="18">
        <v>0.94399999999999995</v>
      </c>
      <c r="AB11" s="18">
        <v>0.94399999999999995</v>
      </c>
      <c r="AC11" s="18">
        <v>0.94399999999999995</v>
      </c>
      <c r="AD11" s="18">
        <v>0.94399999999999995</v>
      </c>
      <c r="AE11" s="18">
        <v>0.94399999999999995</v>
      </c>
      <c r="AF11" s="18">
        <v>0.94399999999999995</v>
      </c>
      <c r="AG11" s="18">
        <v>0.94399999999999995</v>
      </c>
      <c r="AH11" s="18">
        <v>0.94399999999999995</v>
      </c>
      <c r="AI11" s="18">
        <v>0.94399999999999995</v>
      </c>
      <c r="AJ11" s="40">
        <v>0.94399999999999995</v>
      </c>
      <c r="AK11" s="40">
        <v>0.94399999999999995</v>
      </c>
      <c r="AL11" s="40">
        <v>0.94399999999999995</v>
      </c>
      <c r="AM11" s="40">
        <v>1.0660000000000001</v>
      </c>
      <c r="AN11" s="40">
        <v>151.32499999999999</v>
      </c>
      <c r="AO11" s="156">
        <v>1.0660000000000001</v>
      </c>
      <c r="AP11" s="40">
        <v>1.0660000000000001</v>
      </c>
      <c r="AQ11" s="40">
        <v>1.0660000000000001</v>
      </c>
      <c r="AR11" s="40">
        <v>1.0660000000000001</v>
      </c>
      <c r="AS11" s="40">
        <v>0.46300000000000002</v>
      </c>
      <c r="AT11" s="40">
        <v>0.46300000000000002</v>
      </c>
      <c r="AU11" s="40">
        <v>0.46300000000000002</v>
      </c>
      <c r="AV11" s="40">
        <v>0.46300000000000002</v>
      </c>
      <c r="AW11" s="40">
        <v>0.46300000000000002</v>
      </c>
      <c r="AX11" s="40">
        <v>0.46300000000000002</v>
      </c>
      <c r="AY11" s="40">
        <v>0.46300000000000002</v>
      </c>
      <c r="AZ11" s="40">
        <v>0.46300000000000002</v>
      </c>
      <c r="BA11" s="40">
        <v>0.46300000000000002</v>
      </c>
      <c r="BB11" s="40">
        <v>0.46300000000000002</v>
      </c>
      <c r="BC11" s="40">
        <v>0.69599999999999995</v>
      </c>
      <c r="BD11" s="40">
        <v>0.69599999999999995</v>
      </c>
      <c r="BE11" s="40">
        <v>0.69599999999999995</v>
      </c>
    </row>
    <row r="12" spans="1:57" ht="15" customHeight="1">
      <c r="A12" t="s">
        <v>159</v>
      </c>
      <c r="B12" s="21" t="str">
        <f>IF('Sumário | Summary'!P1=1,"Impostos a compensar","Tax to be Compensated")</f>
        <v>Impostos a compensar</v>
      </c>
      <c r="C12" s="5">
        <v>3.427</v>
      </c>
      <c r="D12" s="5">
        <v>3.63</v>
      </c>
      <c r="E12" s="5">
        <v>2.9140000000000001</v>
      </c>
      <c r="F12" s="5">
        <v>3.8730000000000002</v>
      </c>
      <c r="G12" s="5">
        <v>4.3650000000000002</v>
      </c>
      <c r="H12" s="5">
        <v>3.202</v>
      </c>
      <c r="I12" s="5">
        <v>2.7829999999999999</v>
      </c>
      <c r="J12" s="5">
        <v>3.4140000000000001</v>
      </c>
      <c r="K12" s="5">
        <v>3.6720000000000002</v>
      </c>
      <c r="L12" s="5">
        <v>3.6720000000000002</v>
      </c>
      <c r="M12" s="5">
        <v>3.6230000000000002</v>
      </c>
      <c r="N12" s="5">
        <v>3.6</v>
      </c>
      <c r="O12" s="34">
        <v>5.2720000000000002</v>
      </c>
      <c r="P12" s="31">
        <v>0</v>
      </c>
      <c r="Q12" s="31">
        <v>0</v>
      </c>
      <c r="R12" s="31">
        <v>0</v>
      </c>
      <c r="S12" s="31">
        <v>44.155999999999999</v>
      </c>
      <c r="T12" s="31">
        <v>44.155999999999999</v>
      </c>
      <c r="U12" s="53">
        <v>44.155999999999999</v>
      </c>
      <c r="V12" s="53">
        <v>91.655000000000001</v>
      </c>
      <c r="W12" s="31">
        <v>4.8220000000000001</v>
      </c>
      <c r="X12" s="31">
        <v>5.5069999999999997</v>
      </c>
      <c r="Y12" s="31">
        <v>4.9390000000000001</v>
      </c>
      <c r="Z12" s="18">
        <v>6.3780000000000001</v>
      </c>
      <c r="AA12" s="18">
        <v>6.7830000000000004</v>
      </c>
      <c r="AB12" s="18">
        <v>7.8710000000000004</v>
      </c>
      <c r="AC12" s="18">
        <v>10.11</v>
      </c>
      <c r="AD12" s="18">
        <v>11.358000000000001</v>
      </c>
      <c r="AE12" s="18">
        <v>13.131</v>
      </c>
      <c r="AF12" s="18">
        <v>13.742000000000001</v>
      </c>
      <c r="AG12" s="18">
        <v>16.38</v>
      </c>
      <c r="AH12" s="18">
        <v>10.420999999999999</v>
      </c>
      <c r="AI12" s="18">
        <v>8.5370000000000008</v>
      </c>
      <c r="AJ12" s="40">
        <v>7.6559999999999997</v>
      </c>
      <c r="AK12" s="40">
        <v>9.2479999999999993</v>
      </c>
      <c r="AL12" s="40">
        <v>7.9459999999999997</v>
      </c>
      <c r="AM12" s="40">
        <v>9.7650000000000006</v>
      </c>
      <c r="AN12" s="40">
        <v>9.7650000000000006</v>
      </c>
      <c r="AO12" s="156">
        <v>19.263000000000002</v>
      </c>
      <c r="AP12" s="40">
        <v>20.212</v>
      </c>
      <c r="AQ12" s="40">
        <v>14.308</v>
      </c>
      <c r="AR12" s="40">
        <v>14.308</v>
      </c>
      <c r="AS12" s="40">
        <v>13.625</v>
      </c>
      <c r="AT12" s="40">
        <v>12.705</v>
      </c>
      <c r="AU12" s="40">
        <v>8.66</v>
      </c>
      <c r="AV12" s="40">
        <v>12.15</v>
      </c>
      <c r="AW12" s="40">
        <v>14.917999999999999</v>
      </c>
      <c r="AX12" s="40">
        <v>14.917999999999999</v>
      </c>
      <c r="AY12" s="40">
        <v>18.78</v>
      </c>
      <c r="AZ12" s="40">
        <v>16.57</v>
      </c>
      <c r="BA12" s="40">
        <v>11.007</v>
      </c>
      <c r="BB12" s="40">
        <v>9.0820000000000007</v>
      </c>
      <c r="BC12" s="40">
        <v>10.928000000000001</v>
      </c>
      <c r="BD12" s="40">
        <v>10.928000000000001</v>
      </c>
      <c r="BE12" s="40">
        <v>11.166</v>
      </c>
    </row>
    <row r="13" spans="1:57" ht="15" customHeight="1">
      <c r="A13" t="s">
        <v>160</v>
      </c>
      <c r="B13" s="21" t="str">
        <f>IF('Sumário | Summary'!P1=1,"Adiantamento a fornecedores","Advancements from Suppliers")</f>
        <v>Adiantamento a fornecedores</v>
      </c>
      <c r="C13" s="5">
        <v>9.734</v>
      </c>
      <c r="D13" s="5">
        <v>13.115</v>
      </c>
      <c r="E13" s="5">
        <v>14.212</v>
      </c>
      <c r="F13" s="5">
        <v>14.426</v>
      </c>
      <c r="G13" s="5">
        <v>17.748999999999999</v>
      </c>
      <c r="H13" s="5">
        <v>12.71</v>
      </c>
      <c r="I13" s="5">
        <v>11.372999999999999</v>
      </c>
      <c r="J13" s="5">
        <v>7.3620000000000001</v>
      </c>
      <c r="K13" s="5">
        <v>6.2220000000000004</v>
      </c>
      <c r="L13" s="5">
        <v>6.1929999999999996</v>
      </c>
      <c r="M13" s="5">
        <v>6.6150000000000002</v>
      </c>
      <c r="N13" s="5">
        <v>6.6989999999999998</v>
      </c>
      <c r="O13" s="34">
        <v>7.1520000000000001</v>
      </c>
      <c r="P13" s="18">
        <v>7.6050000000000004</v>
      </c>
      <c r="Q13" s="18">
        <v>8.0579999999999998</v>
      </c>
      <c r="R13" s="18">
        <v>8.3610000000000007</v>
      </c>
      <c r="S13" s="18">
        <v>8.5120000000000005</v>
      </c>
      <c r="T13" s="18">
        <v>4.8070000000000004</v>
      </c>
      <c r="U13" s="52">
        <v>4.7969999999999997</v>
      </c>
      <c r="V13" s="52">
        <v>4.984</v>
      </c>
      <c r="W13" s="18">
        <v>2.0449999999999999</v>
      </c>
      <c r="X13" s="18">
        <v>2.0640000000000001</v>
      </c>
      <c r="Y13" s="18">
        <v>2.0640000000000001</v>
      </c>
      <c r="Z13" s="18">
        <v>1.988</v>
      </c>
      <c r="AA13" s="18">
        <v>1.988</v>
      </c>
      <c r="AB13" s="18">
        <v>1.988</v>
      </c>
      <c r="AC13" s="18">
        <v>1.988</v>
      </c>
      <c r="AD13" s="18">
        <v>1.988</v>
      </c>
      <c r="AE13" s="18">
        <v>1.988</v>
      </c>
      <c r="AF13" s="18">
        <v>1.988</v>
      </c>
      <c r="AG13" s="18">
        <v>1.988</v>
      </c>
      <c r="AH13" s="18">
        <v>1.988</v>
      </c>
      <c r="AI13" s="18">
        <v>1.988</v>
      </c>
      <c r="AJ13" s="40">
        <v>1.988</v>
      </c>
      <c r="AK13" s="40">
        <v>1.988</v>
      </c>
      <c r="AL13" s="40">
        <v>1.988</v>
      </c>
      <c r="AM13" s="40">
        <v>14.863</v>
      </c>
      <c r="AN13" s="40">
        <v>2.077</v>
      </c>
      <c r="AO13" s="156">
        <v>1.988</v>
      </c>
      <c r="AP13" s="40">
        <v>2.2320000000000002</v>
      </c>
      <c r="AQ13" s="40">
        <v>3.153</v>
      </c>
      <c r="AR13" s="40">
        <v>2.11</v>
      </c>
      <c r="AS13" s="40">
        <v>2.5859999999999999</v>
      </c>
      <c r="AT13" s="40">
        <v>0.56799999999999995</v>
      </c>
      <c r="AU13" s="40">
        <v>0.438</v>
      </c>
      <c r="AV13" s="40">
        <v>0.20100000000000001</v>
      </c>
      <c r="AW13" s="40">
        <v>6.0000000000000001E-3</v>
      </c>
      <c r="AX13" s="40">
        <v>5.0000000000000001E-3</v>
      </c>
      <c r="AY13" s="40">
        <v>0.08</v>
      </c>
      <c r="AZ13" s="40">
        <v>5.0000000000000001E-3</v>
      </c>
      <c r="BA13" s="40">
        <v>5.0000000000000001E-3</v>
      </c>
      <c r="BB13" s="40">
        <v>0</v>
      </c>
      <c r="BC13" s="40">
        <v>3.4000000000000002E-2</v>
      </c>
      <c r="BD13" s="40">
        <v>0.13700000000000001</v>
      </c>
      <c r="BE13" s="40">
        <v>0.17299999999999999</v>
      </c>
    </row>
    <row r="14" spans="1:57" ht="15" customHeight="1">
      <c r="A14" t="s">
        <v>161</v>
      </c>
      <c r="B14" s="28" t="str">
        <f>IF('Sumário | Summary'!P1=1,"Dividendos a receber","Dividends receivable")</f>
        <v>Dividendos a receber</v>
      </c>
      <c r="C14" s="5">
        <v>0</v>
      </c>
      <c r="D14" s="5">
        <v>0</v>
      </c>
      <c r="E14" s="5">
        <v>0</v>
      </c>
      <c r="F14" s="5">
        <v>0</v>
      </c>
      <c r="G14" s="5">
        <v>0</v>
      </c>
      <c r="H14" s="5">
        <v>0</v>
      </c>
      <c r="I14" s="5">
        <v>0</v>
      </c>
      <c r="J14" s="5">
        <v>0</v>
      </c>
      <c r="K14" s="5">
        <v>0</v>
      </c>
      <c r="L14" s="31">
        <v>0</v>
      </c>
      <c r="M14" s="5">
        <v>0</v>
      </c>
      <c r="N14" s="31">
        <v>2.8</v>
      </c>
      <c r="O14" s="31">
        <v>0</v>
      </c>
      <c r="P14" s="18">
        <v>0</v>
      </c>
      <c r="Q14" s="31">
        <v>0.189</v>
      </c>
      <c r="R14" s="31">
        <v>0.183</v>
      </c>
      <c r="S14" s="31">
        <v>7.9000000000000001E-2</v>
      </c>
      <c r="T14" s="31">
        <v>0</v>
      </c>
      <c r="U14" s="53">
        <v>3.9E-2</v>
      </c>
      <c r="V14" s="53">
        <v>0.153</v>
      </c>
      <c r="W14" s="31">
        <v>0.1</v>
      </c>
      <c r="X14" s="31">
        <v>0</v>
      </c>
      <c r="Y14" s="31">
        <v>2E-3</v>
      </c>
      <c r="Z14" s="18">
        <v>2E-3</v>
      </c>
      <c r="AA14" s="18">
        <v>0.251</v>
      </c>
      <c r="AB14" s="18">
        <v>2E-3</v>
      </c>
      <c r="AC14" s="18">
        <v>7.8E-2</v>
      </c>
      <c r="AD14" s="18">
        <v>1E-3</v>
      </c>
      <c r="AE14" s="18">
        <v>2E-3</v>
      </c>
      <c r="AF14" s="18">
        <v>2E-3</v>
      </c>
      <c r="AG14" s="18">
        <v>8.4000000000000005E-2</v>
      </c>
      <c r="AH14" s="18">
        <v>1.8560000000000001</v>
      </c>
      <c r="AI14" s="18">
        <v>3.5059999999999998</v>
      </c>
      <c r="AJ14" s="40">
        <v>2E-3</v>
      </c>
      <c r="AK14" s="40">
        <v>6.9000000000000006E-2</v>
      </c>
      <c r="AL14" s="40">
        <v>2E-3</v>
      </c>
      <c r="AM14" s="40">
        <v>2E-3</v>
      </c>
      <c r="AN14" s="40">
        <v>5.58</v>
      </c>
      <c r="AO14" s="156">
        <v>2E-3</v>
      </c>
      <c r="AP14" s="40">
        <v>2E-3</v>
      </c>
      <c r="AQ14" s="40">
        <v>2E-3</v>
      </c>
      <c r="AR14" s="40">
        <v>2E-3</v>
      </c>
      <c r="AS14" s="40">
        <v>0</v>
      </c>
      <c r="AT14" s="40">
        <v>0.27</v>
      </c>
      <c r="AU14" s="40">
        <v>0</v>
      </c>
      <c r="AV14" s="40">
        <v>0</v>
      </c>
      <c r="AW14" s="40">
        <v>0</v>
      </c>
      <c r="AX14" s="40">
        <v>0</v>
      </c>
      <c r="AY14" s="40">
        <v>0</v>
      </c>
      <c r="AZ14" s="40">
        <v>0</v>
      </c>
      <c r="BA14" s="40">
        <v>0</v>
      </c>
      <c r="BB14" s="40">
        <v>0</v>
      </c>
      <c r="BC14" s="40">
        <v>0</v>
      </c>
      <c r="BD14" s="40">
        <v>0</v>
      </c>
      <c r="BE14" s="40">
        <v>0</v>
      </c>
    </row>
    <row r="15" spans="1:57" ht="15" customHeight="1">
      <c r="A15" t="s">
        <v>162</v>
      </c>
      <c r="B15" s="39" t="str">
        <f>IF('Sumário | Summary'!P1=1,"Ativo circulante mantido para venda",
"Current assets held for sale")</f>
        <v>Ativo circulante mantido para venda</v>
      </c>
      <c r="C15" s="56">
        <v>0</v>
      </c>
      <c r="D15" s="56">
        <v>0</v>
      </c>
      <c r="E15" s="56">
        <v>0</v>
      </c>
      <c r="F15" s="56">
        <v>0</v>
      </c>
      <c r="G15" s="56">
        <v>0</v>
      </c>
      <c r="H15" s="56">
        <v>0</v>
      </c>
      <c r="I15" s="56">
        <v>0</v>
      </c>
      <c r="J15" s="56">
        <v>0</v>
      </c>
      <c r="K15" s="56">
        <v>0</v>
      </c>
      <c r="L15" s="56">
        <v>0</v>
      </c>
      <c r="M15" s="56">
        <v>0</v>
      </c>
      <c r="N15" s="56">
        <v>0</v>
      </c>
      <c r="O15" s="56">
        <v>0</v>
      </c>
      <c r="P15" s="56">
        <v>0</v>
      </c>
      <c r="Q15" s="56">
        <v>0</v>
      </c>
      <c r="R15" s="56">
        <v>0</v>
      </c>
      <c r="S15" s="56">
        <v>0</v>
      </c>
      <c r="T15" s="56">
        <v>0</v>
      </c>
      <c r="U15" s="56">
        <v>885.47799999999995</v>
      </c>
      <c r="V15" s="56">
        <v>0</v>
      </c>
      <c r="W15" s="56">
        <v>0</v>
      </c>
      <c r="X15" s="56">
        <v>0</v>
      </c>
      <c r="Y15" s="56">
        <v>0</v>
      </c>
      <c r="Z15" s="56">
        <v>0</v>
      </c>
      <c r="AA15" s="56">
        <v>0</v>
      </c>
      <c r="AB15" s="18">
        <v>0</v>
      </c>
      <c r="AC15" s="18">
        <v>0</v>
      </c>
      <c r="AD15" s="18">
        <v>0</v>
      </c>
      <c r="AE15" s="18">
        <v>0</v>
      </c>
      <c r="AF15" s="18">
        <v>0</v>
      </c>
      <c r="AG15" s="18">
        <v>0</v>
      </c>
      <c r="AH15" s="18">
        <v>0</v>
      </c>
      <c r="AI15" s="18">
        <v>0</v>
      </c>
      <c r="AJ15" s="40">
        <v>0</v>
      </c>
      <c r="AK15" s="40">
        <v>0</v>
      </c>
      <c r="AL15" s="40">
        <v>495.35300000000001</v>
      </c>
      <c r="AM15" s="40">
        <v>0</v>
      </c>
      <c r="AN15" s="40">
        <v>0</v>
      </c>
      <c r="AO15" s="156">
        <v>151.23400000000001</v>
      </c>
      <c r="AP15" s="40">
        <v>153.714</v>
      </c>
      <c r="AQ15" s="40">
        <v>0</v>
      </c>
      <c r="AR15" s="40">
        <v>0</v>
      </c>
      <c r="AS15" s="40">
        <v>0</v>
      </c>
      <c r="AT15" s="40">
        <v>0</v>
      </c>
      <c r="AU15" s="40">
        <v>0</v>
      </c>
      <c r="AV15" s="40">
        <v>0</v>
      </c>
      <c r="AW15" s="40">
        <v>0</v>
      </c>
      <c r="AX15" s="40">
        <v>0</v>
      </c>
      <c r="AY15" s="40">
        <v>3.6669999999999998</v>
      </c>
      <c r="AZ15" s="40">
        <v>2.0790000000000002</v>
      </c>
      <c r="BA15" s="40">
        <v>1.768</v>
      </c>
      <c r="BB15" s="40">
        <v>0.64700000000000002</v>
      </c>
      <c r="BC15" s="40">
        <v>0</v>
      </c>
      <c r="BD15" s="40">
        <v>0</v>
      </c>
      <c r="BE15" s="40">
        <v>0</v>
      </c>
    </row>
    <row r="16" spans="1:57" ht="15" customHeight="1">
      <c r="A16" t="s">
        <v>164</v>
      </c>
      <c r="B16" s="39" t="s">
        <v>124</v>
      </c>
      <c r="C16" s="56"/>
      <c r="D16" s="56"/>
      <c r="E16" s="56"/>
      <c r="F16" s="56"/>
      <c r="G16" s="56"/>
      <c r="H16" s="56"/>
      <c r="I16" s="56"/>
      <c r="J16" s="56"/>
      <c r="K16" s="56"/>
      <c r="L16" s="56"/>
      <c r="M16" s="56"/>
      <c r="N16" s="56"/>
      <c r="O16" s="56"/>
      <c r="P16" s="56"/>
      <c r="Q16" s="56"/>
      <c r="R16" s="56"/>
      <c r="S16" s="56"/>
      <c r="T16" s="56">
        <v>0</v>
      </c>
      <c r="U16" s="56">
        <v>0</v>
      </c>
      <c r="V16" s="56">
        <v>0</v>
      </c>
      <c r="W16" s="56">
        <v>0</v>
      </c>
      <c r="X16" s="56">
        <v>0</v>
      </c>
      <c r="Y16" s="56">
        <v>0</v>
      </c>
      <c r="Z16" s="56">
        <v>0</v>
      </c>
      <c r="AA16" s="56">
        <v>0</v>
      </c>
      <c r="AB16" s="56">
        <v>0</v>
      </c>
      <c r="AC16" s="56">
        <v>0</v>
      </c>
      <c r="AD16" s="56">
        <v>0</v>
      </c>
      <c r="AE16" s="56">
        <v>0</v>
      </c>
      <c r="AF16" s="56">
        <v>0</v>
      </c>
      <c r="AG16" s="56">
        <v>0</v>
      </c>
      <c r="AH16" s="56">
        <v>0</v>
      </c>
      <c r="AI16" s="56">
        <v>0</v>
      </c>
      <c r="AJ16" s="56">
        <v>0</v>
      </c>
      <c r="AK16" s="56">
        <v>0</v>
      </c>
      <c r="AL16" s="56">
        <v>0</v>
      </c>
      <c r="AM16" s="56">
        <v>0</v>
      </c>
      <c r="AN16" s="56">
        <v>0</v>
      </c>
      <c r="AO16" s="179">
        <v>0</v>
      </c>
      <c r="AP16" s="40">
        <v>0</v>
      </c>
      <c r="AQ16" s="40">
        <v>0</v>
      </c>
      <c r="AR16" s="40">
        <v>0</v>
      </c>
      <c r="AS16" s="40">
        <v>0</v>
      </c>
      <c r="AT16" s="40">
        <v>0</v>
      </c>
      <c r="AU16" s="40">
        <v>0</v>
      </c>
      <c r="AV16" s="40">
        <v>0</v>
      </c>
      <c r="AW16" s="40">
        <v>0</v>
      </c>
      <c r="AX16" s="40">
        <v>0</v>
      </c>
      <c r="AY16" s="40">
        <v>0</v>
      </c>
      <c r="AZ16" s="40">
        <v>0</v>
      </c>
      <c r="BA16" s="40">
        <v>0</v>
      </c>
      <c r="BB16" s="40">
        <v>0</v>
      </c>
      <c r="BC16" s="40">
        <v>0</v>
      </c>
      <c r="BD16" s="40">
        <v>0</v>
      </c>
      <c r="BE16" s="40">
        <v>0</v>
      </c>
    </row>
    <row r="17" spans="1:57" ht="15" customHeight="1">
      <c r="A17" t="s">
        <v>163</v>
      </c>
      <c r="B17" s="28" t="str">
        <f>IF('Sumário | Summary'!P1=1,"Demais contas a receber","Other receivables")</f>
        <v>Demais contas a receber</v>
      </c>
      <c r="C17" s="5">
        <v>19.523</v>
      </c>
      <c r="D17" s="5">
        <v>1.304</v>
      </c>
      <c r="E17" s="5">
        <v>1.1040000000000001</v>
      </c>
      <c r="F17" s="5">
        <v>0.72599999999999998</v>
      </c>
      <c r="G17" s="5">
        <v>18.224</v>
      </c>
      <c r="H17" s="5">
        <v>48.491</v>
      </c>
      <c r="I17" s="5">
        <v>16.82</v>
      </c>
      <c r="J17" s="5">
        <v>23.376000000000001</v>
      </c>
      <c r="K17" s="5">
        <v>25.277000000000001</v>
      </c>
      <c r="L17" s="5">
        <v>37.325000000000003</v>
      </c>
      <c r="M17" s="5">
        <v>42.03</v>
      </c>
      <c r="N17" s="5">
        <v>50.6</v>
      </c>
      <c r="O17" s="34">
        <v>10.347</v>
      </c>
      <c r="P17" s="18">
        <v>6.0339999999999998</v>
      </c>
      <c r="Q17" s="18">
        <v>7.85</v>
      </c>
      <c r="R17" s="18">
        <v>5.633</v>
      </c>
      <c r="S17" s="18">
        <v>9.4760000000000009</v>
      </c>
      <c r="T17" s="18">
        <v>10.073</v>
      </c>
      <c r="U17" s="52">
        <v>10.949</v>
      </c>
      <c r="V17" s="52">
        <v>6.8780000000000001</v>
      </c>
      <c r="W17" s="18">
        <v>8.4619999999999997</v>
      </c>
      <c r="X17" s="18">
        <v>8.1690000000000005</v>
      </c>
      <c r="Y17" s="18">
        <v>7.85</v>
      </c>
      <c r="Z17" s="18">
        <v>69.879000000000005</v>
      </c>
      <c r="AA17" s="18">
        <v>34.895000000000003</v>
      </c>
      <c r="AB17" s="18">
        <v>30.2</v>
      </c>
      <c r="AC17" s="18">
        <v>22.719000000000001</v>
      </c>
      <c r="AD17" s="18">
        <v>15.944000000000001</v>
      </c>
      <c r="AE17" s="18">
        <v>14.102</v>
      </c>
      <c r="AF17" s="18">
        <v>12.202</v>
      </c>
      <c r="AG17" s="18">
        <v>10.208</v>
      </c>
      <c r="AH17" s="18">
        <v>20</v>
      </c>
      <c r="AI17" s="18">
        <v>14.785</v>
      </c>
      <c r="AJ17" s="40">
        <v>21.364000000000001</v>
      </c>
      <c r="AK17" s="40">
        <v>15.234999999999999</v>
      </c>
      <c r="AL17" s="40">
        <v>19.663</v>
      </c>
      <c r="AM17" s="40">
        <v>64.599999999999994</v>
      </c>
      <c r="AN17" s="40">
        <v>29.606000000000002</v>
      </c>
      <c r="AO17" s="156">
        <v>44.42</v>
      </c>
      <c r="AP17" s="40">
        <v>36.65</v>
      </c>
      <c r="AQ17" s="40">
        <v>37.148000000000003</v>
      </c>
      <c r="AR17" s="40">
        <v>15.646000000000001</v>
      </c>
      <c r="AS17" s="40">
        <v>31.367000000000001</v>
      </c>
      <c r="AT17" s="40">
        <v>24.85</v>
      </c>
      <c r="AU17" s="40">
        <v>24.6</v>
      </c>
      <c r="AV17" s="40">
        <v>20.263999999999999</v>
      </c>
      <c r="AW17" s="40">
        <v>276.47300000000001</v>
      </c>
      <c r="AX17" s="40">
        <v>284.83999999999997</v>
      </c>
      <c r="AY17" s="40">
        <v>119.261</v>
      </c>
      <c r="AZ17" s="40">
        <v>119.678</v>
      </c>
      <c r="BA17" s="40">
        <v>24.709</v>
      </c>
      <c r="BB17" s="40">
        <v>9.891</v>
      </c>
      <c r="BC17" s="40">
        <v>5.9619999999999997</v>
      </c>
      <c r="BD17" s="40">
        <v>5.4139999999999997</v>
      </c>
      <c r="BE17" s="40">
        <v>5.6120000000000001</v>
      </c>
    </row>
    <row r="18" spans="1:57" ht="15" customHeight="1">
      <c r="A18" t="s">
        <v>117</v>
      </c>
      <c r="B18" s="11" t="str">
        <f>IF('Sumário | Summary'!P1=1,"Realizável a longo prazo","Long term")</f>
        <v>Realizável a longo prazo</v>
      </c>
      <c r="C18" s="6">
        <v>166.83</v>
      </c>
      <c r="D18" s="6">
        <v>182.04400000000001</v>
      </c>
      <c r="E18" s="6">
        <v>174.1</v>
      </c>
      <c r="F18" s="6">
        <v>376.36500000000001</v>
      </c>
      <c r="G18" s="6">
        <v>1304.9929999999999</v>
      </c>
      <c r="H18" s="6">
        <v>546.5</v>
      </c>
      <c r="I18" s="6">
        <v>1294.7149999999999</v>
      </c>
      <c r="J18" s="6">
        <v>1878.7979999999995</v>
      </c>
      <c r="K18" s="6">
        <v>2011.1589999999999</v>
      </c>
      <c r="L18" s="6">
        <v>1085.1819999999998</v>
      </c>
      <c r="M18" s="6">
        <v>1167.7090000000001</v>
      </c>
      <c r="N18" s="6">
        <v>1225.665</v>
      </c>
      <c r="O18" s="6">
        <v>1419.6950000000002</v>
      </c>
      <c r="P18" s="6">
        <v>1276.7739999999999</v>
      </c>
      <c r="Q18" s="6">
        <v>1412.462</v>
      </c>
      <c r="R18" s="6">
        <v>833.27700000000004</v>
      </c>
      <c r="S18" s="6">
        <v>822.20499999999993</v>
      </c>
      <c r="T18" s="127">
        <f t="shared" ref="T18:AS18" si="2">SUM(T19:T28)</f>
        <v>851.73599999999999</v>
      </c>
      <c r="U18" s="127">
        <f t="shared" si="2"/>
        <v>558.84299999999996</v>
      </c>
      <c r="V18" s="127">
        <f t="shared" si="2"/>
        <v>426.56200000000001</v>
      </c>
      <c r="W18" s="127">
        <f t="shared" si="2"/>
        <v>152.017</v>
      </c>
      <c r="X18" s="127">
        <f t="shared" si="2"/>
        <v>161.041</v>
      </c>
      <c r="Y18" s="127">
        <f t="shared" si="2"/>
        <v>120.45700000000001</v>
      </c>
      <c r="Z18" s="127">
        <f t="shared" si="2"/>
        <v>123.465</v>
      </c>
      <c r="AA18" s="127">
        <f t="shared" si="2"/>
        <v>125.93</v>
      </c>
      <c r="AB18" s="127">
        <f t="shared" si="2"/>
        <v>149.696</v>
      </c>
      <c r="AC18" s="127">
        <f t="shared" si="2"/>
        <v>155.79200000000003</v>
      </c>
      <c r="AD18" s="127">
        <f t="shared" si="2"/>
        <v>166.87600000000003</v>
      </c>
      <c r="AE18" s="127">
        <f t="shared" si="2"/>
        <v>171.19499999999999</v>
      </c>
      <c r="AF18" s="127">
        <f t="shared" si="2"/>
        <v>158.62799999999999</v>
      </c>
      <c r="AG18" s="127">
        <f t="shared" si="2"/>
        <v>169.1</v>
      </c>
      <c r="AH18" s="127">
        <f t="shared" si="2"/>
        <v>175.90499999999997</v>
      </c>
      <c r="AI18" s="127">
        <f t="shared" si="2"/>
        <v>185.56200000000001</v>
      </c>
      <c r="AJ18" s="127">
        <f t="shared" si="2"/>
        <v>188.82099999999997</v>
      </c>
      <c r="AK18" s="127">
        <f t="shared" si="2"/>
        <v>206.85000000000002</v>
      </c>
      <c r="AL18" s="127">
        <f t="shared" si="2"/>
        <v>212.05600000000004</v>
      </c>
      <c r="AM18" s="127">
        <f t="shared" si="2"/>
        <v>279.827</v>
      </c>
      <c r="AN18" s="127">
        <f t="shared" si="2"/>
        <v>273.06</v>
      </c>
      <c r="AO18" s="127">
        <f t="shared" si="2"/>
        <v>231.79499999999999</v>
      </c>
      <c r="AP18" s="127">
        <f t="shared" si="2"/>
        <v>228.67500000000001</v>
      </c>
      <c r="AQ18" s="127">
        <f t="shared" si="2"/>
        <v>251.495</v>
      </c>
      <c r="AR18" s="127">
        <f t="shared" si="2"/>
        <v>247.19299999999998</v>
      </c>
      <c r="AS18" s="127">
        <f t="shared" si="2"/>
        <v>225.32600000000002</v>
      </c>
      <c r="AT18" s="127">
        <v>227.91499999999999</v>
      </c>
      <c r="AU18" s="127">
        <f>SUM(AU19:AU28)</f>
        <v>232.10500000000002</v>
      </c>
      <c r="AV18" s="127">
        <v>1860.3369999999998</v>
      </c>
      <c r="AW18" s="127">
        <v>797.904</v>
      </c>
      <c r="AX18" s="127">
        <v>742.20399999999995</v>
      </c>
      <c r="AY18" s="127">
        <v>722.85399999999993</v>
      </c>
      <c r="AZ18" s="127">
        <v>160.87400000000002</v>
      </c>
      <c r="BA18" s="127">
        <v>173.80099999999999</v>
      </c>
      <c r="BB18" s="127">
        <v>203.42099999999999</v>
      </c>
      <c r="BC18" s="127">
        <v>212.81800000000001</v>
      </c>
      <c r="BD18" s="127">
        <v>197.68300000000002</v>
      </c>
      <c r="BE18" s="127">
        <f>SUM(BE19:BE28)</f>
        <v>204.21600000000001</v>
      </c>
    </row>
    <row r="19" spans="1:57" ht="15" customHeight="1">
      <c r="A19" t="s">
        <v>165</v>
      </c>
      <c r="B19" s="21" t="str">
        <f>IF('Sumário | Summary'!P1=1,"Contas a receber ","Accounts Receivable")</f>
        <v xml:space="preserve">Contas a receber </v>
      </c>
      <c r="C19" s="5">
        <v>20.462</v>
      </c>
      <c r="D19" s="5">
        <v>22.702000000000002</v>
      </c>
      <c r="E19" s="5">
        <v>19.806999999999999</v>
      </c>
      <c r="F19" s="5">
        <v>9.0350000000000001</v>
      </c>
      <c r="G19" s="5">
        <v>9.8670000000000009</v>
      </c>
      <c r="H19" s="18">
        <v>20.829000000000001</v>
      </c>
      <c r="I19" s="18">
        <v>18.806999999999999</v>
      </c>
      <c r="J19" s="18">
        <v>17.754000000000001</v>
      </c>
      <c r="K19" s="18">
        <v>16.423999999999999</v>
      </c>
      <c r="L19" s="18">
        <v>4.7430000000000003</v>
      </c>
      <c r="M19" s="18">
        <v>4.7649999999999997</v>
      </c>
      <c r="N19" s="18">
        <v>4.766</v>
      </c>
      <c r="O19" s="34">
        <v>0.68400000000000005</v>
      </c>
      <c r="P19" s="18">
        <v>0.434</v>
      </c>
      <c r="Q19" s="31" t="s">
        <v>18</v>
      </c>
      <c r="R19" s="31">
        <v>0</v>
      </c>
      <c r="S19" s="31">
        <v>12.082000000000001</v>
      </c>
      <c r="T19" s="31">
        <v>14.808999999999999</v>
      </c>
      <c r="V19" s="53">
        <v>5.95</v>
      </c>
      <c r="W19" s="31">
        <v>4.5679999999999996</v>
      </c>
      <c r="X19" s="31">
        <v>4.4109999999999996</v>
      </c>
      <c r="Y19" s="31">
        <v>4.6029999999999998</v>
      </c>
      <c r="Z19" s="31">
        <v>3.6680000000000001</v>
      </c>
      <c r="AA19" s="31">
        <v>3.226</v>
      </c>
      <c r="AB19" s="31">
        <v>30.390999999999998</v>
      </c>
      <c r="AC19" s="31">
        <v>33.567999999999998</v>
      </c>
      <c r="AD19" s="31">
        <v>36.706000000000003</v>
      </c>
      <c r="AE19" s="31">
        <v>33.479999999999997</v>
      </c>
      <c r="AF19" s="31">
        <v>34.975999999999999</v>
      </c>
      <c r="AG19" s="31">
        <v>47.427999999999997</v>
      </c>
      <c r="AH19" s="31">
        <v>51.368000000000002</v>
      </c>
      <c r="AI19" s="31">
        <v>55.091999999999999</v>
      </c>
      <c r="AJ19" s="56">
        <v>60.280999999999999</v>
      </c>
      <c r="AK19" s="40">
        <v>69.984999999999999</v>
      </c>
      <c r="AL19" s="40">
        <v>69.766000000000005</v>
      </c>
      <c r="AM19" s="40">
        <v>46.795000000000002</v>
      </c>
      <c r="AN19" s="40">
        <v>46.795000000000002</v>
      </c>
      <c r="AO19" s="156">
        <v>44.613</v>
      </c>
      <c r="AP19" s="40">
        <v>40.226999999999997</v>
      </c>
      <c r="AQ19" s="40">
        <v>34.872999999999998</v>
      </c>
      <c r="AR19" s="40">
        <v>34.872999999999998</v>
      </c>
      <c r="AS19" s="40">
        <v>27.687000000000001</v>
      </c>
      <c r="AT19" s="40">
        <v>29.311</v>
      </c>
      <c r="AU19" s="40">
        <v>27.187000000000001</v>
      </c>
      <c r="AV19" s="40">
        <v>22.408999999999999</v>
      </c>
      <c r="AW19" s="40">
        <v>554.99099999999999</v>
      </c>
      <c r="AX19" s="40">
        <v>554.99099999999999</v>
      </c>
      <c r="AY19" s="40">
        <v>552.92999999999995</v>
      </c>
      <c r="AZ19" s="40">
        <v>13.256</v>
      </c>
      <c r="BA19" s="40">
        <v>14.077999999999999</v>
      </c>
      <c r="BB19" s="40">
        <v>14.259</v>
      </c>
      <c r="BC19" s="40">
        <v>14.297000000000001</v>
      </c>
      <c r="BD19" s="40">
        <v>14.297000000000001</v>
      </c>
      <c r="BE19" s="40">
        <v>13.364000000000001</v>
      </c>
    </row>
    <row r="20" spans="1:57" ht="15" customHeight="1">
      <c r="A20" t="s">
        <v>166</v>
      </c>
      <c r="B20" s="21" t="str">
        <f>IF('Sumário | Summary'!P1=1,"Estoques","Inventory")</f>
        <v>Estoques</v>
      </c>
      <c r="C20" s="5">
        <v>94.316000000000003</v>
      </c>
      <c r="D20" s="5">
        <v>105.01900000000001</v>
      </c>
      <c r="E20" s="5">
        <v>103.89400000000001</v>
      </c>
      <c r="F20" s="5">
        <v>315.51299999999998</v>
      </c>
      <c r="G20" s="5">
        <v>1236.288</v>
      </c>
      <c r="H20" s="5">
        <v>455.22199999999998</v>
      </c>
      <c r="I20" s="5">
        <v>1216.5530000000001</v>
      </c>
      <c r="J20" s="5">
        <v>1797.8679999999999</v>
      </c>
      <c r="K20" s="5">
        <v>1926.307</v>
      </c>
      <c r="L20" s="5">
        <v>995.12099999999998</v>
      </c>
      <c r="M20" s="5">
        <v>1070.31</v>
      </c>
      <c r="N20" s="5">
        <v>1123.94</v>
      </c>
      <c r="O20" s="34">
        <v>1269.579</v>
      </c>
      <c r="P20" s="18">
        <v>1118.0540000000001</v>
      </c>
      <c r="Q20" s="18">
        <v>1238.07</v>
      </c>
      <c r="R20" s="18">
        <v>658.476</v>
      </c>
      <c r="S20" s="18">
        <v>674.87</v>
      </c>
      <c r="T20" s="18">
        <v>690.505</v>
      </c>
      <c r="U20" s="52">
        <v>406.23099999999999</v>
      </c>
      <c r="V20" s="52">
        <v>308.62799999999999</v>
      </c>
      <c r="W20" s="18">
        <v>41.857999999999997</v>
      </c>
      <c r="X20" s="18">
        <v>42.192999999999998</v>
      </c>
      <c r="Y20" s="18">
        <v>42.197000000000003</v>
      </c>
      <c r="Z20" s="31">
        <v>42.197000000000003</v>
      </c>
      <c r="AA20" s="31">
        <v>42.2</v>
      </c>
      <c r="AB20" s="31">
        <v>42.618000000000002</v>
      </c>
      <c r="AC20" s="31">
        <v>42.618000000000002</v>
      </c>
      <c r="AD20" s="31">
        <v>42.618000000000002</v>
      </c>
      <c r="AE20" s="31">
        <v>42.618000000000002</v>
      </c>
      <c r="AF20" s="31">
        <v>42.618000000000002</v>
      </c>
      <c r="AG20" s="31">
        <v>42.618000000000002</v>
      </c>
      <c r="AH20" s="31">
        <v>42.618000000000002</v>
      </c>
      <c r="AI20" s="31">
        <v>42.618000000000002</v>
      </c>
      <c r="AJ20" s="56">
        <v>42.618000000000002</v>
      </c>
      <c r="AK20" s="40">
        <v>42.618000000000002</v>
      </c>
      <c r="AL20" s="40">
        <v>42.618000000000002</v>
      </c>
      <c r="AM20" s="40">
        <v>42.618000000000002</v>
      </c>
      <c r="AN20" s="40">
        <v>42.618000000000002</v>
      </c>
      <c r="AO20" s="156">
        <v>42.618000000000002</v>
      </c>
      <c r="AP20" s="40">
        <v>42.618000000000002</v>
      </c>
      <c r="AQ20" s="40">
        <v>51.783000000000001</v>
      </c>
      <c r="AR20" s="40">
        <v>51.957000000000001</v>
      </c>
      <c r="AS20" s="40">
        <v>52.189</v>
      </c>
      <c r="AT20" s="40">
        <v>52.366999999999997</v>
      </c>
      <c r="AU20" s="40">
        <v>52.533000000000001</v>
      </c>
      <c r="AV20" s="40">
        <v>52.835000000000001</v>
      </c>
      <c r="AW20" s="40">
        <v>53.058999999999997</v>
      </c>
      <c r="AX20" s="40">
        <v>53.274000000000001</v>
      </c>
      <c r="AY20" s="40">
        <v>53.533000000000001</v>
      </c>
      <c r="AZ20" s="40">
        <v>53.637999999999998</v>
      </c>
      <c r="BA20" s="40">
        <v>53.847000000000001</v>
      </c>
      <c r="BB20" s="40">
        <v>54.036000000000001</v>
      </c>
      <c r="BC20" s="40">
        <v>54.226999999999997</v>
      </c>
      <c r="BD20" s="40">
        <v>54.331000000000003</v>
      </c>
      <c r="BE20" s="40">
        <v>54.511000000000003</v>
      </c>
    </row>
    <row r="21" spans="1:57" ht="15" customHeight="1">
      <c r="A21" t="s">
        <v>319</v>
      </c>
      <c r="B21" s="39" t="str">
        <f>IF('Sumário | Summary'!P1=1,"Ativo não circulante mantido para venda",
"Non-current assets held for sale")</f>
        <v>Ativo não circulante mantido para venda</v>
      </c>
      <c r="C21" s="5"/>
      <c r="D21" s="5"/>
      <c r="E21" s="5"/>
      <c r="F21" s="5"/>
      <c r="G21" s="5"/>
      <c r="H21" s="5"/>
      <c r="I21" s="5"/>
      <c r="J21" s="5"/>
      <c r="K21" s="5"/>
      <c r="L21" s="5"/>
      <c r="M21" s="5"/>
      <c r="N21" s="5"/>
      <c r="O21" s="34"/>
      <c r="P21" s="18"/>
      <c r="Q21" s="18"/>
      <c r="R21" s="18"/>
      <c r="S21" s="18"/>
      <c r="T21" s="18"/>
      <c r="U21" s="52"/>
      <c r="V21" s="52"/>
      <c r="W21" s="18"/>
      <c r="X21" s="18"/>
      <c r="Y21" s="18"/>
      <c r="Z21" s="31"/>
      <c r="AA21" s="31"/>
      <c r="AB21" s="31"/>
      <c r="AC21" s="31"/>
      <c r="AD21" s="31"/>
      <c r="AE21" s="31"/>
      <c r="AF21" s="31"/>
      <c r="AG21" s="31"/>
      <c r="AH21" s="31"/>
      <c r="AI21" s="31"/>
      <c r="AJ21" s="56"/>
      <c r="AK21" s="40"/>
      <c r="AL21" s="40"/>
      <c r="AM21" s="40"/>
      <c r="AN21" s="40"/>
      <c r="AO21" s="156"/>
      <c r="AP21" s="40"/>
      <c r="AQ21" s="40"/>
      <c r="AR21" s="40"/>
      <c r="AS21" s="40"/>
      <c r="AT21" s="40"/>
      <c r="AU21" s="40"/>
      <c r="AV21" s="40">
        <v>1681.6189999999999</v>
      </c>
      <c r="AW21" s="40">
        <v>0</v>
      </c>
      <c r="AX21" s="40">
        <v>0</v>
      </c>
      <c r="AY21" s="40">
        <v>0</v>
      </c>
      <c r="AZ21" s="40">
        <v>0</v>
      </c>
      <c r="BA21" s="40">
        <v>0</v>
      </c>
      <c r="BB21" s="40">
        <v>0</v>
      </c>
      <c r="BC21" s="40">
        <v>0</v>
      </c>
      <c r="BD21" s="40">
        <v>0</v>
      </c>
      <c r="BE21" s="40">
        <v>0</v>
      </c>
    </row>
    <row r="22" spans="1:57" ht="15" customHeight="1">
      <c r="A22" t="s">
        <v>167</v>
      </c>
      <c r="B22" s="21" t="str">
        <f>IF('Sumário | Summary'!P1=1,"Adiantamento para futuro aumento de capital","Advance for future capital increase")</f>
        <v>Adiantamento para futuro aumento de capital</v>
      </c>
      <c r="C22" s="5">
        <v>3.5219999999999998</v>
      </c>
      <c r="D22" s="5">
        <v>3.512</v>
      </c>
      <c r="E22" s="5">
        <v>3.512</v>
      </c>
      <c r="F22" s="5">
        <v>3.512</v>
      </c>
      <c r="G22" s="5">
        <v>3.512</v>
      </c>
      <c r="H22" s="5">
        <v>3.512</v>
      </c>
      <c r="I22" s="5">
        <v>3.512</v>
      </c>
      <c r="J22" s="5">
        <v>3.512</v>
      </c>
      <c r="K22" s="18">
        <v>3.5</v>
      </c>
      <c r="L22" s="18">
        <v>3.512</v>
      </c>
      <c r="M22" s="18">
        <v>3.512</v>
      </c>
      <c r="N22" s="18">
        <v>3.512</v>
      </c>
      <c r="O22" s="34">
        <v>33.597000000000001</v>
      </c>
      <c r="P22" s="18">
        <v>31.216000000000001</v>
      </c>
      <c r="Q22" s="18">
        <v>33.555</v>
      </c>
      <c r="R22" s="18">
        <v>35.253</v>
      </c>
      <c r="S22" s="18">
        <v>36.933</v>
      </c>
      <c r="T22" s="18">
        <v>37.234999999999999</v>
      </c>
      <c r="U22" s="52">
        <v>38.527000000000001</v>
      </c>
      <c r="V22" s="52">
        <v>39.322000000000003</v>
      </c>
      <c r="W22" s="18">
        <v>38.927999999999997</v>
      </c>
      <c r="X22" s="18">
        <v>39.786000000000001</v>
      </c>
      <c r="Y22" s="18">
        <v>4.5999999999999999E-2</v>
      </c>
      <c r="Z22" s="31">
        <v>4.5999999999999999E-2</v>
      </c>
      <c r="AA22" s="31">
        <v>4.5999999999999999E-2</v>
      </c>
      <c r="AB22" s="31">
        <v>4.5999999999999999E-2</v>
      </c>
      <c r="AC22" s="31">
        <v>4.5999999999999999E-2</v>
      </c>
      <c r="AD22" s="31">
        <v>0.84899999999999998</v>
      </c>
      <c r="AE22" s="31">
        <v>1.1870000000000001</v>
      </c>
      <c r="AF22" s="31">
        <v>1.26</v>
      </c>
      <c r="AG22" s="31">
        <v>0.84199999999999997</v>
      </c>
      <c r="AH22" s="31">
        <v>0.85899999999999999</v>
      </c>
      <c r="AI22" s="31">
        <v>0.88800000000000001</v>
      </c>
      <c r="AJ22" s="56">
        <v>0.877</v>
      </c>
      <c r="AK22" s="40">
        <v>0.88200000000000001</v>
      </c>
      <c r="AL22" s="40">
        <v>0.88500000000000001</v>
      </c>
      <c r="AM22" s="40">
        <v>4.6459999999999999</v>
      </c>
      <c r="AN22" s="40">
        <v>1.476</v>
      </c>
      <c r="AO22" s="156">
        <v>1.026</v>
      </c>
      <c r="AP22" s="40">
        <v>1.032</v>
      </c>
      <c r="AQ22" s="40">
        <v>1.702</v>
      </c>
      <c r="AR22" s="40">
        <v>1.589</v>
      </c>
      <c r="AS22" s="40">
        <v>1.625</v>
      </c>
      <c r="AT22" s="40">
        <v>2.734</v>
      </c>
      <c r="AU22" s="40">
        <v>1.0960000000000001</v>
      </c>
      <c r="AV22" s="40">
        <v>1.153</v>
      </c>
      <c r="AW22" s="40">
        <v>0.27400000000000002</v>
      </c>
      <c r="AX22" s="40">
        <v>0.27</v>
      </c>
      <c r="AY22" s="40">
        <v>0.215</v>
      </c>
      <c r="AZ22" s="40">
        <v>0.28699999999999998</v>
      </c>
      <c r="BA22" s="40">
        <v>0.26900000000000002</v>
      </c>
      <c r="BB22" s="40">
        <v>6.8000000000000005E-2</v>
      </c>
      <c r="BC22" s="40">
        <v>0.30399999999999999</v>
      </c>
      <c r="BD22" s="40">
        <v>0.38500000000000001</v>
      </c>
      <c r="BE22" s="40">
        <v>0.28100000000000003</v>
      </c>
    </row>
    <row r="23" spans="1:57" ht="15" customHeight="1">
      <c r="A23" t="s">
        <v>168</v>
      </c>
      <c r="B23" s="21" t="str">
        <f>IF('Sumário | Summary'!P1=1,"Contas-correntes com parceiros nos empreendimentos","Current accounts with partners in projects ")</f>
        <v>Contas-correntes com parceiros nos empreendimentos</v>
      </c>
      <c r="C23" s="5">
        <v>5.1059999999999999</v>
      </c>
      <c r="D23" s="5">
        <v>6.6929999999999996</v>
      </c>
      <c r="E23" s="5">
        <v>0</v>
      </c>
      <c r="F23" s="5">
        <v>0</v>
      </c>
      <c r="G23" s="5">
        <v>4.1319999999999997</v>
      </c>
      <c r="H23" s="5">
        <v>13.214</v>
      </c>
      <c r="I23" s="5">
        <v>0</v>
      </c>
      <c r="J23" s="5">
        <v>1.9259999999999999</v>
      </c>
      <c r="K23" s="5">
        <v>0</v>
      </c>
      <c r="L23" s="5">
        <v>14.058999999999999</v>
      </c>
      <c r="M23" s="5">
        <v>16.975000000000001</v>
      </c>
      <c r="N23" s="5">
        <v>17.175999999999998</v>
      </c>
      <c r="O23" s="31">
        <v>0</v>
      </c>
      <c r="P23" s="18">
        <v>0</v>
      </c>
      <c r="Q23" s="18">
        <v>0</v>
      </c>
      <c r="R23" s="18">
        <v>0.109</v>
      </c>
      <c r="S23" s="18">
        <v>0</v>
      </c>
      <c r="T23" s="18">
        <v>0</v>
      </c>
      <c r="U23" s="52">
        <v>0</v>
      </c>
      <c r="V23" s="52">
        <v>0</v>
      </c>
      <c r="W23" s="18">
        <v>0</v>
      </c>
      <c r="X23" s="18">
        <v>0</v>
      </c>
      <c r="Y23" s="18">
        <v>0</v>
      </c>
      <c r="Z23" s="18">
        <v>0</v>
      </c>
      <c r="AA23" s="18">
        <v>0</v>
      </c>
      <c r="AB23" s="31">
        <v>0</v>
      </c>
      <c r="AC23" s="31">
        <v>0</v>
      </c>
      <c r="AD23" s="31">
        <v>0.309</v>
      </c>
      <c r="AE23" s="31">
        <v>0.32500000000000001</v>
      </c>
      <c r="AF23" s="31">
        <v>0.34100000000000003</v>
      </c>
      <c r="AG23" s="31">
        <v>0.35699999999999998</v>
      </c>
      <c r="AH23" s="31">
        <v>0.372</v>
      </c>
      <c r="AI23" s="31">
        <v>0.38700000000000001</v>
      </c>
      <c r="AJ23" s="56">
        <v>0.40600000000000003</v>
      </c>
      <c r="AK23" s="40">
        <v>0</v>
      </c>
      <c r="AL23" s="40">
        <v>0</v>
      </c>
      <c r="AM23" s="40">
        <v>0</v>
      </c>
      <c r="AN23" s="40">
        <v>0.249</v>
      </c>
      <c r="AO23" s="156">
        <v>0</v>
      </c>
      <c r="AP23" s="40">
        <v>0</v>
      </c>
      <c r="AQ23" s="40">
        <v>0</v>
      </c>
      <c r="AR23" s="40">
        <v>0</v>
      </c>
      <c r="AS23" s="40">
        <v>0</v>
      </c>
      <c r="AT23" s="40">
        <v>0</v>
      </c>
      <c r="AU23" s="40">
        <v>0</v>
      </c>
      <c r="AV23" s="40">
        <v>0</v>
      </c>
      <c r="AW23" s="40">
        <v>0</v>
      </c>
      <c r="AX23" s="40">
        <v>0</v>
      </c>
      <c r="AY23" s="40">
        <v>0</v>
      </c>
      <c r="AZ23" s="40">
        <v>0</v>
      </c>
      <c r="BA23" s="40">
        <v>0</v>
      </c>
      <c r="BB23" s="40">
        <v>0</v>
      </c>
      <c r="BC23" s="40">
        <v>0</v>
      </c>
      <c r="BD23" s="40">
        <v>0</v>
      </c>
      <c r="BE23" s="40">
        <v>0</v>
      </c>
    </row>
    <row r="24" spans="1:57" ht="15" customHeight="1">
      <c r="A24" t="s">
        <v>176</v>
      </c>
      <c r="B24" s="28" t="str">
        <f>IF('Sumário | Summary'!P1=1,"Mútuo a receber","Loan receivables")</f>
        <v>Mútuo a receber</v>
      </c>
      <c r="C24" s="5"/>
      <c r="D24" s="5"/>
      <c r="E24" s="5">
        <v>0</v>
      </c>
      <c r="F24" s="5">
        <v>0</v>
      </c>
      <c r="G24" s="5">
        <v>0</v>
      </c>
      <c r="H24" s="5">
        <v>0</v>
      </c>
      <c r="I24" s="5">
        <v>0</v>
      </c>
      <c r="J24" s="5">
        <v>0</v>
      </c>
      <c r="K24" s="5">
        <v>0</v>
      </c>
      <c r="L24" s="5">
        <v>0</v>
      </c>
      <c r="M24" s="5">
        <v>0</v>
      </c>
      <c r="N24" s="5">
        <v>0</v>
      </c>
      <c r="O24" s="5">
        <v>15.643000000000001</v>
      </c>
      <c r="P24" s="18">
        <v>6.8760000000000003</v>
      </c>
      <c r="Q24" s="18">
        <v>7.9690000000000003</v>
      </c>
      <c r="R24" s="18">
        <v>7.5579999999999998</v>
      </c>
      <c r="S24" s="18">
        <v>8.3130000000000006</v>
      </c>
      <c r="T24" s="18">
        <v>8.8070000000000004</v>
      </c>
      <c r="U24" s="52">
        <v>8.3680000000000003</v>
      </c>
      <c r="V24" s="52">
        <v>7.6360000000000001</v>
      </c>
      <c r="W24" s="18">
        <v>0</v>
      </c>
      <c r="X24" s="18">
        <v>0</v>
      </c>
      <c r="Y24" s="18">
        <v>0</v>
      </c>
      <c r="Z24" s="18">
        <v>0</v>
      </c>
      <c r="AA24" s="18">
        <v>0</v>
      </c>
      <c r="AB24" s="31">
        <v>0</v>
      </c>
      <c r="AC24" s="31">
        <v>0</v>
      </c>
      <c r="AD24" s="31">
        <v>0</v>
      </c>
      <c r="AE24" s="31">
        <v>0</v>
      </c>
      <c r="AF24" s="31">
        <v>0</v>
      </c>
      <c r="AG24" s="31">
        <v>0</v>
      </c>
      <c r="AH24" s="31">
        <v>0</v>
      </c>
      <c r="AI24" s="31">
        <v>0</v>
      </c>
      <c r="AJ24" s="56">
        <v>0</v>
      </c>
      <c r="AK24" s="40">
        <v>0</v>
      </c>
      <c r="AL24" s="40">
        <v>0</v>
      </c>
      <c r="AM24" s="40">
        <v>0</v>
      </c>
      <c r="AN24" s="40">
        <v>0</v>
      </c>
      <c r="AO24" s="156">
        <v>0</v>
      </c>
      <c r="AP24" s="40">
        <v>0</v>
      </c>
      <c r="AQ24" s="40">
        <v>0</v>
      </c>
      <c r="AR24" s="40">
        <v>0</v>
      </c>
      <c r="AS24" s="40">
        <v>0</v>
      </c>
      <c r="AT24" s="40">
        <v>0</v>
      </c>
      <c r="AU24" s="40">
        <v>0</v>
      </c>
      <c r="AV24" s="40">
        <v>0</v>
      </c>
      <c r="AW24" s="40">
        <v>0</v>
      </c>
      <c r="AX24" s="40">
        <v>0</v>
      </c>
      <c r="AY24" s="40">
        <v>0</v>
      </c>
      <c r="AZ24" s="40">
        <v>0</v>
      </c>
      <c r="BA24" s="40">
        <v>0</v>
      </c>
      <c r="BB24" s="40">
        <v>0</v>
      </c>
      <c r="BC24" s="40">
        <v>0</v>
      </c>
      <c r="BD24" s="40">
        <v>0</v>
      </c>
      <c r="BE24" s="40">
        <v>0</v>
      </c>
    </row>
    <row r="25" spans="1:57" ht="15" customHeight="1">
      <c r="A25" t="s">
        <v>169</v>
      </c>
      <c r="B25" s="28" t="str">
        <f>IF('Sumário | Summary'!P1=1,"Impostos a compensar","Tax to be Compensated")</f>
        <v>Impostos a compensar</v>
      </c>
      <c r="C25" s="5">
        <v>42.741</v>
      </c>
      <c r="D25" s="5">
        <v>43.436999999999998</v>
      </c>
      <c r="E25" s="5">
        <v>46.231000000000002</v>
      </c>
      <c r="F25" s="5">
        <v>47.58</v>
      </c>
      <c r="G25" s="5">
        <v>50.118000000000002</v>
      </c>
      <c r="H25" s="5">
        <v>52.622999999999998</v>
      </c>
      <c r="I25" s="5">
        <v>54.743000000000002</v>
      </c>
      <c r="J25" s="5">
        <v>57.552</v>
      </c>
      <c r="K25" s="5">
        <v>64.835999999999999</v>
      </c>
      <c r="L25" s="5">
        <v>67.436999999999998</v>
      </c>
      <c r="M25" s="5">
        <v>71.841999999999999</v>
      </c>
      <c r="N25" s="5">
        <v>75.959999999999994</v>
      </c>
      <c r="O25" s="34">
        <v>79.400000000000006</v>
      </c>
      <c r="P25" s="34">
        <v>89.533000000000001</v>
      </c>
      <c r="Q25" s="34">
        <v>94.748000000000005</v>
      </c>
      <c r="R25" s="34">
        <v>97.295000000000002</v>
      </c>
      <c r="S25" s="34">
        <v>60.131</v>
      </c>
      <c r="T25" s="34">
        <v>68.135999999999996</v>
      </c>
      <c r="U25" s="54">
        <v>72.433000000000007</v>
      </c>
      <c r="V25" s="54">
        <v>31.628</v>
      </c>
      <c r="W25" s="34">
        <v>34.119999999999997</v>
      </c>
      <c r="X25" s="34">
        <v>31.844000000000001</v>
      </c>
      <c r="Y25" s="34">
        <v>33.694000000000003</v>
      </c>
      <c r="Z25" s="34">
        <v>34.213999999999999</v>
      </c>
      <c r="AA25" s="34">
        <v>36.959000000000003</v>
      </c>
      <c r="AB25" s="31">
        <v>39.152999999999999</v>
      </c>
      <c r="AC25" s="31">
        <v>41.643000000000001</v>
      </c>
      <c r="AD25" s="31">
        <v>47.302</v>
      </c>
      <c r="AE25" s="31">
        <v>52.503999999999998</v>
      </c>
      <c r="AF25" s="31">
        <v>36.561</v>
      </c>
      <c r="AG25" s="31">
        <v>33.549999999999997</v>
      </c>
      <c r="AH25" s="31">
        <v>40.482999999999997</v>
      </c>
      <c r="AI25" s="31">
        <v>45.079000000000001</v>
      </c>
      <c r="AJ25" s="56">
        <v>46.526000000000003</v>
      </c>
      <c r="AK25" s="40">
        <v>46.219000000000001</v>
      </c>
      <c r="AL25" s="40">
        <v>50.401000000000003</v>
      </c>
      <c r="AM25" s="40">
        <v>54.793999999999997</v>
      </c>
      <c r="AN25" s="40">
        <v>57.500999999999998</v>
      </c>
      <c r="AO25" s="156">
        <v>45.295000000000002</v>
      </c>
      <c r="AP25" s="40">
        <v>47.338999999999999</v>
      </c>
      <c r="AQ25" s="40">
        <v>62.683</v>
      </c>
      <c r="AR25" s="40">
        <v>57.609000000000002</v>
      </c>
      <c r="AS25" s="40">
        <v>60.686</v>
      </c>
      <c r="AT25" s="40">
        <v>64.358000000000004</v>
      </c>
      <c r="AU25" s="40">
        <v>71.430000000000007</v>
      </c>
      <c r="AV25" s="40">
        <v>62.384999999999998</v>
      </c>
      <c r="AW25" s="40">
        <v>58.744</v>
      </c>
      <c r="AX25" s="40">
        <v>2.36</v>
      </c>
      <c r="AY25" s="40">
        <v>2.3620000000000001</v>
      </c>
      <c r="AZ25" s="40">
        <v>0.79700000000000004</v>
      </c>
      <c r="BA25" s="40">
        <v>12.786</v>
      </c>
      <c r="BB25" s="40">
        <v>22.166</v>
      </c>
      <c r="BC25" s="40">
        <v>26.68</v>
      </c>
      <c r="BD25" s="40">
        <v>11.329000000000001</v>
      </c>
      <c r="BE25" s="40">
        <v>7.9880000000000004</v>
      </c>
    </row>
    <row r="26" spans="1:57" ht="15" customHeight="1">
      <c r="A26" t="s">
        <v>170</v>
      </c>
      <c r="B26" s="21" t="str">
        <f>IF('Sumário | Summary'!P1=1,"Depósitos judiciais","Judicial Deposits")</f>
        <v>Depósitos judiciais</v>
      </c>
      <c r="C26" s="5">
        <v>0.68300000000000005</v>
      </c>
      <c r="D26" s="5">
        <v>0.68100000000000005</v>
      </c>
      <c r="E26" s="5">
        <v>0.69499999999999995</v>
      </c>
      <c r="F26" s="5">
        <v>0.71</v>
      </c>
      <c r="G26" s="5">
        <v>0.97599999999999998</v>
      </c>
      <c r="H26" s="5">
        <v>1</v>
      </c>
      <c r="I26" s="5">
        <v>1</v>
      </c>
      <c r="J26" s="5">
        <v>0.17599999999999999</v>
      </c>
      <c r="K26" s="5">
        <v>9.0999999999999998E-2</v>
      </c>
      <c r="L26" s="5">
        <v>0.3</v>
      </c>
      <c r="M26" s="5">
        <v>0.30499999999999999</v>
      </c>
      <c r="N26" s="5">
        <v>0.311</v>
      </c>
      <c r="O26" s="34">
        <v>0.33500000000000002</v>
      </c>
      <c r="P26" s="18">
        <v>0</v>
      </c>
      <c r="Q26" s="18">
        <v>0.33800000000000002</v>
      </c>
      <c r="R26" s="18">
        <v>0.34300000000000003</v>
      </c>
      <c r="S26" s="18">
        <v>0.35</v>
      </c>
      <c r="T26" s="18">
        <v>0.35599999999999998</v>
      </c>
      <c r="U26" s="52">
        <v>0.34</v>
      </c>
      <c r="V26" s="53">
        <v>0</v>
      </c>
      <c r="W26" s="18">
        <v>0</v>
      </c>
      <c r="X26" s="18">
        <v>0</v>
      </c>
      <c r="Y26" s="18">
        <v>0</v>
      </c>
      <c r="Z26" s="18">
        <v>0</v>
      </c>
      <c r="AA26" s="18">
        <v>0.191</v>
      </c>
      <c r="AB26" s="31">
        <v>0.191</v>
      </c>
      <c r="AC26" s="31">
        <v>0.17599999999999999</v>
      </c>
      <c r="AD26" s="31">
        <v>0.17599999999999999</v>
      </c>
      <c r="AE26" s="31">
        <v>0.17599999999999999</v>
      </c>
      <c r="AF26" s="31">
        <v>0.17599999999999999</v>
      </c>
      <c r="AG26" s="31">
        <v>0.17599999999999999</v>
      </c>
      <c r="AH26" s="31">
        <v>0.17599999999999999</v>
      </c>
      <c r="AI26" s="31">
        <v>0.17599999999999999</v>
      </c>
      <c r="AJ26" s="56">
        <v>0.17599999999999999</v>
      </c>
      <c r="AK26" s="40">
        <v>3.3889999999999998</v>
      </c>
      <c r="AL26" s="40">
        <v>3.3889999999999998</v>
      </c>
      <c r="AM26" s="40">
        <v>3.3889999999999998</v>
      </c>
      <c r="AN26" s="40">
        <v>3.3889999999999998</v>
      </c>
      <c r="AO26" s="156">
        <v>3.423</v>
      </c>
      <c r="AP26" s="40">
        <v>3.48</v>
      </c>
      <c r="AQ26" s="40">
        <v>3.4660000000000002</v>
      </c>
      <c r="AR26" s="40">
        <v>3.4660000000000002</v>
      </c>
      <c r="AS26" s="40">
        <v>3.4660000000000002</v>
      </c>
      <c r="AT26" s="40">
        <v>3.4660000000000002</v>
      </c>
      <c r="AU26" s="40">
        <v>3.4660000000000002</v>
      </c>
      <c r="AV26" s="40">
        <v>3.4660000000000002</v>
      </c>
      <c r="AW26" s="40">
        <v>3.4660000000000002</v>
      </c>
      <c r="AX26" s="40">
        <v>3.617</v>
      </c>
      <c r="AY26" s="40">
        <v>3.617</v>
      </c>
      <c r="AZ26" s="40">
        <v>3.617</v>
      </c>
      <c r="BA26" s="40">
        <v>3.617</v>
      </c>
      <c r="BB26" s="40">
        <v>0.40300000000000002</v>
      </c>
      <c r="BC26" s="40">
        <v>0.40600000000000003</v>
      </c>
      <c r="BD26" s="40">
        <v>0.40600000000000003</v>
      </c>
      <c r="BE26" s="40">
        <v>0.40600000000000003</v>
      </c>
    </row>
    <row r="27" spans="1:57" ht="15" customHeight="1">
      <c r="A27" t="s">
        <v>171</v>
      </c>
      <c r="B27" s="21" t="str">
        <f>IF('Sumário | Summary'!P1=1,"Demais contas a receber","Other receivables")</f>
        <v>Demais contas a receber</v>
      </c>
      <c r="C27" s="5">
        <v>0</v>
      </c>
      <c r="D27" s="5">
        <v>0</v>
      </c>
      <c r="E27" s="5">
        <v>0</v>
      </c>
      <c r="F27" s="5">
        <v>0</v>
      </c>
      <c r="G27" s="5">
        <v>0</v>
      </c>
      <c r="H27" s="5">
        <v>0</v>
      </c>
      <c r="I27" s="5">
        <v>0</v>
      </c>
      <c r="J27" s="5">
        <v>0</v>
      </c>
      <c r="K27" s="5">
        <v>0</v>
      </c>
      <c r="L27" s="5">
        <v>0</v>
      </c>
      <c r="M27" s="5">
        <v>0</v>
      </c>
      <c r="N27" s="5">
        <v>0</v>
      </c>
      <c r="O27" s="31">
        <v>20.457000000000001</v>
      </c>
      <c r="P27" s="18">
        <v>30.661000000000001</v>
      </c>
      <c r="Q27" s="18">
        <v>37.781999999999996</v>
      </c>
      <c r="R27" s="18">
        <v>34.243000000000002</v>
      </c>
      <c r="S27" s="18">
        <v>29.526</v>
      </c>
      <c r="T27" s="18">
        <v>31.888000000000002</v>
      </c>
      <c r="U27" s="52">
        <v>32.944000000000003</v>
      </c>
      <c r="V27" s="52">
        <v>33.398000000000003</v>
      </c>
      <c r="W27" s="18">
        <v>32.542999999999999</v>
      </c>
      <c r="X27" s="18">
        <v>42.807000000000002</v>
      </c>
      <c r="Y27" s="18">
        <v>39.917000000000002</v>
      </c>
      <c r="Z27" s="18">
        <v>43.34</v>
      </c>
      <c r="AA27" s="18">
        <v>43.308</v>
      </c>
      <c r="AB27" s="31">
        <v>37.296999999999997</v>
      </c>
      <c r="AC27" s="31">
        <v>37.741</v>
      </c>
      <c r="AD27" s="31">
        <v>38.915999999999997</v>
      </c>
      <c r="AE27" s="31">
        <v>40.905000000000001</v>
      </c>
      <c r="AF27" s="31">
        <v>42.695999999999998</v>
      </c>
      <c r="AG27" s="31">
        <v>44.128999999999998</v>
      </c>
      <c r="AH27" s="31">
        <v>40.029000000000003</v>
      </c>
      <c r="AI27" s="31">
        <v>41.322000000000003</v>
      </c>
      <c r="AJ27" s="56">
        <v>37.936999999999998</v>
      </c>
      <c r="AK27" s="40">
        <v>43.756999999999998</v>
      </c>
      <c r="AL27" s="40">
        <v>44.997</v>
      </c>
      <c r="AM27" s="40">
        <v>127.58499999999999</v>
      </c>
      <c r="AN27" s="40">
        <v>121.032</v>
      </c>
      <c r="AO27" s="156">
        <v>94.82</v>
      </c>
      <c r="AP27" s="40">
        <v>93.978999999999999</v>
      </c>
      <c r="AQ27" s="40">
        <v>96.988</v>
      </c>
      <c r="AR27" s="40">
        <v>97.698999999999998</v>
      </c>
      <c r="AS27" s="40">
        <v>79.673000000000002</v>
      </c>
      <c r="AT27" s="40">
        <v>75.679000000000002</v>
      </c>
      <c r="AU27" s="40">
        <v>76.393000000000001</v>
      </c>
      <c r="AV27" s="40">
        <v>36.47</v>
      </c>
      <c r="AW27" s="40">
        <v>127.37</v>
      </c>
      <c r="AX27" s="40">
        <v>127.69199999999999</v>
      </c>
      <c r="AY27" s="40">
        <v>37.774000000000001</v>
      </c>
      <c r="AZ27" s="40">
        <v>6.8789999999999996</v>
      </c>
      <c r="BA27" s="40">
        <v>6.7850000000000001</v>
      </c>
      <c r="BB27" s="40">
        <v>8.2409999999999997</v>
      </c>
      <c r="BC27" s="40">
        <v>8.2309999999999999</v>
      </c>
      <c r="BD27" s="40">
        <v>8.2620000000000005</v>
      </c>
      <c r="BE27" s="40">
        <v>8.4610000000000003</v>
      </c>
    </row>
    <row r="28" spans="1:57" ht="15" customHeight="1">
      <c r="A28" t="s">
        <v>331</v>
      </c>
      <c r="B28" s="21" t="str">
        <f>IF('Sumário | Summary'!P1=1,"Títulos e valores mobiliários","Securities")</f>
        <v>Títulos e valores mobiliários</v>
      </c>
      <c r="C28" s="18">
        <v>0</v>
      </c>
      <c r="D28" s="18">
        <v>0</v>
      </c>
      <c r="E28" s="18">
        <v>0</v>
      </c>
      <c r="F28" s="18">
        <v>0</v>
      </c>
      <c r="G28" s="5">
        <v>0.1</v>
      </c>
      <c r="H28" s="5">
        <v>0.1</v>
      </c>
      <c r="I28" s="5">
        <v>0.1</v>
      </c>
      <c r="J28" s="5">
        <v>0.01</v>
      </c>
      <c r="K28" s="5">
        <v>1E-3</v>
      </c>
      <c r="L28" s="5">
        <v>0.01</v>
      </c>
      <c r="M28" s="5">
        <v>0</v>
      </c>
      <c r="N28" s="5">
        <v>0</v>
      </c>
      <c r="O28" s="31">
        <v>0</v>
      </c>
      <c r="P28" s="18">
        <v>0</v>
      </c>
      <c r="Q28" s="18">
        <v>0</v>
      </c>
      <c r="R28" s="18">
        <v>0</v>
      </c>
      <c r="S28" s="18">
        <v>0</v>
      </c>
      <c r="T28" s="18">
        <v>0</v>
      </c>
      <c r="U28" s="52">
        <v>0</v>
      </c>
      <c r="V28" s="52">
        <v>0</v>
      </c>
      <c r="W28" s="18">
        <v>0</v>
      </c>
      <c r="X28" s="18">
        <v>0</v>
      </c>
      <c r="Y28" s="18">
        <v>0</v>
      </c>
      <c r="Z28" s="18">
        <v>0</v>
      </c>
      <c r="AA28" s="18">
        <v>0</v>
      </c>
      <c r="AB28" s="31">
        <v>0</v>
      </c>
      <c r="AC28" s="31">
        <v>0</v>
      </c>
      <c r="AD28" s="31">
        <v>0</v>
      </c>
      <c r="AE28" s="31">
        <v>0</v>
      </c>
      <c r="AF28" s="31">
        <v>0</v>
      </c>
      <c r="AG28" s="31">
        <v>0</v>
      </c>
      <c r="AH28" s="31">
        <v>0</v>
      </c>
      <c r="AI28" s="31">
        <v>0</v>
      </c>
      <c r="AJ28" s="56">
        <v>0</v>
      </c>
      <c r="AK28" s="40">
        <v>0</v>
      </c>
      <c r="AL28" s="40">
        <v>0</v>
      </c>
      <c r="AM28" s="40">
        <v>0</v>
      </c>
      <c r="AN28" s="40">
        <v>0</v>
      </c>
      <c r="AO28" s="156">
        <v>0</v>
      </c>
      <c r="AP28" s="40">
        <v>0</v>
      </c>
      <c r="AQ28" s="40">
        <v>0</v>
      </c>
      <c r="AR28" s="40">
        <v>0</v>
      </c>
      <c r="AS28" s="40">
        <v>0</v>
      </c>
      <c r="AT28" s="40">
        <v>0</v>
      </c>
      <c r="AU28" s="40">
        <v>0</v>
      </c>
      <c r="AV28" s="40">
        <v>0</v>
      </c>
      <c r="AW28" s="40">
        <v>0</v>
      </c>
      <c r="AX28" s="40">
        <v>0</v>
      </c>
      <c r="AY28" s="40">
        <v>72.423000000000002</v>
      </c>
      <c r="AZ28" s="40">
        <v>82.4</v>
      </c>
      <c r="BA28" s="40">
        <v>82.418999999999997</v>
      </c>
      <c r="BB28" s="40">
        <v>104.248</v>
      </c>
      <c r="BC28" s="40">
        <v>108.673</v>
      </c>
      <c r="BD28" s="40">
        <v>108.673</v>
      </c>
      <c r="BE28" s="40">
        <v>119.205</v>
      </c>
    </row>
    <row r="29" spans="1:57" ht="15" customHeight="1">
      <c r="B29" s="11" t="str">
        <f>IF('Sumário | Summary'!P1=1,"Ativo Permanente","Permanent assets " )</f>
        <v>Ativo Permanente</v>
      </c>
      <c r="C29" s="6">
        <v>1116.318</v>
      </c>
      <c r="D29" s="6">
        <v>1129.3219999999999</v>
      </c>
      <c r="E29" s="6">
        <v>1285.8900000000001</v>
      </c>
      <c r="F29" s="6">
        <v>1557.5809999999999</v>
      </c>
      <c r="G29" s="6">
        <v>1229.4920000000002</v>
      </c>
      <c r="H29" s="6">
        <v>2321.33</v>
      </c>
      <c r="I29" s="6">
        <v>1325.3910000000001</v>
      </c>
      <c r="J29" s="6">
        <v>1382.6210000000001</v>
      </c>
      <c r="K29" s="6">
        <v>1392.6570000000002</v>
      </c>
      <c r="L29" s="6">
        <v>2514.0920000000001</v>
      </c>
      <c r="M29" s="6">
        <v>2534.4829999999997</v>
      </c>
      <c r="N29" s="6">
        <v>2604.768</v>
      </c>
      <c r="O29" s="6">
        <v>2722.2129999999997</v>
      </c>
      <c r="P29" s="6">
        <v>2779.7539999999999</v>
      </c>
      <c r="Q29" s="6">
        <v>2794.1390000000001</v>
      </c>
      <c r="R29" s="6">
        <v>3425.2310000000002</v>
      </c>
      <c r="S29" s="6">
        <v>3432.0619999999999</v>
      </c>
      <c r="T29" s="127">
        <f t="shared" ref="T29:AS29" si="3">SUM(T30:T34)</f>
        <v>3431.0569999999998</v>
      </c>
      <c r="U29" s="127">
        <f t="shared" si="3"/>
        <v>2805.47</v>
      </c>
      <c r="V29" s="127">
        <f t="shared" si="3"/>
        <v>2777.2189999999996</v>
      </c>
      <c r="W29" s="127">
        <f t="shared" si="3"/>
        <v>3025.6689999999999</v>
      </c>
      <c r="X29" s="127">
        <f t="shared" si="3"/>
        <v>3013.7009999999996</v>
      </c>
      <c r="Y29" s="127">
        <f t="shared" si="3"/>
        <v>2988.5889999999999</v>
      </c>
      <c r="Z29" s="127">
        <f t="shared" si="3"/>
        <v>2945.241</v>
      </c>
      <c r="AA29" s="127">
        <f t="shared" si="3"/>
        <v>2954.2569999999996</v>
      </c>
      <c r="AB29" s="127">
        <f t="shared" si="3"/>
        <v>2944.9009999999998</v>
      </c>
      <c r="AC29" s="127">
        <f t="shared" si="3"/>
        <v>3049.8049999999994</v>
      </c>
      <c r="AD29" s="127">
        <f t="shared" si="3"/>
        <v>3037.58</v>
      </c>
      <c r="AE29" s="127">
        <f t="shared" si="3"/>
        <v>4135.8469999999998</v>
      </c>
      <c r="AF29" s="127">
        <f t="shared" si="3"/>
        <v>4168.0829999999996</v>
      </c>
      <c r="AG29" s="127">
        <f t="shared" si="3"/>
        <v>4153.6659999999993</v>
      </c>
      <c r="AH29" s="127">
        <f t="shared" si="3"/>
        <v>4134.4269999999997</v>
      </c>
      <c r="AI29" s="127">
        <f t="shared" si="3"/>
        <v>4205.13</v>
      </c>
      <c r="AJ29" s="127">
        <f t="shared" si="3"/>
        <v>4190.7309999999998</v>
      </c>
      <c r="AK29" s="127">
        <f t="shared" si="3"/>
        <v>4170.7440000000006</v>
      </c>
      <c r="AL29" s="127">
        <f t="shared" si="3"/>
        <v>3663.9270000000001</v>
      </c>
      <c r="AM29" s="127">
        <f t="shared" si="3"/>
        <v>3692.9769999999999</v>
      </c>
      <c r="AN29" s="127">
        <f t="shared" si="3"/>
        <v>3585.5819999999994</v>
      </c>
      <c r="AO29" s="127">
        <f t="shared" si="3"/>
        <v>3255.4789999999998</v>
      </c>
      <c r="AP29" s="127">
        <f t="shared" si="3"/>
        <v>3246.625</v>
      </c>
      <c r="AQ29" s="127">
        <f t="shared" si="3"/>
        <v>3366.105</v>
      </c>
      <c r="AR29" s="127">
        <f t="shared" si="3"/>
        <v>3365.8040000000001</v>
      </c>
      <c r="AS29" s="127">
        <f t="shared" si="3"/>
        <v>3363.9829999999997</v>
      </c>
      <c r="AT29" s="127">
        <v>3367.1779999999999</v>
      </c>
      <c r="AU29" s="127">
        <v>3357.0549999999998</v>
      </c>
      <c r="AV29" s="127">
        <v>1588.298</v>
      </c>
      <c r="AW29" s="127">
        <v>1882.4289999999999</v>
      </c>
      <c r="AX29" s="127">
        <v>1875.1460000000002</v>
      </c>
      <c r="AY29" s="127">
        <v>1815.884</v>
      </c>
      <c r="AZ29" s="127">
        <v>1813.4950000000001</v>
      </c>
      <c r="BA29" s="127">
        <v>1801.1999999999998</v>
      </c>
      <c r="BB29" s="127">
        <v>1798.9089999999999</v>
      </c>
      <c r="BC29" s="127">
        <v>1785.1179999999999</v>
      </c>
      <c r="BD29" s="127">
        <v>1776.2360000000001</v>
      </c>
      <c r="BE29" s="127">
        <f>SUM(BE30:BE34)</f>
        <v>1771.229</v>
      </c>
    </row>
    <row r="30" spans="1:57" ht="15" customHeight="1">
      <c r="A30" t="s">
        <v>172</v>
      </c>
      <c r="B30" s="21" t="str">
        <f>IF('Sumário | Summary'!P1=1,"Investimentos","Investments")</f>
        <v>Investimentos</v>
      </c>
      <c r="C30" s="5">
        <v>502.70299999999997</v>
      </c>
      <c r="D30" s="5">
        <v>509.71199999999999</v>
      </c>
      <c r="E30" s="5">
        <v>488.52699999999999</v>
      </c>
      <c r="F30" s="5">
        <v>546.95699999999999</v>
      </c>
      <c r="G30" s="5">
        <v>608.90700000000004</v>
      </c>
      <c r="H30" s="5">
        <v>694.72799999999995</v>
      </c>
      <c r="I30" s="5">
        <v>705.49699999999996</v>
      </c>
      <c r="J30" s="5">
        <v>763.86699999999996</v>
      </c>
      <c r="K30" s="5">
        <v>774.5</v>
      </c>
      <c r="L30" s="5">
        <v>793.01300000000003</v>
      </c>
      <c r="M30" s="5">
        <v>818.78399999999999</v>
      </c>
      <c r="N30" s="5">
        <v>892.4</v>
      </c>
      <c r="O30" s="34">
        <v>927.947</v>
      </c>
      <c r="P30" s="18">
        <v>991.15800000000002</v>
      </c>
      <c r="Q30" s="18">
        <v>1026.3620000000001</v>
      </c>
      <c r="R30" s="18">
        <v>1067.5719999999999</v>
      </c>
      <c r="S30" s="18">
        <v>1081.873</v>
      </c>
      <c r="T30" s="18">
        <v>1089.1679999999999</v>
      </c>
      <c r="U30" s="52">
        <v>196.68100000000001</v>
      </c>
      <c r="V30" s="52">
        <v>173.374</v>
      </c>
      <c r="W30" s="18">
        <v>174.62200000000001</v>
      </c>
      <c r="X30" s="18">
        <v>209.22900000000001</v>
      </c>
      <c r="Y30" s="18">
        <v>161.37899999999999</v>
      </c>
      <c r="Z30" s="18">
        <v>162.38999999999999</v>
      </c>
      <c r="AA30" s="18">
        <v>159.673</v>
      </c>
      <c r="AB30" s="18">
        <v>161.58099999999999</v>
      </c>
      <c r="AC30" s="18">
        <v>181.36500000000001</v>
      </c>
      <c r="AD30" s="18">
        <v>180.82900000000001</v>
      </c>
      <c r="AE30" s="18">
        <v>227.55600000000001</v>
      </c>
      <c r="AF30" s="18">
        <v>227.84299999999999</v>
      </c>
      <c r="AG30" s="18">
        <v>228.899</v>
      </c>
      <c r="AH30" s="18">
        <v>227.232</v>
      </c>
      <c r="AI30" s="18">
        <v>231.583</v>
      </c>
      <c r="AJ30" s="40">
        <v>233.34700000000001</v>
      </c>
      <c r="AK30" s="40">
        <v>229.78200000000001</v>
      </c>
      <c r="AL30" s="40">
        <v>233.505</v>
      </c>
      <c r="AM30" s="40">
        <v>437.35500000000002</v>
      </c>
      <c r="AN30" s="40">
        <v>440.589</v>
      </c>
      <c r="AO30" s="156">
        <v>123.499</v>
      </c>
      <c r="AP30" s="40">
        <v>129.38</v>
      </c>
      <c r="AQ30" s="40">
        <v>172.691</v>
      </c>
      <c r="AR30" s="40">
        <v>179.1</v>
      </c>
      <c r="AS30" s="40">
        <v>182.42400000000001</v>
      </c>
      <c r="AT30" s="40">
        <v>186.346</v>
      </c>
      <c r="AU30" s="40">
        <v>197.76499999999999</v>
      </c>
      <c r="AV30" s="40">
        <v>200.404</v>
      </c>
      <c r="AW30" s="40">
        <v>202.386</v>
      </c>
      <c r="AX30" s="40">
        <v>203.80699999999999</v>
      </c>
      <c r="AY30" s="40">
        <v>152.63</v>
      </c>
      <c r="AZ30" s="40">
        <v>157.25</v>
      </c>
      <c r="BA30" s="40">
        <v>162.52099999999999</v>
      </c>
      <c r="BB30" s="40">
        <v>165.12</v>
      </c>
      <c r="BC30" s="40">
        <v>170.19300000000001</v>
      </c>
      <c r="BD30" s="40">
        <v>169.94300000000001</v>
      </c>
      <c r="BE30" s="40">
        <v>172.06200000000001</v>
      </c>
    </row>
    <row r="31" spans="1:57" ht="15" customHeight="1">
      <c r="A31" t="s">
        <v>173</v>
      </c>
      <c r="B31" s="21" t="str">
        <f>IF('Sumário | Summary'!P1=1,"Propriedades para investimento","Investment properties")</f>
        <v>Propriedades para investimento</v>
      </c>
      <c r="C31" s="5">
        <v>609.55999999999995</v>
      </c>
      <c r="D31" s="5">
        <v>615.524</v>
      </c>
      <c r="E31" s="5">
        <v>619.73299999999995</v>
      </c>
      <c r="F31" s="5">
        <v>630.03</v>
      </c>
      <c r="G31" s="5">
        <v>618.54100000000005</v>
      </c>
      <c r="H31" s="5">
        <v>1623.5650000000001</v>
      </c>
      <c r="I31" s="5">
        <v>616.84500000000003</v>
      </c>
      <c r="J31" s="5">
        <v>616.41</v>
      </c>
      <c r="K31" s="5">
        <v>615.71500000000003</v>
      </c>
      <c r="L31" s="5">
        <v>1718.663</v>
      </c>
      <c r="M31" s="5">
        <v>1712.999</v>
      </c>
      <c r="N31" s="5">
        <v>1708.3430000000001</v>
      </c>
      <c r="O31" s="34">
        <v>1790.2619999999999</v>
      </c>
      <c r="P31" s="18">
        <v>1785.384</v>
      </c>
      <c r="Q31" s="18">
        <v>1764.5619999999999</v>
      </c>
      <c r="R31" s="18">
        <v>2354.366</v>
      </c>
      <c r="S31" s="18">
        <v>2346.415</v>
      </c>
      <c r="T31" s="18">
        <v>2337.8580000000002</v>
      </c>
      <c r="U31" s="52">
        <v>2600.846</v>
      </c>
      <c r="V31" s="52">
        <v>2594.0709999999999</v>
      </c>
      <c r="W31" s="18">
        <v>2849.7860000000001</v>
      </c>
      <c r="X31" s="18">
        <v>2802.9989999999998</v>
      </c>
      <c r="Y31" s="18">
        <v>2826.364</v>
      </c>
      <c r="Z31" s="18">
        <v>2778.5160000000001</v>
      </c>
      <c r="AA31" s="18">
        <v>2789.8829999999998</v>
      </c>
      <c r="AB31" s="18">
        <v>2778.6439999999998</v>
      </c>
      <c r="AC31" s="18">
        <v>2862.3209999999999</v>
      </c>
      <c r="AD31" s="18">
        <v>2853.8040000000001</v>
      </c>
      <c r="AE31" s="18">
        <v>3898.1869999999999</v>
      </c>
      <c r="AF31" s="18">
        <v>3931.0889999999999</v>
      </c>
      <c r="AG31" s="18">
        <v>3915.4879999999998</v>
      </c>
      <c r="AH31" s="18">
        <v>3896.7420000000002</v>
      </c>
      <c r="AI31" s="18">
        <v>3961.5749999999998</v>
      </c>
      <c r="AJ31" s="40">
        <v>3944.6289999999999</v>
      </c>
      <c r="AK31" s="40">
        <v>3927.71</v>
      </c>
      <c r="AL31" s="40">
        <v>3417.328</v>
      </c>
      <c r="AM31" s="40">
        <v>3242.8440000000001</v>
      </c>
      <c r="AN31" s="40">
        <v>3132.0659999999998</v>
      </c>
      <c r="AO31" s="156">
        <v>3119.038</v>
      </c>
      <c r="AP31" s="40">
        <v>3104.3389999999999</v>
      </c>
      <c r="AQ31" s="40">
        <v>3179.567</v>
      </c>
      <c r="AR31" s="40">
        <v>3173.2150000000001</v>
      </c>
      <c r="AS31" s="40">
        <v>3168.3939999999998</v>
      </c>
      <c r="AT31" s="40">
        <v>3166.165</v>
      </c>
      <c r="AU31" s="40">
        <v>3147.6610000000001</v>
      </c>
      <c r="AV31" s="40">
        <v>1382.193</v>
      </c>
      <c r="AW31" s="40">
        <v>1670.473</v>
      </c>
      <c r="AX31" s="40">
        <v>1662.6880000000001</v>
      </c>
      <c r="AY31" s="40">
        <v>1654.808</v>
      </c>
      <c r="AZ31" s="40">
        <v>1647.8720000000001</v>
      </c>
      <c r="BA31" s="40">
        <v>1630.29</v>
      </c>
      <c r="BB31" s="40">
        <v>1624.6289999999999</v>
      </c>
      <c r="BC31" s="40">
        <v>1606.0329999999999</v>
      </c>
      <c r="BD31" s="40">
        <v>1597.671</v>
      </c>
      <c r="BE31" s="40">
        <v>1597.135</v>
      </c>
    </row>
    <row r="32" spans="1:57" ht="15" customHeight="1">
      <c r="A32" t="s">
        <v>174</v>
      </c>
      <c r="B32" s="21" t="str">
        <f>IF('Sumário | Summary'!P1=1,"Imobilizado","Fixed Assets")</f>
        <v>Imobilizado</v>
      </c>
      <c r="C32" s="5">
        <v>1.84</v>
      </c>
      <c r="D32" s="5">
        <v>1.871</v>
      </c>
      <c r="E32" s="5">
        <v>1.8919999999999999</v>
      </c>
      <c r="F32" s="5">
        <v>2.0249999999999999</v>
      </c>
      <c r="G32" s="5">
        <v>2.044</v>
      </c>
      <c r="H32" s="5">
        <v>2.6070000000000002</v>
      </c>
      <c r="I32" s="5">
        <v>2.6190000000000002</v>
      </c>
      <c r="J32" s="5">
        <v>2.2709999999999999</v>
      </c>
      <c r="K32" s="5">
        <v>2.3660000000000001</v>
      </c>
      <c r="L32" s="5">
        <v>2.3439999999999999</v>
      </c>
      <c r="M32" s="5">
        <v>2.5150000000000001</v>
      </c>
      <c r="N32" s="5">
        <v>3.85</v>
      </c>
      <c r="O32" s="34">
        <v>3.8340000000000001</v>
      </c>
      <c r="P32" s="18">
        <v>3.0760000000000001</v>
      </c>
      <c r="Q32" s="18">
        <v>3.0830000000000002</v>
      </c>
      <c r="R32" s="18">
        <v>3.1640000000000001</v>
      </c>
      <c r="S32" s="18">
        <v>3.6429999999999998</v>
      </c>
      <c r="T32" s="18">
        <v>3.915</v>
      </c>
      <c r="U32" s="52">
        <v>7.7939999999999996</v>
      </c>
      <c r="V32" s="52">
        <v>9.2690000000000001</v>
      </c>
      <c r="W32" s="18">
        <v>0.78200000000000003</v>
      </c>
      <c r="X32" s="18">
        <v>0.94499999999999995</v>
      </c>
      <c r="Y32" s="18">
        <v>0.377</v>
      </c>
      <c r="Z32" s="18">
        <v>0.38500000000000001</v>
      </c>
      <c r="AA32" s="18">
        <v>0.70199999999999996</v>
      </c>
      <c r="AB32" s="18">
        <v>0.65900000000000003</v>
      </c>
      <c r="AC32" s="18">
        <v>2.1150000000000002</v>
      </c>
      <c r="AD32" s="18">
        <v>2.468</v>
      </c>
      <c r="AE32" s="18">
        <v>8.9420000000000002</v>
      </c>
      <c r="AF32" s="18">
        <v>8.7530000000000001</v>
      </c>
      <c r="AG32" s="18">
        <v>8.4589999999999996</v>
      </c>
      <c r="AH32" s="18">
        <v>8.173</v>
      </c>
      <c r="AI32" s="18">
        <v>7.899</v>
      </c>
      <c r="AJ32" s="40">
        <v>7.6</v>
      </c>
      <c r="AK32" s="40">
        <v>7.3040000000000003</v>
      </c>
      <c r="AL32" s="40">
        <v>6.3860000000000001</v>
      </c>
      <c r="AM32" s="40">
        <v>5.7110000000000003</v>
      </c>
      <c r="AN32" s="40">
        <v>5.4409999999999998</v>
      </c>
      <c r="AO32" s="156">
        <v>5.1829999999999998</v>
      </c>
      <c r="AP32" s="40">
        <v>4.9329999999999998</v>
      </c>
      <c r="AQ32" s="40">
        <v>4.6829999999999998</v>
      </c>
      <c r="AR32" s="40">
        <v>4.4359999999999999</v>
      </c>
      <c r="AS32" s="40">
        <v>4.1859999999999999</v>
      </c>
      <c r="AT32" s="40">
        <v>4.6689999999999996</v>
      </c>
      <c r="AU32" s="40">
        <v>4.4329999999999998</v>
      </c>
      <c r="AV32" s="40">
        <v>4.0730000000000004</v>
      </c>
      <c r="AW32" s="40">
        <v>4.1390000000000002</v>
      </c>
      <c r="AX32" s="40">
        <v>3.5110000000000001</v>
      </c>
      <c r="AY32" s="40">
        <v>3.2589999999999999</v>
      </c>
      <c r="AZ32" s="40">
        <v>3.0070000000000001</v>
      </c>
      <c r="BA32" s="40">
        <v>2.9750000000000001</v>
      </c>
      <c r="BB32" s="40">
        <v>2.6880000000000002</v>
      </c>
      <c r="BC32" s="40">
        <v>2.3940000000000001</v>
      </c>
      <c r="BD32" s="40">
        <v>2.1059999999999999</v>
      </c>
      <c r="BE32" s="40">
        <v>1.9419999999999999</v>
      </c>
    </row>
    <row r="33" spans="1:57" ht="15" customHeight="1">
      <c r="A33" t="s">
        <v>175</v>
      </c>
      <c r="B33" s="21" t="str">
        <f>IF('Sumário | Summary'!P1=1,"Intangíveis","Intangible")</f>
        <v>Intangíveis</v>
      </c>
      <c r="C33" s="5">
        <v>1E-3</v>
      </c>
      <c r="D33" s="5">
        <v>1E-3</v>
      </c>
      <c r="E33" s="5">
        <v>1</v>
      </c>
      <c r="F33" s="5">
        <v>0</v>
      </c>
      <c r="G33" s="18">
        <v>0</v>
      </c>
      <c r="H33" s="5">
        <v>0.43</v>
      </c>
      <c r="I33" s="5">
        <v>0.43</v>
      </c>
      <c r="J33" s="5">
        <v>7.2999999999999995E-2</v>
      </c>
      <c r="K33" s="5">
        <v>7.5999999999999998E-2</v>
      </c>
      <c r="L33" s="5">
        <v>7.1999999999999995E-2</v>
      </c>
      <c r="M33" s="5">
        <v>0.185</v>
      </c>
      <c r="N33" s="5">
        <v>0.17499999999999999</v>
      </c>
      <c r="O33" s="34">
        <v>0.17</v>
      </c>
      <c r="P33" s="18">
        <v>0.13600000000000001</v>
      </c>
      <c r="Q33" s="18">
        <v>0.13200000000000001</v>
      </c>
      <c r="R33" s="18">
        <v>0.129</v>
      </c>
      <c r="S33" s="18">
        <v>0.13100000000000001</v>
      </c>
      <c r="T33" s="18">
        <v>0.11600000000000001</v>
      </c>
      <c r="U33" s="52">
        <v>0.14899999999999999</v>
      </c>
      <c r="V33" s="52">
        <v>0.505</v>
      </c>
      <c r="W33" s="18">
        <v>0.47899999999999998</v>
      </c>
      <c r="X33" s="18">
        <v>0.52800000000000002</v>
      </c>
      <c r="Y33" s="18">
        <v>0.46899999999999997</v>
      </c>
      <c r="Z33" s="18">
        <v>3.95</v>
      </c>
      <c r="AA33" s="18">
        <v>3.9990000000000001</v>
      </c>
      <c r="AB33" s="18">
        <v>4.0170000000000003</v>
      </c>
      <c r="AC33" s="18">
        <v>4.0039999999999996</v>
      </c>
      <c r="AD33" s="18">
        <v>0.47899999999999998</v>
      </c>
      <c r="AE33" s="18">
        <v>1.1619999999999999</v>
      </c>
      <c r="AF33" s="18">
        <v>0.39800000000000002</v>
      </c>
      <c r="AG33" s="18">
        <v>0.82</v>
      </c>
      <c r="AH33" s="18">
        <v>2.2799999999999998</v>
      </c>
      <c r="AI33" s="18">
        <v>4.0730000000000004</v>
      </c>
      <c r="AJ33" s="40">
        <v>5.1550000000000002</v>
      </c>
      <c r="AK33" s="40">
        <v>5.9480000000000004</v>
      </c>
      <c r="AL33" s="40">
        <v>6.7080000000000002</v>
      </c>
      <c r="AM33" s="40">
        <v>7.0670000000000002</v>
      </c>
      <c r="AN33" s="40">
        <v>7.4859999999999998</v>
      </c>
      <c r="AO33" s="156">
        <v>7.7590000000000003</v>
      </c>
      <c r="AP33" s="40">
        <v>7.9729999999999999</v>
      </c>
      <c r="AQ33" s="40">
        <v>9.1639999999999997</v>
      </c>
      <c r="AR33" s="40">
        <v>9.0530000000000008</v>
      </c>
      <c r="AS33" s="40">
        <v>8.9789999999999992</v>
      </c>
      <c r="AT33" s="40">
        <v>9.9979999999999993</v>
      </c>
      <c r="AU33" s="40">
        <v>7.1959999999999997</v>
      </c>
      <c r="AV33" s="40">
        <v>1.6279999999999999</v>
      </c>
      <c r="AW33" s="40">
        <v>5.431</v>
      </c>
      <c r="AX33" s="40">
        <v>5.14</v>
      </c>
      <c r="AY33" s="40">
        <v>5.1870000000000003</v>
      </c>
      <c r="AZ33" s="40">
        <v>5.3659999999999997</v>
      </c>
      <c r="BA33" s="40">
        <v>5.4139999999999997</v>
      </c>
      <c r="BB33" s="40">
        <v>6.4720000000000004</v>
      </c>
      <c r="BC33" s="40">
        <v>6.4980000000000002</v>
      </c>
      <c r="BD33" s="40">
        <v>6.516</v>
      </c>
      <c r="BE33" s="40">
        <v>0.09</v>
      </c>
    </row>
    <row r="34" spans="1:57" ht="15" customHeight="1">
      <c r="A34" t="s">
        <v>177</v>
      </c>
      <c r="B34" s="21" t="str">
        <f>IF('Sumário | Summary'!P1=1,"Outros Investimentos","Other Investments")</f>
        <v>Outros Investimentos</v>
      </c>
      <c r="C34" s="18">
        <v>0</v>
      </c>
      <c r="D34" s="18">
        <v>0</v>
      </c>
      <c r="E34" s="18">
        <v>0</v>
      </c>
      <c r="F34" s="18">
        <v>0</v>
      </c>
      <c r="G34" s="18">
        <v>0</v>
      </c>
      <c r="H34" s="18">
        <v>0</v>
      </c>
      <c r="I34" s="18">
        <v>0</v>
      </c>
      <c r="J34" s="18">
        <v>0</v>
      </c>
      <c r="K34" s="18">
        <v>0</v>
      </c>
      <c r="L34" s="18"/>
      <c r="M34" s="18">
        <v>0</v>
      </c>
      <c r="N34" s="18">
        <v>0</v>
      </c>
      <c r="O34" s="31">
        <v>0</v>
      </c>
      <c r="P34" s="18">
        <v>0</v>
      </c>
      <c r="Q34" s="18">
        <v>0</v>
      </c>
      <c r="R34" s="18">
        <v>0</v>
      </c>
      <c r="S34" s="18">
        <v>0</v>
      </c>
      <c r="T34" s="40">
        <v>0</v>
      </c>
      <c r="U34" s="40">
        <v>0</v>
      </c>
      <c r="V34" s="40">
        <v>0</v>
      </c>
      <c r="W34" s="40">
        <v>0</v>
      </c>
      <c r="X34" s="40">
        <v>0</v>
      </c>
      <c r="Y34" s="40">
        <v>0</v>
      </c>
      <c r="Z34" s="40">
        <v>0</v>
      </c>
      <c r="AA34" s="40">
        <v>0</v>
      </c>
      <c r="AB34" s="40">
        <v>0</v>
      </c>
      <c r="AC34" s="40">
        <v>0</v>
      </c>
      <c r="AD34" s="40">
        <v>0</v>
      </c>
      <c r="AE34" s="40">
        <v>0</v>
      </c>
      <c r="AF34" s="40">
        <v>0</v>
      </c>
      <c r="AG34" s="40">
        <v>0</v>
      </c>
      <c r="AH34" s="40">
        <v>0</v>
      </c>
      <c r="AI34" s="40">
        <v>0</v>
      </c>
      <c r="AJ34" s="40">
        <v>0</v>
      </c>
      <c r="AK34" s="40">
        <v>0</v>
      </c>
      <c r="AL34" s="40">
        <v>0</v>
      </c>
      <c r="AM34" s="40">
        <v>0</v>
      </c>
      <c r="AN34" s="40">
        <v>0</v>
      </c>
      <c r="AO34" s="156">
        <v>0</v>
      </c>
      <c r="AP34" s="40">
        <v>0</v>
      </c>
      <c r="AQ34" s="40">
        <v>0</v>
      </c>
      <c r="AR34" s="40">
        <v>0</v>
      </c>
      <c r="AS34" s="40">
        <v>0</v>
      </c>
      <c r="AT34" s="40">
        <v>0</v>
      </c>
      <c r="AU34" s="40">
        <v>0</v>
      </c>
      <c r="AV34" s="40">
        <v>0</v>
      </c>
      <c r="AW34" s="40">
        <v>0</v>
      </c>
      <c r="AX34" s="40">
        <v>0</v>
      </c>
      <c r="AY34" s="40">
        <v>0</v>
      </c>
      <c r="AZ34" s="40">
        <v>0</v>
      </c>
      <c r="BA34" s="40">
        <v>0</v>
      </c>
      <c r="BB34" s="40">
        <v>0</v>
      </c>
      <c r="BC34" s="40">
        <v>0</v>
      </c>
      <c r="BD34" s="40">
        <v>0</v>
      </c>
      <c r="BE34" s="40">
        <v>0</v>
      </c>
    </row>
    <row r="35" spans="1:57" ht="14.25" customHeight="1">
      <c r="A35" t="s">
        <v>123</v>
      </c>
      <c r="B35" s="22" t="str">
        <f>IF('Sumário | Summary'!P1=1,"PASSIVO","Liabilities")</f>
        <v>PASSIVO</v>
      </c>
      <c r="C35" s="6">
        <v>2143.2750000000001</v>
      </c>
      <c r="D35" s="6">
        <v>2385.2370000000001</v>
      </c>
      <c r="E35" s="6">
        <v>2459.165</v>
      </c>
      <c r="F35" s="6">
        <v>2762.8703000000005</v>
      </c>
      <c r="G35" s="6">
        <v>3123.3249999999998</v>
      </c>
      <c r="H35" s="6">
        <v>3593.3210000000004</v>
      </c>
      <c r="I35" s="6">
        <v>3756.0350000000003</v>
      </c>
      <c r="J35" s="6">
        <v>3892.1059999999998</v>
      </c>
      <c r="K35" s="6">
        <v>4353.4920000000002</v>
      </c>
      <c r="L35" s="6">
        <v>4293.8330000000005</v>
      </c>
      <c r="M35" s="6">
        <v>4310.936999999999</v>
      </c>
      <c r="N35" s="6">
        <v>4839.7110000000002</v>
      </c>
      <c r="O35" s="6">
        <v>4856.1530000000002</v>
      </c>
      <c r="P35" s="6">
        <v>4656.2620000000006</v>
      </c>
      <c r="Q35" s="6">
        <v>4640.3810000000003</v>
      </c>
      <c r="R35" s="6">
        <v>4720.8609999999999</v>
      </c>
      <c r="S35" s="6">
        <v>4832.8990000000003</v>
      </c>
      <c r="T35" s="127">
        <f t="shared" ref="T35:AS35" si="4">T36+T53</f>
        <v>2636.91</v>
      </c>
      <c r="U35" s="127">
        <f t="shared" si="4"/>
        <v>2681.4789999999998</v>
      </c>
      <c r="V35" s="127">
        <f t="shared" si="4"/>
        <v>1976.1290000000001</v>
      </c>
      <c r="W35" s="127">
        <f t="shared" si="4"/>
        <v>1760.9649999999999</v>
      </c>
      <c r="X35" s="127">
        <f t="shared" si="4"/>
        <v>1947.8450000000003</v>
      </c>
      <c r="Y35" s="127">
        <f t="shared" si="4"/>
        <v>1866.0049999999999</v>
      </c>
      <c r="Z35" s="127">
        <f t="shared" si="4"/>
        <v>1842.1949999999997</v>
      </c>
      <c r="AA35" s="127">
        <f t="shared" si="4"/>
        <v>1813.9070000000002</v>
      </c>
      <c r="AB35" s="127">
        <f t="shared" si="4"/>
        <v>1737.778</v>
      </c>
      <c r="AC35" s="127">
        <f t="shared" si="4"/>
        <v>2093.3980000000001</v>
      </c>
      <c r="AD35" s="127">
        <f t="shared" si="4"/>
        <v>1834.0809999999999</v>
      </c>
      <c r="AE35" s="127">
        <f t="shared" si="4"/>
        <v>2148.8109999999997</v>
      </c>
      <c r="AF35" s="127">
        <f t="shared" si="4"/>
        <v>2046.433</v>
      </c>
      <c r="AG35" s="127">
        <f t="shared" si="4"/>
        <v>2034.6490000000001</v>
      </c>
      <c r="AH35" s="127">
        <f t="shared" si="4"/>
        <v>1971.6940000000004</v>
      </c>
      <c r="AI35" s="127">
        <f t="shared" si="4"/>
        <v>1984.7279999999998</v>
      </c>
      <c r="AJ35" s="127">
        <f t="shared" si="4"/>
        <v>1891.38</v>
      </c>
      <c r="AK35" s="127">
        <f t="shared" si="4"/>
        <v>2200.3119999999999</v>
      </c>
      <c r="AL35" s="127">
        <f t="shared" si="4"/>
        <v>2154.2239999999997</v>
      </c>
      <c r="AM35" s="127">
        <f t="shared" si="4"/>
        <v>2118.3890000000001</v>
      </c>
      <c r="AN35" s="127">
        <f t="shared" si="4"/>
        <v>1916.3680000000002</v>
      </c>
      <c r="AO35" s="127">
        <f t="shared" si="4"/>
        <v>1755.5079999999998</v>
      </c>
      <c r="AP35" s="127">
        <f t="shared" si="4"/>
        <v>1512.4639999999997</v>
      </c>
      <c r="AQ35" s="127">
        <f t="shared" si="4"/>
        <v>1500.6030000000001</v>
      </c>
      <c r="AR35" s="127">
        <f t="shared" si="4"/>
        <v>1492.9369999999999</v>
      </c>
      <c r="AS35" s="127">
        <f t="shared" si="4"/>
        <v>1461.2550000000001</v>
      </c>
      <c r="AT35" s="127">
        <v>1466.8850000000002</v>
      </c>
      <c r="AU35" s="127">
        <v>1439.0910000000001</v>
      </c>
      <c r="AV35" s="127">
        <v>1725.394</v>
      </c>
      <c r="AW35" s="127">
        <v>1606.9739999999997</v>
      </c>
      <c r="AX35" s="127">
        <v>1309.7739999999999</v>
      </c>
      <c r="AY35" s="127">
        <v>1307.328</v>
      </c>
      <c r="AZ35" s="127">
        <v>1313.251</v>
      </c>
      <c r="BA35" s="127">
        <v>951.202</v>
      </c>
      <c r="BB35" s="127">
        <v>954.80400000000009</v>
      </c>
      <c r="BC35" s="127">
        <v>933.48500000000001</v>
      </c>
      <c r="BD35" s="127">
        <v>791.33499999999992</v>
      </c>
      <c r="BE35" s="127">
        <f>BE36+BE53</f>
        <v>793.4670000000001</v>
      </c>
    </row>
    <row r="36" spans="1:57" ht="15" customHeight="1">
      <c r="A36" t="s">
        <v>118</v>
      </c>
      <c r="B36" s="11" t="str">
        <f>IF('Sumário | Summary'!P1=1,"Passivo Circulante","Current Liabilities")</f>
        <v>Passivo Circulante</v>
      </c>
      <c r="C36" s="6">
        <v>254.89200000000002</v>
      </c>
      <c r="D36" s="6">
        <v>290.43800000000005</v>
      </c>
      <c r="E36" s="6">
        <v>255.46399999999997</v>
      </c>
      <c r="F36" s="6">
        <v>403.50729999999993</v>
      </c>
      <c r="G36" s="6">
        <v>455.14499999999998</v>
      </c>
      <c r="H36" s="6">
        <v>384.15200000000004</v>
      </c>
      <c r="I36" s="6">
        <v>345.42800000000011</v>
      </c>
      <c r="J36" s="6">
        <v>302.649</v>
      </c>
      <c r="K36" s="6">
        <v>406.78899999999999</v>
      </c>
      <c r="L36" s="6">
        <v>469.82199999999995</v>
      </c>
      <c r="M36" s="6">
        <v>470.23599999999999</v>
      </c>
      <c r="N36" s="6">
        <v>478.66100000000006</v>
      </c>
      <c r="O36" s="6">
        <v>516.8685999999999</v>
      </c>
      <c r="P36" s="6">
        <v>569.45339999999999</v>
      </c>
      <c r="Q36" s="6">
        <v>596.21199999999999</v>
      </c>
      <c r="R36" s="6">
        <v>570.94299999999998</v>
      </c>
      <c r="S36" s="6">
        <v>511.9276000000001</v>
      </c>
      <c r="T36" s="127">
        <f t="shared" ref="T36:AS36" si="5">SUM(T37:T52)</f>
        <v>481.298</v>
      </c>
      <c r="U36" s="127">
        <f t="shared" si="5"/>
        <v>595.1869999999999</v>
      </c>
      <c r="V36" s="127">
        <f t="shared" si="5"/>
        <v>414.827</v>
      </c>
      <c r="W36" s="127">
        <f t="shared" si="5"/>
        <v>331.27899999999994</v>
      </c>
      <c r="X36" s="127">
        <f t="shared" si="5"/>
        <v>354.97500000000008</v>
      </c>
      <c r="Y36" s="127">
        <f t="shared" si="5"/>
        <v>306.03799999999995</v>
      </c>
      <c r="Z36" s="127">
        <f t="shared" si="5"/>
        <v>404.00099999999998</v>
      </c>
      <c r="AA36" s="127">
        <f t="shared" si="5"/>
        <v>366.16800000000006</v>
      </c>
      <c r="AB36" s="127">
        <f t="shared" si="5"/>
        <v>354.24399999999997</v>
      </c>
      <c r="AC36" s="127">
        <f t="shared" si="5"/>
        <v>425.73599999999999</v>
      </c>
      <c r="AD36" s="127">
        <f t="shared" si="5"/>
        <v>291.95400000000001</v>
      </c>
      <c r="AE36" s="127">
        <f t="shared" si="5"/>
        <v>259.22999999999996</v>
      </c>
      <c r="AF36" s="127">
        <f t="shared" si="5"/>
        <v>210.96599999999998</v>
      </c>
      <c r="AG36" s="127">
        <f t="shared" si="5"/>
        <v>199.06799999999998</v>
      </c>
      <c r="AH36" s="127">
        <f t="shared" si="5"/>
        <v>184.48699999999997</v>
      </c>
      <c r="AI36" s="127">
        <f t="shared" si="5"/>
        <v>208.03399999999996</v>
      </c>
      <c r="AJ36" s="127">
        <f t="shared" si="5"/>
        <v>185.55499999999995</v>
      </c>
      <c r="AK36" s="127">
        <f t="shared" si="5"/>
        <v>289.68399999999997</v>
      </c>
      <c r="AL36" s="127">
        <f t="shared" si="5"/>
        <v>288.411</v>
      </c>
      <c r="AM36" s="127">
        <f t="shared" si="5"/>
        <v>331.23200000000003</v>
      </c>
      <c r="AN36" s="127">
        <f t="shared" si="5"/>
        <v>201.827</v>
      </c>
      <c r="AO36" s="127">
        <f t="shared" si="5"/>
        <v>214.39</v>
      </c>
      <c r="AP36" s="127">
        <f t="shared" si="5"/>
        <v>109.79299999999999</v>
      </c>
      <c r="AQ36" s="127">
        <f t="shared" si="5"/>
        <v>94.549000000000007</v>
      </c>
      <c r="AR36" s="127">
        <f t="shared" si="5"/>
        <v>82.95</v>
      </c>
      <c r="AS36" s="127">
        <f t="shared" si="5"/>
        <v>100.047</v>
      </c>
      <c r="AT36" s="127">
        <v>107.726</v>
      </c>
      <c r="AU36" s="127">
        <v>78.88300000000001</v>
      </c>
      <c r="AV36" s="127">
        <v>438.84799999999996</v>
      </c>
      <c r="AW36" s="127">
        <v>321.57799999999997</v>
      </c>
      <c r="AX36" s="127">
        <v>103.15400000000002</v>
      </c>
      <c r="AY36" s="127">
        <v>220.58899999999997</v>
      </c>
      <c r="AZ36" s="127">
        <v>220.03799999999995</v>
      </c>
      <c r="BA36" s="127">
        <v>229.46499999999997</v>
      </c>
      <c r="BB36" s="127">
        <v>238.32599999999999</v>
      </c>
      <c r="BC36" s="127">
        <v>216.66699999999994</v>
      </c>
      <c r="BD36" s="127">
        <v>70.936999999999983</v>
      </c>
      <c r="BE36" s="127">
        <f>SUM(BE37:BE52)</f>
        <v>199.48899999999998</v>
      </c>
    </row>
    <row r="37" spans="1:57" ht="15" customHeight="1">
      <c r="A37" t="s">
        <v>178</v>
      </c>
      <c r="B37" s="28" t="str">
        <f>IF('Sumário | Summary'!P1=1,"Empréstimos e financiamentos","Loans and Financing")</f>
        <v>Empréstimos e financiamentos</v>
      </c>
      <c r="C37" s="18">
        <v>18.065999999999999</v>
      </c>
      <c r="D37" s="18">
        <v>19.396000000000001</v>
      </c>
      <c r="E37" s="18">
        <v>32.094999999999999</v>
      </c>
      <c r="F37" s="18">
        <v>47.648299999999999</v>
      </c>
      <c r="G37" s="18">
        <v>63.804000000000002</v>
      </c>
      <c r="H37" s="18">
        <v>69.914000000000001</v>
      </c>
      <c r="I37" s="18">
        <v>61.176000000000002</v>
      </c>
      <c r="J37" s="18">
        <v>110.876</v>
      </c>
      <c r="K37" s="18">
        <v>152.02699999999999</v>
      </c>
      <c r="L37" s="18">
        <v>171.24600000000001</v>
      </c>
      <c r="M37" s="18">
        <v>181.988</v>
      </c>
      <c r="N37" s="18">
        <v>207.28800000000001</v>
      </c>
      <c r="O37" s="31">
        <v>208.04</v>
      </c>
      <c r="P37" s="18">
        <v>208.541</v>
      </c>
      <c r="Q37" s="18">
        <v>208.33699999999999</v>
      </c>
      <c r="R37" s="18">
        <v>225.51400000000001</v>
      </c>
      <c r="S37" s="18">
        <v>238.17400000000001</v>
      </c>
      <c r="T37" s="18">
        <v>253.31200000000001</v>
      </c>
      <c r="U37" s="18">
        <v>254.375</v>
      </c>
      <c r="V37" s="18">
        <v>72.543999999999997</v>
      </c>
      <c r="W37" s="18">
        <v>70.132000000000005</v>
      </c>
      <c r="X37" s="18">
        <v>74.933999999999997</v>
      </c>
      <c r="Y37" s="18">
        <v>72.441000000000003</v>
      </c>
      <c r="Z37" s="18">
        <v>78.17</v>
      </c>
      <c r="AA37" s="18">
        <v>46.725000000000001</v>
      </c>
      <c r="AB37" s="18">
        <v>55.351999999999997</v>
      </c>
      <c r="AC37" s="18">
        <v>48.021999999999998</v>
      </c>
      <c r="AD37" s="18">
        <v>56.747</v>
      </c>
      <c r="AE37" s="18">
        <v>6.0330000000000004</v>
      </c>
      <c r="AF37" s="18">
        <v>6.51</v>
      </c>
      <c r="AG37" s="18">
        <v>6.6150000000000002</v>
      </c>
      <c r="AH37" s="18">
        <v>6.7450000000000001</v>
      </c>
      <c r="AI37" s="18">
        <v>6.8769999999999998</v>
      </c>
      <c r="AJ37" s="40">
        <v>7.032</v>
      </c>
      <c r="AK37" s="40">
        <v>7.15</v>
      </c>
      <c r="AL37" s="40">
        <v>7.29</v>
      </c>
      <c r="AM37" s="40">
        <v>0</v>
      </c>
      <c r="AN37" s="40">
        <v>0</v>
      </c>
      <c r="AO37" s="156">
        <v>0</v>
      </c>
      <c r="AP37" s="40">
        <v>0</v>
      </c>
      <c r="AQ37" s="40">
        <v>0</v>
      </c>
      <c r="AR37" s="40">
        <v>0</v>
      </c>
      <c r="AS37" s="40">
        <v>0</v>
      </c>
      <c r="AT37" s="40">
        <v>0</v>
      </c>
      <c r="AU37" s="40">
        <v>0</v>
      </c>
      <c r="AV37" s="40">
        <v>0</v>
      </c>
      <c r="AW37" s="40">
        <v>0</v>
      </c>
      <c r="AX37" s="40">
        <v>0</v>
      </c>
      <c r="AY37" s="40">
        <v>0</v>
      </c>
      <c r="AZ37" s="40">
        <v>0</v>
      </c>
      <c r="BA37" s="40">
        <v>0</v>
      </c>
      <c r="BB37" s="40">
        <v>0</v>
      </c>
      <c r="BC37" s="40">
        <v>0</v>
      </c>
      <c r="BD37" s="40">
        <v>0</v>
      </c>
      <c r="BE37" s="40">
        <v>0</v>
      </c>
    </row>
    <row r="38" spans="1:57" ht="15" customHeight="1">
      <c r="A38" t="s">
        <v>179</v>
      </c>
      <c r="B38" s="28" t="str">
        <f>IF('Sumário | Summary'!P1=1,"Debêntures","Debentures")</f>
        <v>Debêntures</v>
      </c>
      <c r="C38" s="18">
        <v>63.901000000000003</v>
      </c>
      <c r="D38" s="18">
        <v>64.631</v>
      </c>
      <c r="E38" s="18">
        <v>69.584000000000003</v>
      </c>
      <c r="F38" s="18">
        <v>158.572</v>
      </c>
      <c r="G38" s="18">
        <v>172.21600000000001</v>
      </c>
      <c r="H38" s="18">
        <v>73.468000000000004</v>
      </c>
      <c r="I38" s="18">
        <v>91.123000000000005</v>
      </c>
      <c r="J38" s="18">
        <v>75.933999999999997</v>
      </c>
      <c r="K38" s="18">
        <v>95.284999999999997</v>
      </c>
      <c r="L38" s="18">
        <v>178.577</v>
      </c>
      <c r="M38" s="18">
        <v>199.73500000000001</v>
      </c>
      <c r="N38" s="18">
        <v>181.35499999999999</v>
      </c>
      <c r="O38" s="31">
        <v>201.53399999999999</v>
      </c>
      <c r="P38" s="18">
        <v>258.84500000000003</v>
      </c>
      <c r="Q38" s="18">
        <v>280.23200000000003</v>
      </c>
      <c r="R38" s="18">
        <v>225.2</v>
      </c>
      <c r="S38" s="18">
        <v>152.761</v>
      </c>
      <c r="T38" s="18">
        <v>98.801000000000002</v>
      </c>
      <c r="U38" s="18">
        <v>83.885999999999996</v>
      </c>
      <c r="V38" s="18">
        <v>141.858</v>
      </c>
      <c r="W38" s="18">
        <v>158.46600000000001</v>
      </c>
      <c r="X38" s="18">
        <v>183.84800000000001</v>
      </c>
      <c r="Y38" s="18">
        <v>189.05500000000001</v>
      </c>
      <c r="Z38" s="18">
        <v>255.50200000000001</v>
      </c>
      <c r="AA38" s="18">
        <v>261.06</v>
      </c>
      <c r="AB38" s="18">
        <v>236.60400000000001</v>
      </c>
      <c r="AC38" s="18">
        <v>243.74799999999999</v>
      </c>
      <c r="AD38" s="18">
        <v>120.00700000000001</v>
      </c>
      <c r="AE38" s="18">
        <v>130.49299999999999</v>
      </c>
      <c r="AF38" s="18">
        <v>135.09299999999999</v>
      </c>
      <c r="AG38" s="18">
        <v>126.568</v>
      </c>
      <c r="AH38" s="18">
        <v>121.95399999999999</v>
      </c>
      <c r="AI38" s="18">
        <v>124.669</v>
      </c>
      <c r="AJ38" s="40">
        <v>118.74</v>
      </c>
      <c r="AK38" s="40">
        <v>221.34100000000001</v>
      </c>
      <c r="AL38" s="40">
        <v>221.45099999999999</v>
      </c>
      <c r="AM38" s="40">
        <v>224.50200000000001</v>
      </c>
      <c r="AN38" s="40">
        <v>125.361</v>
      </c>
      <c r="AO38" s="156">
        <v>116.152</v>
      </c>
      <c r="AP38" s="40">
        <v>53.271999999999998</v>
      </c>
      <c r="AQ38" s="40">
        <v>25.273</v>
      </c>
      <c r="AR38" s="40">
        <v>32.351999999999997</v>
      </c>
      <c r="AS38" s="40">
        <v>51.121000000000002</v>
      </c>
      <c r="AT38" s="40">
        <v>58.866999999999997</v>
      </c>
      <c r="AU38" s="40">
        <v>23.484000000000002</v>
      </c>
      <c r="AV38" s="40">
        <v>103.71</v>
      </c>
      <c r="AW38" s="40">
        <v>119.057</v>
      </c>
      <c r="AX38" s="40">
        <v>48.664000000000001</v>
      </c>
      <c r="AY38" s="40">
        <v>136.25299999999999</v>
      </c>
      <c r="AZ38" s="40">
        <v>148.51300000000001</v>
      </c>
      <c r="BA38" s="40">
        <v>14.834</v>
      </c>
      <c r="BB38" s="40">
        <v>15.079000000000001</v>
      </c>
      <c r="BC38" s="40">
        <v>15.074999999999999</v>
      </c>
      <c r="BD38" s="40">
        <v>15.077999999999999</v>
      </c>
      <c r="BE38" s="40">
        <v>15.084</v>
      </c>
    </row>
    <row r="39" spans="1:57" ht="15" customHeight="1">
      <c r="A39" t="s">
        <v>190</v>
      </c>
      <c r="B39" s="39" t="str">
        <f>IF('Sumário | Summary'!P1=1,"Notas Promissórias","Promissory Notes")</f>
        <v>Notas Promissórias</v>
      </c>
      <c r="C39" s="18">
        <v>0</v>
      </c>
      <c r="D39" s="18">
        <v>0</v>
      </c>
      <c r="E39" s="18">
        <v>0</v>
      </c>
      <c r="F39" s="18">
        <v>0</v>
      </c>
      <c r="G39" s="18">
        <v>0</v>
      </c>
      <c r="H39" s="18">
        <v>0</v>
      </c>
      <c r="I39" s="18">
        <v>0</v>
      </c>
      <c r="J39" s="18">
        <v>0</v>
      </c>
      <c r="K39" s="18">
        <v>0</v>
      </c>
      <c r="L39" s="18">
        <v>0</v>
      </c>
      <c r="M39" s="18">
        <v>0</v>
      </c>
      <c r="N39" s="18">
        <v>0</v>
      </c>
      <c r="O39" s="18">
        <v>0</v>
      </c>
      <c r="P39" s="18">
        <v>0</v>
      </c>
      <c r="Q39" s="18">
        <v>0</v>
      </c>
      <c r="R39" s="40">
        <v>19.146999999999998</v>
      </c>
      <c r="S39" s="40">
        <v>24.106999999999999</v>
      </c>
      <c r="T39" s="40">
        <v>28.611999999999998</v>
      </c>
      <c r="U39" s="40">
        <v>168.25399999999999</v>
      </c>
      <c r="V39" s="40">
        <v>35.866</v>
      </c>
      <c r="W39" s="40">
        <v>39.091999999999999</v>
      </c>
      <c r="X39" s="40">
        <v>0</v>
      </c>
      <c r="Y39" s="40">
        <v>0</v>
      </c>
      <c r="Z39" s="18">
        <v>0</v>
      </c>
      <c r="AA39" s="18">
        <v>0</v>
      </c>
      <c r="AB39" s="18">
        <v>0</v>
      </c>
      <c r="AC39" s="18">
        <v>0</v>
      </c>
      <c r="AD39" s="18">
        <v>0</v>
      </c>
      <c r="AE39" s="18">
        <v>0</v>
      </c>
      <c r="AF39" s="18">
        <v>0</v>
      </c>
      <c r="AG39" s="18">
        <v>0</v>
      </c>
      <c r="AH39" s="18">
        <v>0</v>
      </c>
      <c r="AI39" s="18">
        <v>0</v>
      </c>
      <c r="AJ39" s="40">
        <v>0</v>
      </c>
      <c r="AK39" s="40">
        <v>0</v>
      </c>
      <c r="AL39" s="40">
        <v>0</v>
      </c>
      <c r="AM39" s="40">
        <v>0</v>
      </c>
      <c r="AN39" s="40">
        <v>0</v>
      </c>
      <c r="AO39" s="156">
        <v>0</v>
      </c>
      <c r="AP39" s="40">
        <v>0</v>
      </c>
      <c r="AQ39" s="40">
        <v>0</v>
      </c>
      <c r="AR39" s="40">
        <v>0</v>
      </c>
      <c r="AS39" s="40">
        <v>0</v>
      </c>
      <c r="AT39" s="40">
        <v>0</v>
      </c>
      <c r="AU39" s="40">
        <v>0</v>
      </c>
      <c r="AV39" s="40">
        <v>0</v>
      </c>
      <c r="AW39" s="40">
        <v>0</v>
      </c>
      <c r="AX39" s="40">
        <v>0</v>
      </c>
      <c r="AY39" s="40">
        <v>0</v>
      </c>
      <c r="AZ39" s="40">
        <v>0</v>
      </c>
      <c r="BA39" s="40">
        <v>0</v>
      </c>
      <c r="BB39" s="40">
        <v>0</v>
      </c>
      <c r="BC39" s="40">
        <v>0</v>
      </c>
      <c r="BD39" s="40">
        <v>0</v>
      </c>
      <c r="BE39" s="40">
        <v>0</v>
      </c>
    </row>
    <row r="40" spans="1:57" ht="15" customHeight="1">
      <c r="A40" t="s">
        <v>180</v>
      </c>
      <c r="B40" s="28" t="str">
        <f>IF('Sumário | Summary'!P1=1,"Fornecedores","Suppliers")</f>
        <v>Fornecedores</v>
      </c>
      <c r="C40" s="18">
        <v>23.91</v>
      </c>
      <c r="D40" s="18">
        <v>30.120999999999999</v>
      </c>
      <c r="E40" s="18">
        <v>43.576000000000001</v>
      </c>
      <c r="F40" s="18">
        <v>50.3</v>
      </c>
      <c r="G40" s="18">
        <v>37.795999999999999</v>
      </c>
      <c r="H40" s="18">
        <v>41.209000000000003</v>
      </c>
      <c r="I40" s="18">
        <v>36.972999999999999</v>
      </c>
      <c r="J40" s="18">
        <v>37.44</v>
      </c>
      <c r="K40" s="18">
        <v>35.51</v>
      </c>
      <c r="L40" s="18">
        <v>39.098999999999997</v>
      </c>
      <c r="M40" s="18">
        <v>27.992999999999999</v>
      </c>
      <c r="N40" s="18">
        <v>35.161000000000001</v>
      </c>
      <c r="O40" s="31">
        <v>38.201000000000001</v>
      </c>
      <c r="P40" s="18">
        <v>32.137999999999998</v>
      </c>
      <c r="Q40" s="18">
        <v>39.537999999999997</v>
      </c>
      <c r="R40" s="18">
        <v>32.494999999999997</v>
      </c>
      <c r="S40" s="18">
        <v>30.23</v>
      </c>
      <c r="T40" s="18">
        <v>17.058</v>
      </c>
      <c r="U40" s="18">
        <v>15.465</v>
      </c>
      <c r="V40" s="18">
        <v>12.914</v>
      </c>
      <c r="W40" s="18">
        <v>12.385</v>
      </c>
      <c r="X40" s="18">
        <v>10.271000000000001</v>
      </c>
      <c r="Y40" s="18">
        <v>7.843</v>
      </c>
      <c r="Z40" s="18">
        <v>7.6639999999999997</v>
      </c>
      <c r="AA40" s="18">
        <v>10.021000000000001</v>
      </c>
      <c r="AB40" s="18">
        <v>7.6420000000000003</v>
      </c>
      <c r="AC40" s="18">
        <v>8.7040000000000006</v>
      </c>
      <c r="AD40" s="18">
        <v>8.5779999999999994</v>
      </c>
      <c r="AE40" s="18">
        <v>12.398999999999999</v>
      </c>
      <c r="AF40" s="18">
        <v>8.734</v>
      </c>
      <c r="AG40" s="18">
        <v>6.7869999999999999</v>
      </c>
      <c r="AH40" s="18">
        <v>7.0819999999999999</v>
      </c>
      <c r="AI40" s="18">
        <v>10.808999999999999</v>
      </c>
      <c r="AJ40" s="40">
        <v>7.1580000000000004</v>
      </c>
      <c r="AK40" s="40">
        <v>9.9359999999999999</v>
      </c>
      <c r="AL40" s="40">
        <v>11.853</v>
      </c>
      <c r="AM40" s="40">
        <v>20.050999999999998</v>
      </c>
      <c r="AN40" s="40">
        <v>11.396000000000001</v>
      </c>
      <c r="AO40" s="156">
        <v>11.613</v>
      </c>
      <c r="AP40" s="40">
        <v>12.548</v>
      </c>
      <c r="AQ40" s="40">
        <v>29.175000000000001</v>
      </c>
      <c r="AR40" s="40">
        <v>24.463000000000001</v>
      </c>
      <c r="AS40" s="40">
        <v>10.074</v>
      </c>
      <c r="AT40" s="40">
        <v>10.132</v>
      </c>
      <c r="AU40" s="40">
        <v>11.89</v>
      </c>
      <c r="AV40" s="40">
        <v>8.6460000000000008</v>
      </c>
      <c r="AW40" s="40">
        <v>21.248999999999999</v>
      </c>
      <c r="AX40" s="40">
        <v>11.039</v>
      </c>
      <c r="AY40" s="40">
        <v>13.792999999999999</v>
      </c>
      <c r="AZ40" s="40">
        <v>9.1430000000000007</v>
      </c>
      <c r="BA40" s="40">
        <v>14.582000000000001</v>
      </c>
      <c r="BB40" s="40">
        <v>10.587999999999999</v>
      </c>
      <c r="BC40" s="40">
        <v>16.690999999999999</v>
      </c>
      <c r="BD40" s="40">
        <v>13.023</v>
      </c>
      <c r="BE40" s="40">
        <v>13.032999999999999</v>
      </c>
    </row>
    <row r="41" spans="1:57" ht="15" customHeight="1">
      <c r="A41" t="s">
        <v>284</v>
      </c>
      <c r="B41" s="28" t="str">
        <f>IF('Sumário | Summary'!P1=1,"Contas a pagar por aquisição de imóveis","Accounts payable due to real estate acquisition ")</f>
        <v>Contas a pagar por aquisição de imóveis</v>
      </c>
      <c r="C41" s="18">
        <v>0</v>
      </c>
      <c r="D41" s="18">
        <v>0</v>
      </c>
      <c r="E41" s="18">
        <v>0</v>
      </c>
      <c r="F41" s="18">
        <v>65.548000000000002</v>
      </c>
      <c r="G41" s="18">
        <v>59.871000000000002</v>
      </c>
      <c r="H41" s="18">
        <v>54.375</v>
      </c>
      <c r="I41" s="18">
        <v>46.81</v>
      </c>
      <c r="J41" s="18">
        <v>34.947000000000003</v>
      </c>
      <c r="K41" s="18">
        <v>21.087</v>
      </c>
      <c r="L41" s="18">
        <v>9.7880000000000003</v>
      </c>
      <c r="M41" s="18">
        <v>0.621</v>
      </c>
      <c r="N41" s="18">
        <v>0</v>
      </c>
      <c r="O41" s="31">
        <v>0</v>
      </c>
      <c r="P41" s="18">
        <v>0</v>
      </c>
      <c r="Q41" s="18">
        <v>0</v>
      </c>
      <c r="R41" s="18">
        <v>0</v>
      </c>
      <c r="S41" s="18">
        <v>0</v>
      </c>
      <c r="T41" s="18">
        <v>0</v>
      </c>
      <c r="U41" s="18">
        <v>0</v>
      </c>
      <c r="V41" s="18">
        <v>0</v>
      </c>
      <c r="W41" s="18">
        <v>0</v>
      </c>
      <c r="X41" s="18">
        <v>0</v>
      </c>
      <c r="Y41" s="18">
        <v>0</v>
      </c>
      <c r="Z41" s="18">
        <v>0</v>
      </c>
      <c r="AA41" s="18">
        <v>0</v>
      </c>
      <c r="AB41" s="18">
        <v>0</v>
      </c>
      <c r="AC41" s="18">
        <v>0</v>
      </c>
      <c r="AD41" s="18">
        <v>0</v>
      </c>
      <c r="AE41" s="18">
        <v>0</v>
      </c>
      <c r="AF41" s="18">
        <v>0</v>
      </c>
      <c r="AG41" s="18">
        <v>0</v>
      </c>
      <c r="AH41" s="18">
        <v>3.0000000000000001E-3</v>
      </c>
      <c r="AI41" s="18">
        <v>0</v>
      </c>
      <c r="AJ41" s="40">
        <v>0</v>
      </c>
      <c r="AK41" s="40">
        <v>0</v>
      </c>
      <c r="AL41" s="40">
        <v>0</v>
      </c>
      <c r="AM41" s="40">
        <v>0</v>
      </c>
      <c r="AN41" s="40">
        <v>0</v>
      </c>
      <c r="AO41" s="156">
        <v>0.64300000000000002</v>
      </c>
      <c r="AP41" s="40">
        <v>0.88600000000000001</v>
      </c>
      <c r="AQ41" s="40">
        <v>0.88600000000000001</v>
      </c>
      <c r="AR41" s="40">
        <v>0.88600000000000001</v>
      </c>
      <c r="AS41" s="40">
        <v>0.88600000000000001</v>
      </c>
      <c r="AT41" s="40">
        <v>0.83</v>
      </c>
      <c r="AU41" s="40">
        <v>0.57999999999999996</v>
      </c>
      <c r="AV41" s="40">
        <v>0.53800000000000003</v>
      </c>
      <c r="AW41" s="40">
        <v>0.52700000000000002</v>
      </c>
      <c r="AX41" s="40">
        <v>0.53800000000000003</v>
      </c>
      <c r="AY41" s="40">
        <v>0.60199999999999998</v>
      </c>
      <c r="AZ41" s="40">
        <v>0.91400000000000003</v>
      </c>
      <c r="BA41" s="40">
        <v>132.64099999999999</v>
      </c>
      <c r="BB41" s="40">
        <v>132.64099999999999</v>
      </c>
      <c r="BC41" s="40">
        <v>132.64099999999999</v>
      </c>
      <c r="BD41" s="40">
        <v>0.627</v>
      </c>
      <c r="BE41" s="40">
        <v>132.38200000000001</v>
      </c>
    </row>
    <row r="42" spans="1:57" ht="15" customHeight="1">
      <c r="A42" t="s">
        <v>181</v>
      </c>
      <c r="B42" s="28" t="str">
        <f>IF('Sumário | Summary'!P1=1,"Impostos e contribuições a recolher","Tax and Contributions")</f>
        <v>Impostos e contribuições a recolher</v>
      </c>
      <c r="C42" s="18">
        <v>7.9589999999999996</v>
      </c>
      <c r="D42" s="18">
        <v>8.3160000000000007</v>
      </c>
      <c r="E42" s="18">
        <v>11.475</v>
      </c>
      <c r="F42" s="18">
        <v>8.6999999999999993</v>
      </c>
      <c r="G42" s="18">
        <v>9.8949999999999996</v>
      </c>
      <c r="H42" s="18">
        <v>15.047000000000001</v>
      </c>
      <c r="I42" s="18">
        <v>13.77</v>
      </c>
      <c r="J42" s="18">
        <v>11.24</v>
      </c>
      <c r="K42" s="18">
        <v>13.962</v>
      </c>
      <c r="L42" s="18">
        <v>16.585999999999999</v>
      </c>
      <c r="M42" s="18">
        <v>15.907999999999999</v>
      </c>
      <c r="N42" s="18">
        <v>12.675000000000001</v>
      </c>
      <c r="O42" s="31">
        <v>13.872999999999999</v>
      </c>
      <c r="P42" s="18">
        <v>14.952</v>
      </c>
      <c r="Q42" s="18">
        <v>12.477</v>
      </c>
      <c r="R42" s="18">
        <v>13.061</v>
      </c>
      <c r="S42" s="18">
        <v>11.944000000000001</v>
      </c>
      <c r="T42" s="18">
        <v>17.702999999999999</v>
      </c>
      <c r="U42" s="18">
        <v>15.068</v>
      </c>
      <c r="V42" s="18">
        <v>105.919</v>
      </c>
      <c r="W42" s="18">
        <v>11.496</v>
      </c>
      <c r="X42" s="18">
        <v>20.096</v>
      </c>
      <c r="Y42" s="18">
        <v>13.241</v>
      </c>
      <c r="Z42" s="18">
        <v>12.147</v>
      </c>
      <c r="AA42" s="18">
        <v>13.457000000000001</v>
      </c>
      <c r="AB42" s="18">
        <v>14.715</v>
      </c>
      <c r="AC42" s="18">
        <v>19.766999999999999</v>
      </c>
      <c r="AD42" s="18">
        <v>23.844999999999999</v>
      </c>
      <c r="AE42" s="18">
        <v>28.896999999999998</v>
      </c>
      <c r="AF42" s="18">
        <v>11.057</v>
      </c>
      <c r="AG42" s="18">
        <v>12.276999999999999</v>
      </c>
      <c r="AH42" s="18">
        <v>12.311999999999999</v>
      </c>
      <c r="AI42" s="18">
        <v>11.558999999999999</v>
      </c>
      <c r="AJ42" s="40">
        <v>10.29</v>
      </c>
      <c r="AK42" s="40">
        <v>11.565</v>
      </c>
      <c r="AL42" s="40">
        <v>11.714</v>
      </c>
      <c r="AM42" s="40">
        <v>21.64</v>
      </c>
      <c r="AN42" s="40">
        <v>14.824</v>
      </c>
      <c r="AO42" s="156">
        <v>11.866</v>
      </c>
      <c r="AP42" s="40">
        <v>13.645</v>
      </c>
      <c r="AQ42" s="40">
        <v>13.282</v>
      </c>
      <c r="AR42" s="40">
        <v>11.22</v>
      </c>
      <c r="AS42" s="40">
        <v>13.015000000000001</v>
      </c>
      <c r="AT42" s="156">
        <v>14.016</v>
      </c>
      <c r="AU42" s="156">
        <v>17.117000000000001</v>
      </c>
      <c r="AV42" s="156">
        <v>7.6710000000000003</v>
      </c>
      <c r="AW42" s="156">
        <v>150.33000000000001</v>
      </c>
      <c r="AX42" s="156">
        <v>12.457000000000001</v>
      </c>
      <c r="AY42" s="156">
        <v>30.42</v>
      </c>
      <c r="AZ42" s="156">
        <v>18.468</v>
      </c>
      <c r="BA42" s="156">
        <v>14.074</v>
      </c>
      <c r="BB42" s="156">
        <v>18.59</v>
      </c>
      <c r="BC42" s="156">
        <v>21.241</v>
      </c>
      <c r="BD42" s="156">
        <v>8.1669999999999998</v>
      </c>
      <c r="BE42" s="156">
        <v>6.2039999999999997</v>
      </c>
    </row>
    <row r="43" spans="1:57" ht="15" customHeight="1">
      <c r="A43" t="s">
        <v>182</v>
      </c>
      <c r="B43" s="28" t="str">
        <f>IF('Sumário | Summary'!P1=1,"Debitos com parceiros nos empreendimentos","Current accounts with venture partners ")</f>
        <v>Debitos com parceiros nos empreendimentos</v>
      </c>
      <c r="C43" s="18">
        <v>7.89</v>
      </c>
      <c r="D43" s="18">
        <v>7.8879999999999999</v>
      </c>
      <c r="E43" s="18">
        <v>15.493</v>
      </c>
      <c r="F43" s="18">
        <v>10.289</v>
      </c>
      <c r="G43" s="18">
        <v>7.8819999999999997</v>
      </c>
      <c r="H43" s="18">
        <v>7.88</v>
      </c>
      <c r="I43" s="18">
        <v>9.3010000000000002</v>
      </c>
      <c r="J43" s="18">
        <v>7.8650000000000002</v>
      </c>
      <c r="K43" s="18">
        <v>10.551</v>
      </c>
      <c r="L43" s="18">
        <v>10.109</v>
      </c>
      <c r="M43" s="18">
        <v>7.87</v>
      </c>
      <c r="N43" s="18">
        <v>7.9489999999999998</v>
      </c>
      <c r="O43" s="31">
        <v>6.2169999999999996</v>
      </c>
      <c r="P43" s="18">
        <v>0</v>
      </c>
      <c r="Q43" s="18">
        <v>1.641</v>
      </c>
      <c r="R43" s="18">
        <v>0</v>
      </c>
      <c r="S43" s="18">
        <v>0</v>
      </c>
      <c r="T43" s="18">
        <v>0</v>
      </c>
      <c r="U43" s="18">
        <v>0</v>
      </c>
      <c r="V43" s="18">
        <v>0</v>
      </c>
      <c r="W43" s="18">
        <v>0</v>
      </c>
      <c r="X43" s="18">
        <v>0</v>
      </c>
      <c r="Y43" s="18">
        <v>0</v>
      </c>
      <c r="Z43" s="18">
        <v>0</v>
      </c>
      <c r="AA43" s="18">
        <v>0</v>
      </c>
      <c r="AB43" s="18">
        <v>0</v>
      </c>
      <c r="AC43" s="18">
        <v>1.2999999999999999E-2</v>
      </c>
      <c r="AD43" s="18">
        <v>0.03</v>
      </c>
      <c r="AE43" s="18">
        <v>0</v>
      </c>
      <c r="AF43" s="18">
        <v>0</v>
      </c>
      <c r="AG43" s="18">
        <v>0</v>
      </c>
      <c r="AH43" s="18">
        <v>0</v>
      </c>
      <c r="AI43" s="18">
        <v>0</v>
      </c>
      <c r="AJ43" s="40">
        <v>0</v>
      </c>
      <c r="AK43" s="40">
        <v>0</v>
      </c>
      <c r="AL43" s="40">
        <v>0</v>
      </c>
      <c r="AM43" s="40">
        <v>0</v>
      </c>
      <c r="AN43" s="40">
        <v>2.2770000000000001</v>
      </c>
      <c r="AO43" s="156">
        <v>0</v>
      </c>
      <c r="AP43" s="40">
        <v>0</v>
      </c>
      <c r="AQ43" s="40">
        <v>0</v>
      </c>
      <c r="AR43" s="40">
        <v>0.11600000000000001</v>
      </c>
      <c r="AS43" s="40">
        <v>0</v>
      </c>
      <c r="AT43" s="40">
        <v>0.161</v>
      </c>
      <c r="AU43" s="40">
        <v>0</v>
      </c>
      <c r="AV43" s="40">
        <v>0</v>
      </c>
      <c r="AW43" s="40">
        <v>0</v>
      </c>
      <c r="AX43" s="40">
        <v>0.05</v>
      </c>
      <c r="AY43" s="40">
        <v>0</v>
      </c>
      <c r="AZ43" s="40">
        <v>0</v>
      </c>
      <c r="BA43" s="40">
        <v>0</v>
      </c>
      <c r="BB43" s="40">
        <v>0</v>
      </c>
      <c r="BC43" s="40">
        <v>0</v>
      </c>
      <c r="BD43" s="40">
        <v>0</v>
      </c>
      <c r="BE43" s="40">
        <v>0</v>
      </c>
    </row>
    <row r="44" spans="1:57" ht="15" customHeight="1">
      <c r="A44" t="s">
        <v>183</v>
      </c>
      <c r="B44" s="28" t="str">
        <f>IF('Sumário | Summary'!P1=1,"Impostos e contribuições diferidos","Tax and Contributions - Deferred")</f>
        <v>Impostos e contribuições diferidos</v>
      </c>
      <c r="C44" s="18">
        <v>2.37</v>
      </c>
      <c r="D44" s="18">
        <v>3.0129999999999999</v>
      </c>
      <c r="E44" s="18">
        <v>3.1909999999999998</v>
      </c>
      <c r="F44" s="18">
        <v>4.2</v>
      </c>
      <c r="G44" s="18">
        <v>6.6070000000000002</v>
      </c>
      <c r="H44" s="18">
        <v>4.5129999999999999</v>
      </c>
      <c r="I44" s="18">
        <v>4.47</v>
      </c>
      <c r="J44" s="18">
        <v>4.4660000000000002</v>
      </c>
      <c r="K44" s="18">
        <v>2.3730000000000002</v>
      </c>
      <c r="L44" s="18">
        <v>1.895</v>
      </c>
      <c r="M44" s="18">
        <v>1.48</v>
      </c>
      <c r="N44" s="18">
        <v>1.6120000000000001</v>
      </c>
      <c r="O44" s="31">
        <v>1.76</v>
      </c>
      <c r="P44" s="18">
        <v>0.40699999999999997</v>
      </c>
      <c r="Q44" s="18">
        <v>0</v>
      </c>
      <c r="R44" s="18">
        <v>2.0870000000000002</v>
      </c>
      <c r="S44" s="18">
        <v>1.6439999999999999</v>
      </c>
      <c r="T44" s="18">
        <v>1.3859999999999999</v>
      </c>
      <c r="U44" s="18">
        <v>1.115</v>
      </c>
      <c r="V44" s="18">
        <v>0.61499999999999999</v>
      </c>
      <c r="W44" s="18">
        <v>0.35099999999999998</v>
      </c>
      <c r="X44" s="18">
        <v>0.61699999999999999</v>
      </c>
      <c r="Y44" s="18">
        <v>0.57899999999999996</v>
      </c>
      <c r="Z44" s="18">
        <v>0.60699999999999998</v>
      </c>
      <c r="AA44" s="18">
        <v>0.56000000000000005</v>
      </c>
      <c r="AB44" s="18">
        <v>0.41799999999999998</v>
      </c>
      <c r="AC44" s="18">
        <v>0.40300000000000002</v>
      </c>
      <c r="AD44" s="18">
        <v>0.38700000000000001</v>
      </c>
      <c r="AE44" s="18">
        <v>0.372</v>
      </c>
      <c r="AF44" s="18">
        <v>0.34699999999999998</v>
      </c>
      <c r="AG44" s="18">
        <v>0.30299999999999999</v>
      </c>
      <c r="AH44" s="18">
        <v>0.28100000000000003</v>
      </c>
      <c r="AI44" s="18">
        <v>0.25900000000000001</v>
      </c>
      <c r="AJ44" s="40">
        <v>0.11600000000000001</v>
      </c>
      <c r="AK44" s="40">
        <v>0.105</v>
      </c>
      <c r="AL44" s="40">
        <v>0.13600000000000001</v>
      </c>
      <c r="AM44" s="40">
        <v>0.12</v>
      </c>
      <c r="AN44" s="40">
        <v>0.158</v>
      </c>
      <c r="AO44" s="156">
        <v>0.18</v>
      </c>
      <c r="AP44" s="40">
        <v>0.13500000000000001</v>
      </c>
      <c r="AQ44" s="40">
        <v>0.14599999999999999</v>
      </c>
      <c r="AR44" s="40">
        <v>0.10100000000000001</v>
      </c>
      <c r="AS44" s="40">
        <v>0.107</v>
      </c>
      <c r="AT44" s="156">
        <v>0.105</v>
      </c>
      <c r="AU44" s="156">
        <v>0.105</v>
      </c>
      <c r="AV44" s="156">
        <v>0.1</v>
      </c>
      <c r="AW44" s="156">
        <v>9.6000000000000002E-2</v>
      </c>
      <c r="AX44" s="156">
        <v>0.09</v>
      </c>
      <c r="AY44" s="156">
        <v>8.5000000000000006E-2</v>
      </c>
      <c r="AZ44" s="156">
        <v>8.1000000000000003E-2</v>
      </c>
      <c r="BA44" s="156">
        <v>9.2999999999999999E-2</v>
      </c>
      <c r="BB44" s="156">
        <v>9.0999999999999998E-2</v>
      </c>
      <c r="BC44" s="156">
        <v>9.4E-2</v>
      </c>
      <c r="BD44" s="156">
        <v>9.9000000000000005E-2</v>
      </c>
      <c r="BE44" s="156">
        <v>0.107</v>
      </c>
    </row>
    <row r="45" spans="1:57" ht="15" customHeight="1">
      <c r="A45" t="s">
        <v>184</v>
      </c>
      <c r="B45" s="28" t="str">
        <f>IF('Sumário | Summary'!P1=1,"Adiantamentos de clientes","Advancement from Clients")</f>
        <v>Adiantamentos de clientes</v>
      </c>
      <c r="C45" s="18">
        <v>40.469000000000001</v>
      </c>
      <c r="D45" s="18">
        <v>37.234000000000002</v>
      </c>
      <c r="E45" s="18">
        <v>30.33</v>
      </c>
      <c r="F45" s="18">
        <v>14.507999999999999</v>
      </c>
      <c r="G45" s="18">
        <v>24.227</v>
      </c>
      <c r="H45" s="18">
        <v>22.257000000000001</v>
      </c>
      <c r="I45" s="18">
        <v>19.434000000000001</v>
      </c>
      <c r="J45" s="18">
        <v>0.55100000000000005</v>
      </c>
      <c r="K45" s="18">
        <v>0.5</v>
      </c>
      <c r="L45" s="18">
        <v>0.55100000000000005</v>
      </c>
      <c r="M45" s="18">
        <v>3.9510000000000001</v>
      </c>
      <c r="N45" s="18">
        <v>0</v>
      </c>
      <c r="O45" s="31">
        <v>13.638</v>
      </c>
      <c r="P45" s="18">
        <v>0.52100000000000002</v>
      </c>
      <c r="Q45" s="18">
        <v>1.0009999999999999</v>
      </c>
      <c r="R45" s="18">
        <v>0.94499999999999995</v>
      </c>
      <c r="S45" s="18">
        <v>0.79500000000000004</v>
      </c>
      <c r="T45" s="18">
        <v>0.78300000000000003</v>
      </c>
      <c r="U45" s="18">
        <v>3.3380000000000001</v>
      </c>
      <c r="V45" s="18">
        <v>0</v>
      </c>
      <c r="W45" s="18">
        <v>0</v>
      </c>
      <c r="X45" s="18">
        <v>35.243000000000002</v>
      </c>
      <c r="Y45" s="18">
        <v>3.5</v>
      </c>
      <c r="Z45" s="18">
        <v>0</v>
      </c>
      <c r="AA45" s="18">
        <v>7.3999999999999996E-2</v>
      </c>
      <c r="AB45" s="18">
        <v>0.13500000000000001</v>
      </c>
      <c r="AC45" s="18">
        <v>0.24199999999999999</v>
      </c>
      <c r="AD45" s="18">
        <v>0.185</v>
      </c>
      <c r="AE45" s="18">
        <v>0.59499999999999997</v>
      </c>
      <c r="AF45" s="18">
        <v>0.13600000000000001</v>
      </c>
      <c r="AG45" s="18">
        <v>6.5000000000000002E-2</v>
      </c>
      <c r="AH45" s="18">
        <v>0.71499999999999997</v>
      </c>
      <c r="AI45" s="18">
        <v>0.155</v>
      </c>
      <c r="AJ45" s="40">
        <v>7.4999999999999997E-2</v>
      </c>
      <c r="AK45" s="40">
        <v>1.629</v>
      </c>
      <c r="AL45" s="40">
        <v>2.6389999999999998</v>
      </c>
      <c r="AM45" s="40">
        <v>0.183</v>
      </c>
      <c r="AN45" s="40">
        <v>0.24199999999999999</v>
      </c>
      <c r="AO45" s="156">
        <v>0.17799999999999999</v>
      </c>
      <c r="AP45" s="40">
        <v>0.21199999999999999</v>
      </c>
      <c r="AQ45" s="40">
        <v>0.20200000000000001</v>
      </c>
      <c r="AR45" s="40">
        <v>0.21</v>
      </c>
      <c r="AS45" s="40">
        <v>0.69399999999999995</v>
      </c>
      <c r="AT45" s="40">
        <v>0.61599999999999999</v>
      </c>
      <c r="AU45" s="40">
        <v>0.65200000000000002</v>
      </c>
      <c r="AV45" s="40">
        <v>300.62</v>
      </c>
      <c r="AW45" s="40">
        <v>0.51</v>
      </c>
      <c r="AX45" s="40">
        <v>0.41199999999999998</v>
      </c>
      <c r="AY45" s="40">
        <v>0.47199999999999998</v>
      </c>
      <c r="AZ45" s="40">
        <v>0.61799999999999999</v>
      </c>
      <c r="BA45" s="40">
        <v>0.63600000000000001</v>
      </c>
      <c r="BB45" s="40">
        <v>0.622</v>
      </c>
      <c r="BC45" s="40">
        <v>0.79700000000000004</v>
      </c>
      <c r="BD45" s="40">
        <v>0.748</v>
      </c>
      <c r="BE45" s="40">
        <v>1.427</v>
      </c>
    </row>
    <row r="46" spans="1:57" ht="15" customHeight="1">
      <c r="A46" t="s">
        <v>185</v>
      </c>
      <c r="B46" s="28" t="str">
        <f>IF('Sumário | Summary'!P1=1,"Adiantamentos de clientes - Permutas","Advancement from Clients - Swap")</f>
        <v>Adiantamentos de clientes - Permutas</v>
      </c>
      <c r="C46" s="18">
        <v>24.276</v>
      </c>
      <c r="D46" s="18">
        <v>21.757999999999999</v>
      </c>
      <c r="E46" s="18">
        <v>17.504000000000001</v>
      </c>
      <c r="F46" s="18">
        <v>14.5</v>
      </c>
      <c r="G46" s="18">
        <v>12.852</v>
      </c>
      <c r="H46" s="18">
        <v>11.388999999999999</v>
      </c>
      <c r="I46" s="18">
        <v>9.452</v>
      </c>
      <c r="J46" s="18">
        <v>0.20399999999999999</v>
      </c>
      <c r="K46" s="18">
        <v>0.104</v>
      </c>
      <c r="L46" s="18">
        <v>5.8000000000000003E-2</v>
      </c>
      <c r="M46" s="18">
        <v>2.4E-2</v>
      </c>
      <c r="N46" s="18">
        <v>0.55100000000000005</v>
      </c>
      <c r="O46" s="31">
        <v>0</v>
      </c>
      <c r="P46" s="18">
        <v>0</v>
      </c>
      <c r="Q46" s="18">
        <v>0</v>
      </c>
      <c r="R46" s="18">
        <v>0</v>
      </c>
      <c r="S46" s="18">
        <v>0</v>
      </c>
      <c r="T46" s="18">
        <v>0</v>
      </c>
      <c r="U46" s="18">
        <v>0</v>
      </c>
      <c r="V46" s="18">
        <v>0</v>
      </c>
      <c r="W46" s="18">
        <v>0</v>
      </c>
      <c r="X46" s="18">
        <v>0</v>
      </c>
      <c r="Y46" s="18">
        <v>0</v>
      </c>
      <c r="Z46" s="18">
        <v>0</v>
      </c>
      <c r="AA46" s="18">
        <v>0</v>
      </c>
      <c r="AB46" s="18">
        <v>0</v>
      </c>
      <c r="AC46" s="18">
        <v>0</v>
      </c>
      <c r="AD46" s="18">
        <v>0</v>
      </c>
      <c r="AE46" s="18">
        <v>0</v>
      </c>
      <c r="AF46" s="18">
        <v>0</v>
      </c>
      <c r="AG46" s="18">
        <v>0</v>
      </c>
      <c r="AH46" s="18">
        <v>0</v>
      </c>
      <c r="AI46" s="18">
        <v>0</v>
      </c>
      <c r="AJ46" s="40">
        <v>0</v>
      </c>
      <c r="AK46" s="40">
        <v>0</v>
      </c>
      <c r="AL46" s="40">
        <v>0</v>
      </c>
      <c r="AM46" s="40">
        <v>0</v>
      </c>
      <c r="AN46" s="40">
        <v>0</v>
      </c>
      <c r="AO46" s="156">
        <v>0</v>
      </c>
      <c r="AP46" s="40">
        <v>0</v>
      </c>
      <c r="AQ46" s="40">
        <v>0</v>
      </c>
      <c r="AR46" s="40">
        <v>0</v>
      </c>
      <c r="AS46" s="40">
        <v>0</v>
      </c>
      <c r="AT46" s="40">
        <v>0</v>
      </c>
      <c r="AU46" s="40">
        <v>0</v>
      </c>
      <c r="AV46" s="40">
        <v>0</v>
      </c>
      <c r="AW46" s="40">
        <v>0</v>
      </c>
      <c r="AX46" s="40">
        <v>0</v>
      </c>
      <c r="AY46" s="40">
        <v>0</v>
      </c>
      <c r="AZ46" s="40">
        <v>0</v>
      </c>
      <c r="BA46" s="40">
        <v>0</v>
      </c>
      <c r="BB46" s="40">
        <v>0</v>
      </c>
      <c r="BC46" s="40">
        <v>0</v>
      </c>
      <c r="BD46" s="40">
        <v>0</v>
      </c>
      <c r="BE46" s="40">
        <v>0</v>
      </c>
    </row>
    <row r="47" spans="1:57" ht="15" customHeight="1">
      <c r="A47" t="s">
        <v>186</v>
      </c>
      <c r="B47" s="39" t="str">
        <f>IF('Sumário | Summary'!P1=1,"Partes relacionadas","Related parties")</f>
        <v>Partes relacionadas</v>
      </c>
      <c r="C47" s="18">
        <v>0</v>
      </c>
      <c r="D47" s="18">
        <v>0</v>
      </c>
      <c r="E47" s="18">
        <v>0</v>
      </c>
      <c r="F47" s="18">
        <v>0</v>
      </c>
      <c r="G47" s="18">
        <v>0</v>
      </c>
      <c r="H47" s="18">
        <v>0</v>
      </c>
      <c r="I47" s="18">
        <v>0</v>
      </c>
      <c r="J47" s="18">
        <v>0</v>
      </c>
      <c r="K47" s="18">
        <v>0</v>
      </c>
      <c r="L47" s="18">
        <v>0</v>
      </c>
      <c r="M47" s="18">
        <v>0</v>
      </c>
      <c r="N47" s="18">
        <v>0</v>
      </c>
      <c r="O47" s="18">
        <v>0</v>
      </c>
      <c r="P47" s="18">
        <v>0</v>
      </c>
      <c r="Q47" s="18">
        <v>0</v>
      </c>
      <c r="R47" s="40">
        <v>13.981</v>
      </c>
      <c r="S47" s="40">
        <v>0</v>
      </c>
      <c r="T47" s="40">
        <v>0</v>
      </c>
      <c r="U47" s="40">
        <v>0</v>
      </c>
      <c r="V47" s="40">
        <v>0</v>
      </c>
      <c r="W47" s="40">
        <v>0</v>
      </c>
      <c r="X47" s="40">
        <v>0</v>
      </c>
      <c r="Y47" s="40">
        <v>0</v>
      </c>
      <c r="Z47" s="18">
        <v>0</v>
      </c>
      <c r="AA47" s="18">
        <v>0</v>
      </c>
      <c r="AB47" s="18">
        <v>0</v>
      </c>
      <c r="AC47" s="18">
        <v>0</v>
      </c>
      <c r="AD47" s="18">
        <v>0</v>
      </c>
      <c r="AE47" s="18">
        <v>0</v>
      </c>
      <c r="AF47" s="18">
        <v>0</v>
      </c>
      <c r="AG47" s="18">
        <v>0</v>
      </c>
      <c r="AH47" s="18">
        <v>0</v>
      </c>
      <c r="AI47" s="18">
        <v>0</v>
      </c>
      <c r="AJ47" s="40">
        <v>0</v>
      </c>
      <c r="AK47" s="40">
        <v>0</v>
      </c>
      <c r="AL47" s="40">
        <v>0</v>
      </c>
      <c r="AM47" s="40">
        <v>0</v>
      </c>
      <c r="AN47" s="40">
        <v>0</v>
      </c>
      <c r="AO47" s="156">
        <v>0</v>
      </c>
      <c r="AP47" s="40">
        <v>0</v>
      </c>
      <c r="AQ47" s="40">
        <v>0</v>
      </c>
      <c r="AR47" s="40">
        <v>0</v>
      </c>
      <c r="AS47" s="40">
        <v>0</v>
      </c>
      <c r="AT47" s="40">
        <v>0</v>
      </c>
      <c r="AU47" s="40">
        <v>0</v>
      </c>
      <c r="AV47" s="40">
        <v>0</v>
      </c>
      <c r="AW47" s="40">
        <v>0</v>
      </c>
      <c r="AX47" s="40">
        <v>0</v>
      </c>
      <c r="AY47" s="40">
        <v>2.1999999999999999E-2</v>
      </c>
      <c r="AZ47" s="40">
        <v>2.1999999999999999E-2</v>
      </c>
      <c r="BA47" s="40">
        <v>18.36</v>
      </c>
      <c r="BB47" s="40">
        <v>18.372</v>
      </c>
      <c r="BC47" s="40">
        <v>3.4000000000000002E-2</v>
      </c>
      <c r="BD47" s="40">
        <v>3.4000000000000002E-2</v>
      </c>
      <c r="BE47" s="40">
        <v>3.4000000000000002E-2</v>
      </c>
    </row>
    <row r="48" spans="1:57" ht="15" customHeight="1">
      <c r="A48" t="s">
        <v>187</v>
      </c>
      <c r="B48" s="28" t="str">
        <f>IF('Sumário | Summary'!P1=1,"Receita res-sperata a apropriar","Key Money to be Recognized")</f>
        <v>Receita res-sperata a apropriar</v>
      </c>
      <c r="C48" s="18">
        <v>0</v>
      </c>
      <c r="D48" s="18">
        <v>0</v>
      </c>
      <c r="E48" s="18">
        <v>0</v>
      </c>
      <c r="F48" s="18">
        <v>0</v>
      </c>
      <c r="G48" s="18">
        <v>6.2309999999999999</v>
      </c>
      <c r="H48" s="18">
        <v>0</v>
      </c>
      <c r="I48" s="18">
        <v>0</v>
      </c>
      <c r="J48" s="18">
        <v>0</v>
      </c>
      <c r="K48" s="18">
        <v>5.6050000000000004</v>
      </c>
      <c r="L48" s="18">
        <v>10.986000000000001</v>
      </c>
      <c r="M48" s="18">
        <v>15.404999999999999</v>
      </c>
      <c r="N48" s="18">
        <v>14.651</v>
      </c>
      <c r="O48" s="31">
        <v>13.7186</v>
      </c>
      <c r="P48" s="18">
        <v>13.337400000000001</v>
      </c>
      <c r="Q48" s="18">
        <v>12.589</v>
      </c>
      <c r="R48" s="18">
        <v>11.836</v>
      </c>
      <c r="S48" s="18">
        <v>10.6616</v>
      </c>
      <c r="T48" s="18">
        <v>9.69</v>
      </c>
      <c r="U48" s="18">
        <v>8.8219999999999992</v>
      </c>
      <c r="V48" s="18">
        <v>8.0280000000000005</v>
      </c>
      <c r="W48" s="18">
        <v>7.3689999999999998</v>
      </c>
      <c r="X48" s="18">
        <v>6.4130000000000003</v>
      </c>
      <c r="Y48" s="18">
        <v>5.7169999999999996</v>
      </c>
      <c r="Z48" s="18">
        <v>4.5179999999999998</v>
      </c>
      <c r="AA48" s="18">
        <v>4.1479999999999997</v>
      </c>
      <c r="AB48" s="18">
        <v>10.452</v>
      </c>
      <c r="AC48" s="18">
        <v>9.4009999999999998</v>
      </c>
      <c r="AD48" s="18">
        <v>8.7249999999999996</v>
      </c>
      <c r="AE48" s="18">
        <v>8.06</v>
      </c>
      <c r="AF48" s="18">
        <v>5.2930000000000001</v>
      </c>
      <c r="AG48" s="18">
        <v>4.883</v>
      </c>
      <c r="AH48" s="18">
        <v>4.6189999999999998</v>
      </c>
      <c r="AI48" s="18">
        <v>4.4290000000000003</v>
      </c>
      <c r="AJ48" s="40">
        <v>4.3680000000000003</v>
      </c>
      <c r="AK48" s="40">
        <v>3.9390000000000001</v>
      </c>
      <c r="AL48" s="40">
        <v>4.1509999999999998</v>
      </c>
      <c r="AM48" s="40">
        <v>3.8959999999999999</v>
      </c>
      <c r="AN48" s="40">
        <v>3.9910000000000001</v>
      </c>
      <c r="AO48" s="156">
        <v>3.7480000000000002</v>
      </c>
      <c r="AP48" s="40">
        <v>3.7549999999999999</v>
      </c>
      <c r="AQ48" s="40">
        <v>1.9710000000000001</v>
      </c>
      <c r="AR48" s="40">
        <v>1.8320000000000001</v>
      </c>
      <c r="AS48" s="40">
        <v>3.0920000000000001</v>
      </c>
      <c r="AT48" s="40">
        <v>2.8359999999999999</v>
      </c>
      <c r="AU48" s="40">
        <v>2.9380000000000002</v>
      </c>
      <c r="AV48" s="40">
        <v>2.867</v>
      </c>
      <c r="AW48" s="40">
        <v>1.375</v>
      </c>
      <c r="AX48" s="40">
        <v>1.379</v>
      </c>
      <c r="AY48" s="40">
        <v>1.161</v>
      </c>
      <c r="AZ48" s="40">
        <v>1.198</v>
      </c>
      <c r="BA48" s="40">
        <v>1.3</v>
      </c>
      <c r="BB48" s="40">
        <v>1.125</v>
      </c>
      <c r="BC48" s="40">
        <v>1.077</v>
      </c>
      <c r="BD48" s="40">
        <v>1.0720000000000001</v>
      </c>
      <c r="BE48" s="40">
        <v>0.96399999999999997</v>
      </c>
    </row>
    <row r="49" spans="1:57" ht="15" customHeight="1">
      <c r="A49" t="s">
        <v>188</v>
      </c>
      <c r="B49" s="28" t="str">
        <f>IF('Sumário | Summary'!P1=1,"Dividendos a pagar","Dividends Payable")</f>
        <v>Dividendos a pagar</v>
      </c>
      <c r="C49" s="18">
        <v>36.345999999999997</v>
      </c>
      <c r="D49" s="18">
        <v>72.691999999999993</v>
      </c>
      <c r="E49" s="18">
        <v>4</v>
      </c>
      <c r="F49" s="18">
        <v>4</v>
      </c>
      <c r="G49" s="18">
        <v>35.368000000000002</v>
      </c>
      <c r="H49" s="18">
        <v>35.368000000000002</v>
      </c>
      <c r="I49" s="18">
        <v>0.05</v>
      </c>
      <c r="J49" s="18">
        <v>5.0000000000000001E-3</v>
      </c>
      <c r="K49" s="18">
        <v>23.271000000000001</v>
      </c>
      <c r="L49" s="18">
        <v>23.271000000000001</v>
      </c>
      <c r="M49" s="18">
        <v>6.0000000000000001E-3</v>
      </c>
      <c r="N49" s="18">
        <v>6.0000000000000001E-3</v>
      </c>
      <c r="O49" s="31">
        <v>5.5419999999999998</v>
      </c>
      <c r="P49" s="18">
        <v>5.5419999999999998</v>
      </c>
      <c r="Q49" s="18">
        <v>0.7</v>
      </c>
      <c r="R49" s="18">
        <v>7.0000000000000001E-3</v>
      </c>
      <c r="S49" s="18">
        <v>7.0000000000000001E-3</v>
      </c>
      <c r="T49" s="18">
        <v>7.0000000000000001E-3</v>
      </c>
      <c r="U49" s="18">
        <v>7.0000000000000001E-3</v>
      </c>
      <c r="V49" s="18">
        <v>1.2E-2</v>
      </c>
      <c r="W49" s="18">
        <v>1.2E-2</v>
      </c>
      <c r="X49" s="18">
        <v>1.2E-2</v>
      </c>
      <c r="Y49" s="18">
        <v>1.2E-2</v>
      </c>
      <c r="Z49" s="18">
        <v>1.2E-2</v>
      </c>
      <c r="AA49" s="18">
        <v>1.7000000000000001E-2</v>
      </c>
      <c r="AB49" s="18">
        <v>1.7000000000000001E-2</v>
      </c>
      <c r="AC49" s="18">
        <v>1.7000000000000001E-2</v>
      </c>
      <c r="AD49" s="18">
        <v>1.4999999999999999E-2</v>
      </c>
      <c r="AE49" s="18">
        <v>7.8070000000000004</v>
      </c>
      <c r="AF49" s="18">
        <v>7.8070000000000004</v>
      </c>
      <c r="AG49" s="18">
        <v>1.4999999999999999E-2</v>
      </c>
      <c r="AH49" s="18">
        <v>1.4999999999999999E-2</v>
      </c>
      <c r="AI49" s="18">
        <v>12.045999999999999</v>
      </c>
      <c r="AJ49" s="40">
        <v>12.045999999999999</v>
      </c>
      <c r="AK49" s="40">
        <v>5.0000000000000001E-3</v>
      </c>
      <c r="AL49" s="40">
        <v>5.0000000000000001E-3</v>
      </c>
      <c r="AM49" s="40">
        <v>4.4999999999999998E-2</v>
      </c>
      <c r="AN49" s="40">
        <v>12.090999999999999</v>
      </c>
      <c r="AO49" s="156">
        <v>4.4999999999999998E-2</v>
      </c>
      <c r="AP49" s="40">
        <v>4.5999999999999999E-2</v>
      </c>
      <c r="AQ49" s="40">
        <v>4.5999999999999999E-2</v>
      </c>
      <c r="AR49" s="40">
        <v>4.5999999999999999E-2</v>
      </c>
      <c r="AS49" s="40">
        <v>4.2999999999999997E-2</v>
      </c>
      <c r="AT49" s="40">
        <v>4.2000000000000003E-2</v>
      </c>
      <c r="AU49" s="40">
        <v>4.2000000000000003E-2</v>
      </c>
      <c r="AV49" s="40">
        <v>0.28000000000000003</v>
      </c>
      <c r="AW49" s="40">
        <v>0.28000000000000003</v>
      </c>
      <c r="AX49" s="40">
        <v>0.28000000000000003</v>
      </c>
      <c r="AY49" s="40">
        <v>0.29499999999999998</v>
      </c>
      <c r="AZ49" s="40">
        <v>0.29499999999999998</v>
      </c>
      <c r="BA49" s="40">
        <v>7.7130000000000001</v>
      </c>
      <c r="BB49" s="40">
        <v>7.7130000000000001</v>
      </c>
      <c r="BC49" s="40">
        <v>0.23400000000000001</v>
      </c>
      <c r="BD49" s="40">
        <v>0.25900000000000001</v>
      </c>
      <c r="BE49" s="40">
        <v>0.15</v>
      </c>
    </row>
    <row r="50" spans="1:57" ht="15" customHeight="1">
      <c r="A50" t="s">
        <v>119</v>
      </c>
      <c r="B50" s="28" t="str">
        <f>IF('Sumário | Summary'!P1=1,"CDU a apropriar","Key Money to Recognize ")</f>
        <v>CDU a apropriar</v>
      </c>
      <c r="C50" s="18">
        <v>4.633</v>
      </c>
      <c r="D50" s="18">
        <v>5.5140000000000002</v>
      </c>
      <c r="E50" s="18">
        <v>5.9429999999999996</v>
      </c>
      <c r="F50" s="18">
        <v>6.1189999999999998</v>
      </c>
      <c r="G50" s="18">
        <v>0</v>
      </c>
      <c r="H50" s="18">
        <v>42.112000000000002</v>
      </c>
      <c r="I50" s="18">
        <v>40.805</v>
      </c>
      <c r="J50" s="18">
        <v>5.9930000000000003</v>
      </c>
      <c r="K50" s="18">
        <v>0</v>
      </c>
      <c r="L50" s="18">
        <v>0</v>
      </c>
      <c r="M50" s="18">
        <v>0</v>
      </c>
      <c r="N50" s="18">
        <v>0</v>
      </c>
      <c r="O50" s="31">
        <v>0</v>
      </c>
      <c r="P50" s="18">
        <v>0</v>
      </c>
      <c r="Q50" s="18">
        <v>0</v>
      </c>
      <c r="R50" s="18">
        <v>0</v>
      </c>
      <c r="S50" s="18">
        <v>0</v>
      </c>
      <c r="T50" s="18">
        <v>0</v>
      </c>
      <c r="U50" s="18">
        <v>0</v>
      </c>
      <c r="V50" s="18">
        <v>0</v>
      </c>
      <c r="W50" s="18">
        <v>0</v>
      </c>
      <c r="X50" s="18">
        <v>0</v>
      </c>
      <c r="Y50" s="18">
        <v>0</v>
      </c>
      <c r="Z50" s="18">
        <v>0</v>
      </c>
      <c r="AA50" s="18">
        <v>0</v>
      </c>
      <c r="AB50" s="40">
        <v>0</v>
      </c>
      <c r="AC50" s="40">
        <v>0</v>
      </c>
      <c r="AD50" s="40">
        <v>0</v>
      </c>
      <c r="AE50" s="40">
        <v>0</v>
      </c>
      <c r="AF50" s="40">
        <v>0</v>
      </c>
      <c r="AG50" s="40">
        <v>0</v>
      </c>
      <c r="AH50" s="40">
        <v>0</v>
      </c>
      <c r="AI50" s="40">
        <v>0</v>
      </c>
      <c r="AJ50" s="40">
        <v>0</v>
      </c>
      <c r="AK50" s="40">
        <v>0</v>
      </c>
      <c r="AL50" s="40">
        <v>0</v>
      </c>
      <c r="AM50" s="40">
        <v>0</v>
      </c>
      <c r="AN50" s="40">
        <v>0</v>
      </c>
      <c r="AO50" s="156">
        <v>0</v>
      </c>
      <c r="AP50" s="40">
        <v>0</v>
      </c>
      <c r="AQ50" s="40">
        <v>0</v>
      </c>
      <c r="AR50" s="40">
        <v>0</v>
      </c>
      <c r="AS50" s="40">
        <v>0</v>
      </c>
      <c r="AT50" s="40">
        <v>0</v>
      </c>
      <c r="AU50" s="40">
        <v>0</v>
      </c>
      <c r="AV50" s="40">
        <v>0</v>
      </c>
      <c r="AW50" s="40">
        <v>0</v>
      </c>
      <c r="AX50" s="40">
        <v>0</v>
      </c>
      <c r="AY50" s="40">
        <v>0</v>
      </c>
      <c r="AZ50" s="40">
        <v>0</v>
      </c>
      <c r="BA50" s="40">
        <v>0</v>
      </c>
      <c r="BB50" s="40">
        <v>0</v>
      </c>
      <c r="BC50" s="40">
        <v>0</v>
      </c>
      <c r="BD50" s="40">
        <v>0</v>
      </c>
      <c r="BE50" s="40">
        <v>0</v>
      </c>
    </row>
    <row r="51" spans="1:57" ht="15" customHeight="1">
      <c r="A51" t="s">
        <v>275</v>
      </c>
      <c r="B51" s="28" t="str">
        <f>IF('Sumário | Summary'!P1=1,"Passivo de arrendamento","Lease liability ")</f>
        <v>Passivo de arrendamento</v>
      </c>
      <c r="C51" s="40">
        <v>0</v>
      </c>
      <c r="D51" s="40">
        <v>0</v>
      </c>
      <c r="E51" s="40">
        <v>0</v>
      </c>
      <c r="F51" s="40">
        <v>0</v>
      </c>
      <c r="G51" s="40">
        <v>0</v>
      </c>
      <c r="H51" s="40">
        <v>0</v>
      </c>
      <c r="I51" s="40">
        <v>0</v>
      </c>
      <c r="J51" s="40">
        <v>0</v>
      </c>
      <c r="K51" s="40">
        <v>0</v>
      </c>
      <c r="L51" s="40">
        <v>0</v>
      </c>
      <c r="M51" s="40">
        <v>0</v>
      </c>
      <c r="N51" s="40">
        <v>0</v>
      </c>
      <c r="O51" s="40">
        <v>0</v>
      </c>
      <c r="P51" s="40">
        <v>0</v>
      </c>
      <c r="Q51" s="40">
        <v>0</v>
      </c>
      <c r="R51" s="40">
        <v>0</v>
      </c>
      <c r="S51" s="40">
        <v>0</v>
      </c>
      <c r="T51" s="40">
        <v>0</v>
      </c>
      <c r="U51" s="40">
        <v>0</v>
      </c>
      <c r="V51" s="40">
        <v>0</v>
      </c>
      <c r="W51" s="40">
        <v>0</v>
      </c>
      <c r="X51" s="40">
        <v>0</v>
      </c>
      <c r="Y51" s="40">
        <v>0</v>
      </c>
      <c r="Z51" s="40">
        <v>0</v>
      </c>
      <c r="AA51" s="40">
        <v>0</v>
      </c>
      <c r="AB51" s="40">
        <v>0</v>
      </c>
      <c r="AC51" s="40">
        <v>0</v>
      </c>
      <c r="AD51" s="40">
        <v>0</v>
      </c>
      <c r="AE51" s="40">
        <v>0</v>
      </c>
      <c r="AF51" s="40">
        <v>0</v>
      </c>
      <c r="AG51" s="40">
        <v>0</v>
      </c>
      <c r="AH51" s="40">
        <v>0</v>
      </c>
      <c r="AI51" s="40">
        <v>0</v>
      </c>
      <c r="AJ51" s="40">
        <v>0</v>
      </c>
      <c r="AK51" s="40">
        <v>0</v>
      </c>
      <c r="AL51" s="40">
        <v>0</v>
      </c>
      <c r="AM51" s="40">
        <v>0</v>
      </c>
      <c r="AN51" s="40">
        <v>0</v>
      </c>
      <c r="AO51" s="40">
        <v>0</v>
      </c>
      <c r="AP51" s="40">
        <v>0</v>
      </c>
      <c r="AQ51" s="40">
        <v>1.95</v>
      </c>
      <c r="AR51" s="40">
        <v>0.98</v>
      </c>
      <c r="AS51" s="40">
        <v>0.96599999999999997</v>
      </c>
      <c r="AT51" s="40">
        <v>0.95199999999999996</v>
      </c>
      <c r="AU51" s="40">
        <v>0.93799999999999994</v>
      </c>
      <c r="AV51" s="40">
        <v>0.92400000000000004</v>
      </c>
      <c r="AW51" s="40">
        <v>0.91</v>
      </c>
      <c r="AX51" s="40">
        <v>0.89700000000000002</v>
      </c>
      <c r="AY51" s="40">
        <v>0.88400000000000001</v>
      </c>
      <c r="AZ51" s="40">
        <v>0.871</v>
      </c>
      <c r="BA51" s="40">
        <v>0.85799999999999998</v>
      </c>
      <c r="BB51" s="40">
        <v>0.84499999999999997</v>
      </c>
      <c r="BC51" s="40">
        <v>0.83299999999999996</v>
      </c>
      <c r="BD51" s="40">
        <v>0.82099999999999995</v>
      </c>
      <c r="BE51" s="40">
        <v>0.80900000000000005</v>
      </c>
    </row>
    <row r="52" spans="1:57" ht="15" customHeight="1">
      <c r="A52" t="s">
        <v>189</v>
      </c>
      <c r="B52" s="28" t="str">
        <f>IF('Sumário | Summary'!P1=1,"Demais contas a pagar","Other Accounts Payable")</f>
        <v>Demais contas a pagar</v>
      </c>
      <c r="C52" s="18">
        <v>25.071999999999999</v>
      </c>
      <c r="D52" s="18">
        <v>19.875</v>
      </c>
      <c r="E52" s="18">
        <v>22.273</v>
      </c>
      <c r="F52" s="18">
        <v>19.123000000000001</v>
      </c>
      <c r="G52" s="18">
        <v>18.396000000000001</v>
      </c>
      <c r="H52" s="18">
        <v>6.62</v>
      </c>
      <c r="I52" s="18">
        <v>12.064</v>
      </c>
      <c r="J52" s="18">
        <v>13.128</v>
      </c>
      <c r="K52" s="18">
        <v>46.514000000000003</v>
      </c>
      <c r="L52" s="18">
        <v>7.6559999999999997</v>
      </c>
      <c r="M52" s="18">
        <v>15.255000000000001</v>
      </c>
      <c r="N52" s="18">
        <v>17.413</v>
      </c>
      <c r="O52" s="31">
        <v>14.345000000000001</v>
      </c>
      <c r="P52" s="18">
        <v>35.17</v>
      </c>
      <c r="Q52" s="18">
        <v>39.697000000000003</v>
      </c>
      <c r="R52" s="18">
        <v>26.67</v>
      </c>
      <c r="S52" s="18">
        <v>41.603999999999999</v>
      </c>
      <c r="T52" s="18">
        <v>53.945999999999998</v>
      </c>
      <c r="U52" s="18">
        <v>44.856999999999999</v>
      </c>
      <c r="V52" s="18">
        <v>37.070999999999998</v>
      </c>
      <c r="W52" s="18">
        <v>31.975999999999999</v>
      </c>
      <c r="X52" s="18">
        <v>23.541</v>
      </c>
      <c r="Y52" s="18">
        <v>13.65</v>
      </c>
      <c r="Z52" s="18">
        <v>45.381</v>
      </c>
      <c r="AA52" s="18">
        <v>30.106000000000002</v>
      </c>
      <c r="AB52" s="18">
        <v>28.908999999999999</v>
      </c>
      <c r="AC52" s="18">
        <v>95.418999999999997</v>
      </c>
      <c r="AD52" s="18">
        <v>73.435000000000002</v>
      </c>
      <c r="AE52" s="18">
        <v>64.573999999999998</v>
      </c>
      <c r="AF52" s="18">
        <v>35.988999999999997</v>
      </c>
      <c r="AG52" s="18">
        <v>41.555</v>
      </c>
      <c r="AH52" s="18">
        <v>30.760999999999999</v>
      </c>
      <c r="AI52" s="18">
        <v>37.231000000000002</v>
      </c>
      <c r="AJ52" s="40">
        <v>25.73</v>
      </c>
      <c r="AK52" s="40">
        <v>34.014000000000003</v>
      </c>
      <c r="AL52" s="40">
        <v>29.172000000000001</v>
      </c>
      <c r="AM52" s="40">
        <v>60.795000000000002</v>
      </c>
      <c r="AN52" s="40">
        <v>31.486999999999998</v>
      </c>
      <c r="AO52" s="156">
        <v>69.965000000000003</v>
      </c>
      <c r="AP52" s="40">
        <v>25.294</v>
      </c>
      <c r="AQ52" s="40">
        <v>21.617999999999999</v>
      </c>
      <c r="AR52" s="40">
        <v>10.744</v>
      </c>
      <c r="AS52" s="40">
        <v>20.048999999999999</v>
      </c>
      <c r="AT52" s="40">
        <v>19.169</v>
      </c>
      <c r="AU52" s="40">
        <v>21.137</v>
      </c>
      <c r="AV52" s="40">
        <v>13.492000000000001</v>
      </c>
      <c r="AW52" s="40">
        <v>27.244</v>
      </c>
      <c r="AX52" s="40">
        <v>27.347999999999999</v>
      </c>
      <c r="AY52" s="40">
        <v>36.601999999999997</v>
      </c>
      <c r="AZ52" s="40">
        <v>39.914999999999999</v>
      </c>
      <c r="BA52" s="40">
        <v>24.373999999999999</v>
      </c>
      <c r="BB52" s="40">
        <v>32.659999999999997</v>
      </c>
      <c r="BC52" s="40">
        <v>27.95</v>
      </c>
      <c r="BD52" s="40">
        <v>31.009</v>
      </c>
      <c r="BE52" s="40">
        <v>29.295000000000002</v>
      </c>
    </row>
    <row r="53" spans="1:57" ht="15" customHeight="1">
      <c r="A53" t="s">
        <v>120</v>
      </c>
      <c r="B53" s="11" t="str">
        <f>IF('Sumário | Summary'!P1=1,"Exigível a longo prazo","Long-term liabilities")</f>
        <v>Exigível a longo prazo</v>
      </c>
      <c r="C53" s="6">
        <v>849.88999999999987</v>
      </c>
      <c r="D53" s="6">
        <v>1036.7629999999999</v>
      </c>
      <c r="E53" s="6">
        <v>1121.2190000000001</v>
      </c>
      <c r="F53" s="6">
        <v>1183.4150000000004</v>
      </c>
      <c r="G53" s="6">
        <v>1423.271</v>
      </c>
      <c r="H53" s="6">
        <v>1774.0260000000003</v>
      </c>
      <c r="I53" s="6">
        <v>1938.386</v>
      </c>
      <c r="J53" s="6">
        <v>2029.2399999999998</v>
      </c>
      <c r="K53" s="6">
        <v>2404.7489999999998</v>
      </c>
      <c r="L53" s="6">
        <v>2252.9990000000003</v>
      </c>
      <c r="M53" s="6">
        <v>2220.1319999999996</v>
      </c>
      <c r="N53" s="6">
        <v>2279.5700000000006</v>
      </c>
      <c r="O53" s="6">
        <v>2254.4614000000001</v>
      </c>
      <c r="P53" s="6">
        <v>1980.0796</v>
      </c>
      <c r="Q53" s="6">
        <v>1937.6210000000001</v>
      </c>
      <c r="R53" s="6">
        <v>2038.31</v>
      </c>
      <c r="S53" s="6">
        <v>2208.6614</v>
      </c>
      <c r="T53" s="127">
        <f t="shared" ref="T53:AS53" si="6">SUM(T54:T64)</f>
        <v>2155.6120000000001</v>
      </c>
      <c r="U53" s="127">
        <f t="shared" si="6"/>
        <v>2086.2919999999999</v>
      </c>
      <c r="V53" s="127">
        <f t="shared" si="6"/>
        <v>1561.3020000000001</v>
      </c>
      <c r="W53" s="127">
        <f t="shared" si="6"/>
        <v>1429.6859999999999</v>
      </c>
      <c r="X53" s="127">
        <f t="shared" si="6"/>
        <v>1592.8700000000001</v>
      </c>
      <c r="Y53" s="127">
        <f t="shared" si="6"/>
        <v>1559.9669999999999</v>
      </c>
      <c r="Z53" s="127">
        <f t="shared" si="6"/>
        <v>1438.1939999999997</v>
      </c>
      <c r="AA53" s="127">
        <f t="shared" si="6"/>
        <v>1447.739</v>
      </c>
      <c r="AB53" s="127">
        <f t="shared" si="6"/>
        <v>1383.5340000000001</v>
      </c>
      <c r="AC53" s="127">
        <f t="shared" si="6"/>
        <v>1667.6620000000003</v>
      </c>
      <c r="AD53" s="127">
        <f t="shared" si="6"/>
        <v>1542.127</v>
      </c>
      <c r="AE53" s="127">
        <f t="shared" si="6"/>
        <v>1889.5809999999997</v>
      </c>
      <c r="AF53" s="127">
        <f t="shared" si="6"/>
        <v>1835.4670000000001</v>
      </c>
      <c r="AG53" s="127">
        <f t="shared" si="6"/>
        <v>1835.5810000000001</v>
      </c>
      <c r="AH53" s="127">
        <f t="shared" si="6"/>
        <v>1787.2070000000003</v>
      </c>
      <c r="AI53" s="127">
        <f t="shared" si="6"/>
        <v>1776.694</v>
      </c>
      <c r="AJ53" s="127">
        <f t="shared" si="6"/>
        <v>1705.825</v>
      </c>
      <c r="AK53" s="127">
        <f t="shared" si="6"/>
        <v>1910.6279999999999</v>
      </c>
      <c r="AL53" s="127">
        <f t="shared" si="6"/>
        <v>1865.8129999999999</v>
      </c>
      <c r="AM53" s="127">
        <f t="shared" si="6"/>
        <v>1787.1570000000002</v>
      </c>
      <c r="AN53" s="127">
        <f t="shared" si="6"/>
        <v>1714.5410000000002</v>
      </c>
      <c r="AO53" s="127">
        <f t="shared" si="6"/>
        <v>1541.1179999999999</v>
      </c>
      <c r="AP53" s="127">
        <f t="shared" si="6"/>
        <v>1402.6709999999998</v>
      </c>
      <c r="AQ53" s="127">
        <f t="shared" si="6"/>
        <v>1406.0540000000001</v>
      </c>
      <c r="AR53" s="127">
        <f t="shared" si="6"/>
        <v>1409.9869999999999</v>
      </c>
      <c r="AS53" s="127">
        <f t="shared" si="6"/>
        <v>1361.2080000000001</v>
      </c>
      <c r="AT53" s="127">
        <v>1359.1590000000001</v>
      </c>
      <c r="AU53" s="127">
        <v>1360.2080000000001</v>
      </c>
      <c r="AV53" s="127">
        <v>1286.546</v>
      </c>
      <c r="AW53" s="127">
        <v>1285.3959999999997</v>
      </c>
      <c r="AX53" s="127">
        <v>1206.6199999999999</v>
      </c>
      <c r="AY53" s="127">
        <v>1086.739</v>
      </c>
      <c r="AZ53" s="127">
        <v>1093.213</v>
      </c>
      <c r="BA53" s="127">
        <v>721.73700000000008</v>
      </c>
      <c r="BB53" s="127">
        <v>716.47800000000007</v>
      </c>
      <c r="BC53" s="127">
        <v>716.8180000000001</v>
      </c>
      <c r="BD53" s="127">
        <v>720.39799999999991</v>
      </c>
      <c r="BE53" s="127">
        <f>SUM(BE54:BE64)</f>
        <v>593.97800000000007</v>
      </c>
    </row>
    <row r="54" spans="1:57" ht="15" customHeight="1">
      <c r="A54" t="s">
        <v>191</v>
      </c>
      <c r="B54" s="21" t="str">
        <f>IF('Sumário | Summary'!P1=1,"Empréstimos e financiamentos","Loans and Financing")</f>
        <v>Empréstimos e financiamentos</v>
      </c>
      <c r="C54" s="5">
        <v>355.90699999999998</v>
      </c>
      <c r="D54" s="5">
        <v>413.642</v>
      </c>
      <c r="E54" s="5">
        <v>507.94</v>
      </c>
      <c r="F54" s="5">
        <v>580.01700000000005</v>
      </c>
      <c r="G54" s="5">
        <v>638.01199999999994</v>
      </c>
      <c r="H54" s="5">
        <v>870.61300000000006</v>
      </c>
      <c r="I54" s="5">
        <v>939.12599999999998</v>
      </c>
      <c r="J54" s="5">
        <v>1007.885</v>
      </c>
      <c r="K54" s="5">
        <v>1396.1289999999999</v>
      </c>
      <c r="L54" s="5">
        <v>1364.7909999999999</v>
      </c>
      <c r="M54" s="5">
        <v>1327.4380000000001</v>
      </c>
      <c r="N54" s="5">
        <v>1405.711</v>
      </c>
      <c r="O54" s="34">
        <v>1398.7370000000001</v>
      </c>
      <c r="P54" s="18">
        <v>1323.7339999999999</v>
      </c>
      <c r="Q54" s="18">
        <v>1303.21</v>
      </c>
      <c r="R54" s="18">
        <v>1295.383</v>
      </c>
      <c r="S54" s="18">
        <v>1268.972</v>
      </c>
      <c r="T54" s="18">
        <v>1264.2860000000001</v>
      </c>
      <c r="U54" s="18">
        <v>1200.076</v>
      </c>
      <c r="V54" s="18">
        <v>910.90599999999995</v>
      </c>
      <c r="W54" s="18">
        <v>895.82399999999996</v>
      </c>
      <c r="X54" s="18">
        <v>890.06500000000005</v>
      </c>
      <c r="Y54" s="18">
        <v>862.18200000000002</v>
      </c>
      <c r="Z54" s="18">
        <v>853.01300000000003</v>
      </c>
      <c r="AA54" s="18">
        <v>633.49599999999998</v>
      </c>
      <c r="AB54" s="18">
        <v>625.779</v>
      </c>
      <c r="AC54" s="18">
        <v>610.14300000000003</v>
      </c>
      <c r="AD54" s="18">
        <v>602.40700000000004</v>
      </c>
      <c r="AE54" s="40">
        <v>88.328999999999994</v>
      </c>
      <c r="AF54" s="18">
        <v>86.409000000000006</v>
      </c>
      <c r="AG54" s="18">
        <v>84.784999999999997</v>
      </c>
      <c r="AH54" s="18">
        <v>83.125</v>
      </c>
      <c r="AI54" s="18">
        <v>81.430999999999997</v>
      </c>
      <c r="AJ54" s="40">
        <v>79.7</v>
      </c>
      <c r="AK54" s="40">
        <v>77.932000000000002</v>
      </c>
      <c r="AL54" s="156">
        <v>76.126999999999995</v>
      </c>
      <c r="AM54" s="156">
        <v>0</v>
      </c>
      <c r="AN54" s="156">
        <v>0</v>
      </c>
      <c r="AO54" s="156">
        <v>0</v>
      </c>
      <c r="AP54" s="40">
        <v>0</v>
      </c>
      <c r="AQ54" s="40">
        <v>0</v>
      </c>
      <c r="AR54" s="40">
        <v>0</v>
      </c>
      <c r="AS54" s="40">
        <v>0</v>
      </c>
      <c r="AT54" s="40">
        <v>0</v>
      </c>
      <c r="AU54" s="40">
        <v>0</v>
      </c>
      <c r="AV54" s="40">
        <v>0</v>
      </c>
      <c r="AW54" s="40">
        <v>0</v>
      </c>
      <c r="AX54" s="40">
        <v>0</v>
      </c>
      <c r="AY54" s="40">
        <v>0</v>
      </c>
      <c r="AZ54" s="40">
        <v>0</v>
      </c>
      <c r="BA54" s="40">
        <v>0</v>
      </c>
      <c r="BB54" s="40">
        <v>0</v>
      </c>
      <c r="BC54" s="40">
        <v>0</v>
      </c>
      <c r="BD54" s="40">
        <v>0</v>
      </c>
      <c r="BE54" s="40">
        <v>0</v>
      </c>
    </row>
    <row r="55" spans="1:57" ht="15" customHeight="1">
      <c r="A55" t="s">
        <v>192</v>
      </c>
      <c r="B55" s="21" t="str">
        <f>IF('Sumário | Summary'!P1=1,"Debêntures","Debentures")</f>
        <v>Debêntures</v>
      </c>
      <c r="C55" s="5">
        <v>470.12200000000001</v>
      </c>
      <c r="D55" s="5">
        <v>600.428</v>
      </c>
      <c r="E55" s="5">
        <v>587.58500000000004</v>
      </c>
      <c r="F55" s="5">
        <v>568.93700000000001</v>
      </c>
      <c r="G55" s="5">
        <v>752.01499999999999</v>
      </c>
      <c r="H55" s="5">
        <v>886.18200000000002</v>
      </c>
      <c r="I55" s="5">
        <v>870.81600000000003</v>
      </c>
      <c r="J55" s="5">
        <v>855.65599999999995</v>
      </c>
      <c r="K55" s="5">
        <v>840.38599999999997</v>
      </c>
      <c r="L55" s="5">
        <v>722.90899999999999</v>
      </c>
      <c r="M55" s="5">
        <v>707.62900000000002</v>
      </c>
      <c r="N55" s="5">
        <v>692.31700000000001</v>
      </c>
      <c r="O55" s="34">
        <v>680.13300000000004</v>
      </c>
      <c r="P55" s="18">
        <v>479.839</v>
      </c>
      <c r="Q55" s="18">
        <v>462.55200000000002</v>
      </c>
      <c r="R55" s="18">
        <v>439.70400000000001</v>
      </c>
      <c r="S55" s="18">
        <v>643.06600000000003</v>
      </c>
      <c r="T55" s="18">
        <v>606.89400000000001</v>
      </c>
      <c r="U55" s="18">
        <v>606.06600000000003</v>
      </c>
      <c r="V55" s="18">
        <v>490.238</v>
      </c>
      <c r="W55" s="18">
        <v>376.51299999999998</v>
      </c>
      <c r="X55" s="18">
        <v>670.27099999999996</v>
      </c>
      <c r="Y55" s="18">
        <v>669.351</v>
      </c>
      <c r="Z55" s="18">
        <v>560.81700000000001</v>
      </c>
      <c r="AA55" s="18">
        <v>792.5</v>
      </c>
      <c r="AB55" s="18">
        <v>744.61199999999997</v>
      </c>
      <c r="AC55" s="18">
        <v>1046.002</v>
      </c>
      <c r="AD55" s="18">
        <v>929.00699999999995</v>
      </c>
      <c r="AE55" s="40">
        <v>1384.9179999999999</v>
      </c>
      <c r="AF55" s="18">
        <v>1331.2650000000001</v>
      </c>
      <c r="AG55" s="18">
        <v>1334.83</v>
      </c>
      <c r="AH55" s="18">
        <v>1288.96</v>
      </c>
      <c r="AI55" s="18">
        <v>1277.8820000000001</v>
      </c>
      <c r="AJ55" s="40">
        <v>1208.3610000000001</v>
      </c>
      <c r="AK55" s="40">
        <v>1414.548</v>
      </c>
      <c r="AL55" s="40">
        <v>1374.654</v>
      </c>
      <c r="AM55" s="40">
        <v>1375.9760000000001</v>
      </c>
      <c r="AN55" s="40">
        <v>1302.6300000000001</v>
      </c>
      <c r="AO55" s="156">
        <v>1131.0519999999999</v>
      </c>
      <c r="AP55" s="40">
        <v>992.18399999999997</v>
      </c>
      <c r="AQ55" s="40">
        <v>993.26700000000005</v>
      </c>
      <c r="AR55" s="40">
        <v>997.30600000000004</v>
      </c>
      <c r="AS55" s="40">
        <v>952.04300000000001</v>
      </c>
      <c r="AT55" s="40">
        <v>949.899</v>
      </c>
      <c r="AU55" s="40">
        <v>949.78800000000001</v>
      </c>
      <c r="AV55" s="40">
        <v>878</v>
      </c>
      <c r="AW55" s="40">
        <v>878.18499999999995</v>
      </c>
      <c r="AX55" s="40">
        <v>799.77</v>
      </c>
      <c r="AY55" s="40">
        <v>683.06399999999996</v>
      </c>
      <c r="AZ55" s="40">
        <v>689.66200000000003</v>
      </c>
      <c r="BA55" s="40">
        <v>450.565</v>
      </c>
      <c r="BB55" s="40">
        <v>448.09399999999999</v>
      </c>
      <c r="BC55" s="40">
        <v>448.57499999999999</v>
      </c>
      <c r="BD55" s="40">
        <v>452.30599999999998</v>
      </c>
      <c r="BE55" s="40">
        <v>458.03899999999999</v>
      </c>
    </row>
    <row r="56" spans="1:57" ht="15" customHeight="1">
      <c r="A56" t="s">
        <v>199</v>
      </c>
      <c r="B56" s="39" t="str">
        <f>IF('Sumário | Summary'!P1=1,"Notas Promissórias","Promissory Notes")</f>
        <v>Notas Promissórias</v>
      </c>
      <c r="C56" s="18">
        <v>0</v>
      </c>
      <c r="D56" s="18">
        <v>0</v>
      </c>
      <c r="E56" s="18">
        <v>0</v>
      </c>
      <c r="F56" s="18">
        <v>0</v>
      </c>
      <c r="G56" s="18">
        <v>0</v>
      </c>
      <c r="H56" s="18">
        <v>0</v>
      </c>
      <c r="I56" s="18">
        <v>0</v>
      </c>
      <c r="J56" s="18">
        <v>0</v>
      </c>
      <c r="K56" s="18">
        <v>0</v>
      </c>
      <c r="L56" s="18">
        <v>0</v>
      </c>
      <c r="M56" s="18">
        <v>0</v>
      </c>
      <c r="N56" s="18">
        <v>0</v>
      </c>
      <c r="O56" s="18">
        <v>0</v>
      </c>
      <c r="P56" s="18">
        <v>0</v>
      </c>
      <c r="Q56" s="18">
        <v>0</v>
      </c>
      <c r="R56" s="40">
        <v>135</v>
      </c>
      <c r="S56">
        <v>135</v>
      </c>
      <c r="T56" s="47">
        <v>127.5</v>
      </c>
      <c r="U56" s="47">
        <v>127.5</v>
      </c>
      <c r="V56" s="47">
        <v>120</v>
      </c>
      <c r="W56" s="40">
        <v>120</v>
      </c>
      <c r="X56" s="40">
        <v>0</v>
      </c>
      <c r="Y56" s="40">
        <v>0</v>
      </c>
      <c r="Z56" s="18">
        <v>0</v>
      </c>
      <c r="AA56" s="18">
        <v>0</v>
      </c>
      <c r="AB56" s="18">
        <v>0</v>
      </c>
      <c r="AC56" s="18">
        <v>0</v>
      </c>
      <c r="AD56" s="18">
        <v>0</v>
      </c>
      <c r="AE56" s="40">
        <v>0</v>
      </c>
      <c r="AF56" s="18">
        <v>0</v>
      </c>
      <c r="AG56" s="18">
        <v>0</v>
      </c>
      <c r="AH56" s="18">
        <v>0</v>
      </c>
      <c r="AI56" s="18">
        <v>0</v>
      </c>
      <c r="AJ56" s="40">
        <v>0</v>
      </c>
      <c r="AK56" s="40">
        <v>0</v>
      </c>
      <c r="AL56" s="40">
        <v>0</v>
      </c>
      <c r="AM56" s="40">
        <v>0</v>
      </c>
      <c r="AN56" s="40">
        <v>0</v>
      </c>
      <c r="AO56" s="156">
        <v>0</v>
      </c>
      <c r="AP56" s="40">
        <v>0</v>
      </c>
      <c r="AQ56" s="40">
        <v>0</v>
      </c>
      <c r="AR56" s="40">
        <v>0</v>
      </c>
      <c r="AS56" s="40">
        <v>0</v>
      </c>
      <c r="AT56" s="40">
        <v>0</v>
      </c>
      <c r="AU56" s="40">
        <v>0</v>
      </c>
      <c r="AV56" s="40">
        <v>0</v>
      </c>
      <c r="AW56" s="40">
        <v>0</v>
      </c>
      <c r="AX56" s="40">
        <v>0</v>
      </c>
      <c r="AY56" s="40">
        <v>0</v>
      </c>
      <c r="AZ56" s="40">
        <v>0</v>
      </c>
      <c r="BA56" s="40">
        <v>0</v>
      </c>
      <c r="BB56" s="40">
        <v>0</v>
      </c>
      <c r="BC56" s="40">
        <v>0</v>
      </c>
      <c r="BD56" s="40">
        <v>0</v>
      </c>
      <c r="BE56" s="40">
        <v>0</v>
      </c>
    </row>
    <row r="57" spans="1:57" ht="15" customHeight="1">
      <c r="A57" t="s">
        <v>194</v>
      </c>
      <c r="B57" s="21" t="str">
        <f>IF('Sumário | Summary'!P1=1,"Impostos e contribuições diferidos","Tax and Contributions - Deferred")</f>
        <v>Impostos e contribuições diferidos</v>
      </c>
      <c r="C57" s="5">
        <v>3.6930000000000001</v>
      </c>
      <c r="D57" s="5">
        <v>2.9529999999999998</v>
      </c>
      <c r="E57" s="5">
        <v>3.5230000000000001</v>
      </c>
      <c r="F57" s="5">
        <v>3.8140000000000001</v>
      </c>
      <c r="G57" s="5">
        <v>4.242</v>
      </c>
      <c r="H57" s="5">
        <v>7.2210000000000001</v>
      </c>
      <c r="I57" s="5">
        <v>7.6319999999999997</v>
      </c>
      <c r="J57" s="5">
        <v>8.0440000000000005</v>
      </c>
      <c r="K57" s="5">
        <v>8.1560000000000006</v>
      </c>
      <c r="L57" s="5">
        <v>8.4849999999999994</v>
      </c>
      <c r="M57" s="5">
        <v>10.58</v>
      </c>
      <c r="N57" s="5">
        <v>10.146000000000001</v>
      </c>
      <c r="O57" s="34">
        <v>9.4740000000000002</v>
      </c>
      <c r="P57" s="18">
        <v>10.834</v>
      </c>
      <c r="Q57" s="18">
        <v>10.26</v>
      </c>
      <c r="R57" s="18">
        <v>9.7110000000000003</v>
      </c>
      <c r="S57" s="18">
        <v>8.8040000000000003</v>
      </c>
      <c r="T57" s="18">
        <v>8.0690000000000008</v>
      </c>
      <c r="U57" s="18">
        <v>7.423</v>
      </c>
      <c r="V57" s="18">
        <v>6.8239999999999998</v>
      </c>
      <c r="W57" s="18">
        <v>6.2640000000000002</v>
      </c>
      <c r="X57" s="18">
        <v>5.4509999999999996</v>
      </c>
      <c r="Y57" s="18">
        <v>4.859</v>
      </c>
      <c r="Z57" s="18">
        <v>4.0419999999999998</v>
      </c>
      <c r="AA57" s="18">
        <v>3.5249999999999999</v>
      </c>
      <c r="AB57" s="18">
        <v>3.1920000000000002</v>
      </c>
      <c r="AC57" s="18">
        <v>2.8039999999999998</v>
      </c>
      <c r="AD57" s="18">
        <v>2.4180000000000001</v>
      </c>
      <c r="AE57" s="40">
        <v>2.2010000000000001</v>
      </c>
      <c r="AF57" s="18">
        <v>1.9139999999999999</v>
      </c>
      <c r="AG57" s="18">
        <v>1.7470000000000001</v>
      </c>
      <c r="AH57" s="18">
        <v>1.641</v>
      </c>
      <c r="AI57" s="18">
        <v>1.54</v>
      </c>
      <c r="AJ57" s="40">
        <v>1.536</v>
      </c>
      <c r="AK57" s="40">
        <v>1.373</v>
      </c>
      <c r="AL57" s="40">
        <v>1.446</v>
      </c>
      <c r="AM57" s="40">
        <v>1.3480000000000001</v>
      </c>
      <c r="AN57" s="40">
        <v>1.407</v>
      </c>
      <c r="AO57" s="156">
        <v>1.3</v>
      </c>
      <c r="AP57" s="40">
        <v>1.2629999999999999</v>
      </c>
      <c r="AQ57" s="40">
        <v>1.2070000000000001</v>
      </c>
      <c r="AR57" s="40">
        <v>1.131</v>
      </c>
      <c r="AS57" s="40">
        <v>1.1339999999999999</v>
      </c>
      <c r="AT57" s="40">
        <v>1.1890000000000001</v>
      </c>
      <c r="AU57" s="40">
        <v>1.1830000000000001</v>
      </c>
      <c r="AV57" s="40">
        <v>1.119</v>
      </c>
      <c r="AW57" s="40">
        <v>0.59099999999999997</v>
      </c>
      <c r="AX57" s="40">
        <v>0.59</v>
      </c>
      <c r="AY57" s="40">
        <v>0.54800000000000004</v>
      </c>
      <c r="AZ57" s="40">
        <v>0.58799999999999997</v>
      </c>
      <c r="BA57" s="40">
        <v>0.55100000000000005</v>
      </c>
      <c r="BB57" s="40">
        <v>0.55800000000000005</v>
      </c>
      <c r="BC57" s="40">
        <v>0.54500000000000004</v>
      </c>
      <c r="BD57" s="40">
        <v>0.54200000000000004</v>
      </c>
      <c r="BE57" s="40">
        <v>0.51200000000000001</v>
      </c>
    </row>
    <row r="58" spans="1:57">
      <c r="A58" t="s">
        <v>195</v>
      </c>
      <c r="B58" s="28" t="str">
        <f>IF('Sumário | Summary'!P1=1,"Receita res-sperata a apropriar","Key Money to be Recognized")</f>
        <v>Receita res-sperata a apropriar</v>
      </c>
      <c r="C58" s="5">
        <v>0</v>
      </c>
      <c r="D58" s="5">
        <v>0</v>
      </c>
      <c r="E58" s="5">
        <v>0</v>
      </c>
      <c r="F58" s="5">
        <v>0</v>
      </c>
      <c r="G58" s="5">
        <v>21.782</v>
      </c>
      <c r="H58" s="5">
        <v>4.4390000000000001</v>
      </c>
      <c r="I58" s="5">
        <v>7.9489999999999998</v>
      </c>
      <c r="J58" s="5">
        <v>44.792000000000002</v>
      </c>
      <c r="K58" s="5">
        <v>47.207000000000001</v>
      </c>
      <c r="L58" s="5">
        <v>43.942999999999998</v>
      </c>
      <c r="M58" s="5">
        <v>61.622</v>
      </c>
      <c r="N58" s="5">
        <v>58.603000000000002</v>
      </c>
      <c r="O58" s="34">
        <v>53.465400000000002</v>
      </c>
      <c r="P58" s="18">
        <v>53.349599999999995</v>
      </c>
      <c r="Q58" s="18">
        <v>50.357999999999997</v>
      </c>
      <c r="R58" s="18">
        <v>47.341999999999999</v>
      </c>
      <c r="S58" s="18">
        <v>42.6464</v>
      </c>
      <c r="T58" s="18">
        <v>38.761000000000003</v>
      </c>
      <c r="U58" s="18">
        <v>35.29</v>
      </c>
      <c r="V58" s="18">
        <v>32.113</v>
      </c>
      <c r="W58" s="18">
        <v>29.477</v>
      </c>
      <c r="X58" s="18">
        <v>25.651</v>
      </c>
      <c r="Y58" s="18">
        <v>22.867000000000001</v>
      </c>
      <c r="Z58" s="18">
        <v>18.07</v>
      </c>
      <c r="AA58" s="18">
        <v>16.59</v>
      </c>
      <c r="AB58" s="18">
        <v>8.3230000000000004</v>
      </c>
      <c r="AC58" s="18">
        <v>7.0919999999999996</v>
      </c>
      <c r="AD58" s="18">
        <v>6.5819999999999999</v>
      </c>
      <c r="AE58" s="40">
        <v>6.08</v>
      </c>
      <c r="AF58" s="18">
        <v>7.016</v>
      </c>
      <c r="AG58" s="18">
        <v>6.4729999999999999</v>
      </c>
      <c r="AH58" s="18">
        <v>6.1219999999999999</v>
      </c>
      <c r="AI58" s="18">
        <v>5.8710000000000004</v>
      </c>
      <c r="AJ58" s="40">
        <v>5.79</v>
      </c>
      <c r="AK58" s="40">
        <v>5.2220000000000004</v>
      </c>
      <c r="AL58" s="40">
        <v>5.9889999999999999</v>
      </c>
      <c r="AM58" s="40">
        <v>5.4989999999999997</v>
      </c>
      <c r="AN58" s="40">
        <v>5.64</v>
      </c>
      <c r="AO58" s="156">
        <v>4.968</v>
      </c>
      <c r="AP58" s="40">
        <v>4.9770000000000003</v>
      </c>
      <c r="AQ58" s="40">
        <v>5.79</v>
      </c>
      <c r="AR58" s="40">
        <v>5.3810000000000002</v>
      </c>
      <c r="AS58" s="40">
        <v>4.0629999999999997</v>
      </c>
      <c r="AT58" s="40">
        <v>4.5620000000000003</v>
      </c>
      <c r="AU58" s="40">
        <v>4.3010000000000002</v>
      </c>
      <c r="AV58" s="40">
        <v>3.7170000000000001</v>
      </c>
      <c r="AW58" s="40">
        <v>2.1440000000000001</v>
      </c>
      <c r="AX58" s="40">
        <v>2.15</v>
      </c>
      <c r="AY58" s="40">
        <v>2.0619999999999998</v>
      </c>
      <c r="AZ58" s="40">
        <v>2.3050000000000002</v>
      </c>
      <c r="BA58" s="40">
        <v>2.028</v>
      </c>
      <c r="BB58" s="40">
        <v>2.2360000000000002</v>
      </c>
      <c r="BC58" s="40">
        <v>2.2189999999999999</v>
      </c>
      <c r="BD58" s="40">
        <v>2.2080000000000002</v>
      </c>
      <c r="BE58" s="40">
        <v>2.1339999999999999</v>
      </c>
    </row>
    <row r="59" spans="1:57">
      <c r="A59" t="s">
        <v>196</v>
      </c>
      <c r="B59" s="28" t="str">
        <f>IF('Sumário | Summary'!P1=1,"Demais contas a pagar","Other accounts payable")</f>
        <v>Demais contas a pagar</v>
      </c>
      <c r="C59" s="5">
        <v>5.9349999999999996</v>
      </c>
      <c r="D59" s="5">
        <v>2.415</v>
      </c>
      <c r="E59" s="5">
        <v>0.73099999999999998</v>
      </c>
      <c r="F59" s="5">
        <v>0.44</v>
      </c>
      <c r="G59" s="5">
        <v>0.86699999999999999</v>
      </c>
      <c r="H59" s="5">
        <v>0.48699999999999999</v>
      </c>
      <c r="I59" s="5">
        <v>0</v>
      </c>
      <c r="J59" s="5">
        <v>0</v>
      </c>
      <c r="K59" s="5">
        <v>0</v>
      </c>
      <c r="L59" s="5" t="s">
        <v>18</v>
      </c>
      <c r="M59" s="5">
        <v>0</v>
      </c>
      <c r="N59" s="5">
        <v>0</v>
      </c>
      <c r="O59" s="31">
        <v>0</v>
      </c>
      <c r="P59" s="18">
        <v>0.97699999999999998</v>
      </c>
      <c r="Q59" s="18">
        <v>0</v>
      </c>
      <c r="R59" s="18">
        <v>0</v>
      </c>
      <c r="S59" s="18">
        <v>0</v>
      </c>
      <c r="T59" s="18">
        <v>0</v>
      </c>
      <c r="U59" s="18">
        <v>0</v>
      </c>
      <c r="V59" s="18">
        <v>0</v>
      </c>
      <c r="W59" s="18">
        <v>0</v>
      </c>
      <c r="X59" s="18">
        <v>0</v>
      </c>
      <c r="Y59" s="18">
        <v>0</v>
      </c>
      <c r="Z59" s="18">
        <v>0</v>
      </c>
      <c r="AA59" s="18">
        <v>0</v>
      </c>
      <c r="AB59" s="18">
        <v>0</v>
      </c>
      <c r="AC59" s="18">
        <v>0</v>
      </c>
      <c r="AD59" s="18">
        <v>0</v>
      </c>
      <c r="AE59" s="40">
        <v>5.2489999999999997</v>
      </c>
      <c r="AF59" s="18">
        <v>4.96</v>
      </c>
      <c r="AG59" s="18">
        <v>4.7309999999999999</v>
      </c>
      <c r="AH59" s="18">
        <v>4.5049999999999999</v>
      </c>
      <c r="AI59" s="18">
        <v>4.282</v>
      </c>
      <c r="AJ59" s="40">
        <v>3.9910000000000001</v>
      </c>
      <c r="AK59" s="40">
        <v>3.8479999999999999</v>
      </c>
      <c r="AL59" s="40">
        <v>4.4669999999999996</v>
      </c>
      <c r="AM59" s="40">
        <v>4.2089999999999996</v>
      </c>
      <c r="AN59" s="40">
        <v>4.21</v>
      </c>
      <c r="AO59" s="156">
        <v>3.7050000000000001</v>
      </c>
      <c r="AP59" s="40">
        <v>3.4580000000000002</v>
      </c>
      <c r="AQ59" s="40">
        <v>3.2149999999999999</v>
      </c>
      <c r="AR59" s="40">
        <v>2.9750000000000001</v>
      </c>
      <c r="AS59" s="40">
        <v>0</v>
      </c>
      <c r="AT59" s="40">
        <v>0</v>
      </c>
      <c r="AU59" s="40">
        <v>1.083</v>
      </c>
      <c r="AV59" s="40">
        <v>0.94199999999999995</v>
      </c>
      <c r="AW59" s="40">
        <v>1.829</v>
      </c>
      <c r="AX59" s="40">
        <v>1.829</v>
      </c>
      <c r="AY59" s="40">
        <v>0</v>
      </c>
      <c r="AZ59" s="40">
        <v>0</v>
      </c>
      <c r="BA59" s="40">
        <v>0</v>
      </c>
      <c r="BB59" s="40">
        <v>0</v>
      </c>
      <c r="BC59" s="40">
        <v>0</v>
      </c>
      <c r="BD59" s="40">
        <v>0</v>
      </c>
      <c r="BE59" s="40">
        <v>0</v>
      </c>
    </row>
    <row r="60" spans="1:57" ht="15" customHeight="1">
      <c r="A60" t="s">
        <v>193</v>
      </c>
      <c r="B60" s="28" t="str">
        <f>IF('Sumário | Summary'!P1=1,"Contas a pagar por aquisição de imóveis","Accounts payable due to real estate acquisition")</f>
        <v>Contas a pagar por aquisição de imóveis</v>
      </c>
      <c r="C60" s="5">
        <v>0</v>
      </c>
      <c r="D60" s="5">
        <v>0</v>
      </c>
      <c r="E60" s="5">
        <v>0</v>
      </c>
      <c r="F60" s="5">
        <v>6.226</v>
      </c>
      <c r="G60" s="5">
        <v>1.2689999999999999</v>
      </c>
      <c r="H60" s="5">
        <v>0</v>
      </c>
      <c r="I60" s="5">
        <v>108.51300000000001</v>
      </c>
      <c r="J60" s="5">
        <v>0</v>
      </c>
      <c r="K60" s="5">
        <v>0</v>
      </c>
      <c r="L60" s="5" t="s">
        <v>18</v>
      </c>
      <c r="M60" s="5">
        <v>0</v>
      </c>
      <c r="N60" s="5">
        <v>0</v>
      </c>
      <c r="O60" s="31">
        <v>0</v>
      </c>
      <c r="P60" s="18">
        <v>0</v>
      </c>
      <c r="Q60" s="18">
        <v>0</v>
      </c>
      <c r="R60" s="18">
        <v>0</v>
      </c>
      <c r="S60" s="18">
        <v>0</v>
      </c>
      <c r="T60" s="18">
        <v>0</v>
      </c>
      <c r="U60" s="18">
        <v>0</v>
      </c>
      <c r="V60" s="18">
        <v>0</v>
      </c>
      <c r="W60" s="18">
        <v>0</v>
      </c>
      <c r="X60" s="18">
        <v>0</v>
      </c>
      <c r="Y60" s="18">
        <v>0</v>
      </c>
      <c r="Z60" s="18">
        <v>0</v>
      </c>
      <c r="AA60" s="18">
        <v>0</v>
      </c>
      <c r="AB60" s="40">
        <v>0</v>
      </c>
      <c r="AC60" s="18">
        <v>0</v>
      </c>
      <c r="AD60" s="18">
        <v>0</v>
      </c>
      <c r="AE60" s="40">
        <v>394.98399999999998</v>
      </c>
      <c r="AF60" s="18">
        <v>396.08199999999999</v>
      </c>
      <c r="AG60" s="18">
        <v>395.93700000000001</v>
      </c>
      <c r="AH60" s="18">
        <v>395.77600000000001</v>
      </c>
      <c r="AI60" s="18">
        <v>395.92500000000001</v>
      </c>
      <c r="AJ60" s="40">
        <v>396.02100000000002</v>
      </c>
      <c r="AK60" s="40">
        <v>396.02800000000002</v>
      </c>
      <c r="AL60" s="40">
        <v>396.11799999999999</v>
      </c>
      <c r="AM60" s="40">
        <v>396.40800000000002</v>
      </c>
      <c r="AN60" s="40">
        <v>396.55</v>
      </c>
      <c r="AO60" s="156">
        <v>395.77600000000001</v>
      </c>
      <c r="AP60" s="40">
        <v>395.77600000000001</v>
      </c>
      <c r="AQ60" s="40">
        <v>395.77600000000001</v>
      </c>
      <c r="AR60" s="40">
        <v>395.77600000000001</v>
      </c>
      <c r="AS60" s="40">
        <v>395.77600000000001</v>
      </c>
      <c r="AT60" s="40">
        <v>395.77600000000001</v>
      </c>
      <c r="AU60" s="40">
        <v>395.77600000000001</v>
      </c>
      <c r="AV60" s="40">
        <v>395.77600000000001</v>
      </c>
      <c r="AW60" s="40">
        <v>395.77600000000001</v>
      </c>
      <c r="AX60" s="40">
        <v>395.77600000000001</v>
      </c>
      <c r="AY60" s="40">
        <v>395.77600000000001</v>
      </c>
      <c r="AZ60" s="40">
        <v>395.77600000000001</v>
      </c>
      <c r="BA60" s="40">
        <v>263.85000000000002</v>
      </c>
      <c r="BB60" s="40">
        <v>263.85000000000002</v>
      </c>
      <c r="BC60" s="40">
        <v>263.851</v>
      </c>
      <c r="BD60" s="40">
        <v>263.851</v>
      </c>
      <c r="BE60" s="40">
        <v>131.92500000000001</v>
      </c>
    </row>
    <row r="61" spans="1:57" ht="15" customHeight="1">
      <c r="A61" t="s">
        <v>197</v>
      </c>
      <c r="B61" s="21" t="str">
        <f>IF('Sumário | Summary'!P1=1,"Provisões para riscos trabalhistas, fiscais e cíveis","Provisions for labor, tax and civil contingencies")</f>
        <v>Provisões para riscos trabalhistas, fiscais e cíveis</v>
      </c>
      <c r="C61" s="5">
        <v>6.6020000000000003</v>
      </c>
      <c r="D61" s="5">
        <v>6.6020000000000003</v>
      </c>
      <c r="E61" s="5">
        <v>6.6020000000000003</v>
      </c>
      <c r="F61" s="5">
        <v>5.1219999999999999</v>
      </c>
      <c r="G61" s="5">
        <v>5.0839999999999996</v>
      </c>
      <c r="H61" s="5">
        <v>5.0839999999999996</v>
      </c>
      <c r="I61" s="5">
        <v>4.3499999999999996</v>
      </c>
      <c r="J61" s="5">
        <v>4.3499999999999996</v>
      </c>
      <c r="K61" s="5">
        <v>4.3579999999999997</v>
      </c>
      <c r="L61" s="5">
        <v>4.3579999999999997</v>
      </c>
      <c r="M61" s="5">
        <v>4.3499999999999996</v>
      </c>
      <c r="N61" s="5">
        <v>4.28</v>
      </c>
      <c r="O61" s="34">
        <v>4.1390000000000002</v>
      </c>
      <c r="P61" s="18">
        <v>2.8330000000000002</v>
      </c>
      <c r="Q61" s="18">
        <v>2.7280000000000002</v>
      </c>
      <c r="R61" s="18">
        <v>2.657</v>
      </c>
      <c r="S61" s="40">
        <v>1.66</v>
      </c>
      <c r="T61" s="40">
        <v>1.589</v>
      </c>
      <c r="U61" s="40">
        <v>1.4239999999999999</v>
      </c>
      <c r="V61" s="40">
        <v>1.2210000000000001</v>
      </c>
      <c r="W61" s="18">
        <v>1.6080000000000001</v>
      </c>
      <c r="X61" s="18">
        <v>1.4319999999999999</v>
      </c>
      <c r="Y61" s="18">
        <v>0.70799999999999996</v>
      </c>
      <c r="Z61" s="18">
        <v>2.2519999999999998</v>
      </c>
      <c r="AA61" s="18">
        <v>1.6279999999999999</v>
      </c>
      <c r="AB61" s="40">
        <v>1.6279999999999999</v>
      </c>
      <c r="AC61" s="18">
        <v>1.621</v>
      </c>
      <c r="AD61" s="18">
        <v>1.7130000000000001</v>
      </c>
      <c r="AE61" s="40">
        <v>7.82</v>
      </c>
      <c r="AF61" s="18">
        <v>7.8209999999999997</v>
      </c>
      <c r="AG61" s="18">
        <v>7.0780000000000003</v>
      </c>
      <c r="AH61" s="18">
        <v>7.0780000000000003</v>
      </c>
      <c r="AI61" s="18">
        <v>9.7629999999999999</v>
      </c>
      <c r="AJ61" s="40">
        <v>10.426</v>
      </c>
      <c r="AK61" s="40">
        <v>11.677</v>
      </c>
      <c r="AL61" s="40">
        <v>7.0119999999999996</v>
      </c>
      <c r="AM61" s="40">
        <v>3.7170000000000001</v>
      </c>
      <c r="AN61" s="40">
        <v>4.1040000000000001</v>
      </c>
      <c r="AO61" s="156">
        <v>4.3170000000000002</v>
      </c>
      <c r="AP61" s="40">
        <v>5.0129999999999999</v>
      </c>
      <c r="AQ61" s="40">
        <v>4.54</v>
      </c>
      <c r="AR61" s="40">
        <v>4.4429999999999996</v>
      </c>
      <c r="AS61" s="40">
        <v>5.4530000000000003</v>
      </c>
      <c r="AT61" s="40">
        <v>5.2270000000000003</v>
      </c>
      <c r="AU61" s="40">
        <v>5.8</v>
      </c>
      <c r="AV61" s="40">
        <v>4.9409999999999998</v>
      </c>
      <c r="AW61" s="40">
        <v>5.0419999999999998</v>
      </c>
      <c r="AX61" s="40">
        <v>4.8949999999999996</v>
      </c>
      <c r="AY61" s="40">
        <v>3.895</v>
      </c>
      <c r="AZ61" s="40">
        <v>3.7010000000000001</v>
      </c>
      <c r="BA61" s="40">
        <v>3.7719999999999998</v>
      </c>
      <c r="BB61" s="40">
        <v>0.97599999999999998</v>
      </c>
      <c r="BC61" s="40">
        <v>1.0669999999999999</v>
      </c>
      <c r="BD61" s="40">
        <v>1.131</v>
      </c>
      <c r="BE61" s="40">
        <v>1.206</v>
      </c>
    </row>
    <row r="62" spans="1:57">
      <c r="A62" t="s">
        <v>198</v>
      </c>
      <c r="B62" s="28" t="str">
        <f>IF('Sumário | Summary'!P1=1,"Adiantamentos de clientes - permuta","Advances from customers - exchange")</f>
        <v>Adiantamentos de clientes - permuta</v>
      </c>
      <c r="C62" s="5">
        <v>0</v>
      </c>
      <c r="D62" s="5">
        <v>0</v>
      </c>
      <c r="E62" s="5">
        <v>0</v>
      </c>
      <c r="F62" s="5">
        <v>0</v>
      </c>
      <c r="G62" s="5">
        <v>0</v>
      </c>
      <c r="H62" s="5">
        <v>0</v>
      </c>
      <c r="I62" s="5">
        <v>0</v>
      </c>
      <c r="J62" s="5">
        <v>108.51300000000001</v>
      </c>
      <c r="K62" s="5">
        <v>108.51300000000001</v>
      </c>
      <c r="L62" s="5">
        <v>108.51300000000001</v>
      </c>
      <c r="M62" s="5">
        <v>108.51300000000001</v>
      </c>
      <c r="N62" s="5">
        <v>108.51300000000001</v>
      </c>
      <c r="O62" s="34">
        <v>108.51300000000001</v>
      </c>
      <c r="P62" s="18">
        <v>108.51300000000001</v>
      </c>
      <c r="Q62" s="18">
        <v>108.51300000000001</v>
      </c>
      <c r="R62" s="18">
        <v>108.51300000000001</v>
      </c>
      <c r="S62" s="18">
        <v>108.51300000000001</v>
      </c>
      <c r="T62" s="18">
        <v>108.51300000000001</v>
      </c>
      <c r="U62" s="18">
        <v>108.51300000000001</v>
      </c>
      <c r="V62" s="18">
        <v>0</v>
      </c>
      <c r="W62" s="18">
        <v>0</v>
      </c>
      <c r="X62" s="18">
        <v>0</v>
      </c>
      <c r="Y62" s="18">
        <v>0</v>
      </c>
      <c r="Z62" s="18">
        <v>0</v>
      </c>
      <c r="AA62" s="18">
        <v>0</v>
      </c>
      <c r="AB62" s="18">
        <v>0</v>
      </c>
      <c r="AC62" s="18">
        <v>0</v>
      </c>
      <c r="AD62" s="18">
        <v>0</v>
      </c>
      <c r="AE62" s="40">
        <v>0</v>
      </c>
      <c r="AF62" s="18">
        <v>0</v>
      </c>
      <c r="AG62" s="18">
        <v>0</v>
      </c>
      <c r="AH62" s="18">
        <v>0</v>
      </c>
      <c r="AI62" s="18">
        <v>0</v>
      </c>
      <c r="AJ62" s="40">
        <v>0</v>
      </c>
      <c r="AK62" s="40">
        <v>0</v>
      </c>
      <c r="AL62" s="40">
        <v>0</v>
      </c>
      <c r="AM62" s="40">
        <v>0</v>
      </c>
      <c r="AN62" s="40">
        <v>0</v>
      </c>
      <c r="AO62" s="156">
        <v>0</v>
      </c>
      <c r="AP62" s="40">
        <v>0</v>
      </c>
      <c r="AQ62" s="40">
        <v>0</v>
      </c>
      <c r="AR62" s="40">
        <v>0</v>
      </c>
      <c r="AS62" s="40">
        <v>0</v>
      </c>
      <c r="AT62" s="40">
        <v>0</v>
      </c>
      <c r="AU62" s="40">
        <v>0</v>
      </c>
      <c r="AV62" s="40">
        <v>0</v>
      </c>
      <c r="AW62" s="40">
        <v>0</v>
      </c>
      <c r="AX62" s="40">
        <v>0</v>
      </c>
      <c r="AY62" s="40">
        <v>0</v>
      </c>
      <c r="AZ62" s="40">
        <v>0</v>
      </c>
      <c r="BA62" s="40">
        <v>0</v>
      </c>
      <c r="BB62" s="40">
        <v>0</v>
      </c>
      <c r="BC62" s="40">
        <v>0</v>
      </c>
      <c r="BD62" s="40">
        <v>0</v>
      </c>
      <c r="BE62" s="40">
        <v>0</v>
      </c>
    </row>
    <row r="63" spans="1:57" ht="15.75" customHeight="1">
      <c r="A63" t="s">
        <v>119</v>
      </c>
      <c r="B63" s="28" t="str">
        <f>IF('Sumário | Summary'!P1=1,"CDU a apropriar","Key Money to Recognize ")</f>
        <v>CDU a apropriar</v>
      </c>
      <c r="C63" s="5">
        <v>7.6310000000000002</v>
      </c>
      <c r="D63" s="5">
        <v>10.723000000000001</v>
      </c>
      <c r="E63" s="5">
        <v>14.837999999999999</v>
      </c>
      <c r="F63" s="5">
        <v>18.859000000000002</v>
      </c>
      <c r="G63" s="5">
        <v>0</v>
      </c>
      <c r="H63" s="5">
        <v>0</v>
      </c>
      <c r="I63" s="5">
        <v>0</v>
      </c>
      <c r="J63" s="18">
        <v>0</v>
      </c>
      <c r="K63" s="18">
        <v>0</v>
      </c>
      <c r="L63" s="18">
        <v>0</v>
      </c>
      <c r="M63" s="18">
        <v>0</v>
      </c>
      <c r="N63" s="18">
        <v>0</v>
      </c>
      <c r="O63" s="18">
        <v>0</v>
      </c>
      <c r="P63" s="18">
        <v>0</v>
      </c>
      <c r="Q63" s="18">
        <v>0</v>
      </c>
      <c r="R63" s="18">
        <v>0</v>
      </c>
      <c r="S63" s="18">
        <v>0</v>
      </c>
      <c r="T63" s="18">
        <v>0</v>
      </c>
      <c r="U63" s="18">
        <v>0</v>
      </c>
      <c r="V63" s="18">
        <v>0</v>
      </c>
      <c r="W63" s="18">
        <v>0</v>
      </c>
      <c r="X63" s="18">
        <v>0</v>
      </c>
      <c r="Y63" s="18">
        <v>0</v>
      </c>
      <c r="Z63" s="18">
        <v>0</v>
      </c>
      <c r="AA63" s="18">
        <v>0</v>
      </c>
      <c r="AB63" s="18">
        <v>0</v>
      </c>
      <c r="AC63" s="18">
        <v>0</v>
      </c>
      <c r="AD63" s="18">
        <v>0</v>
      </c>
      <c r="AE63" s="40">
        <v>0</v>
      </c>
      <c r="AF63" s="120">
        <v>0</v>
      </c>
      <c r="AG63" s="120">
        <v>0</v>
      </c>
      <c r="AH63" s="120">
        <v>0</v>
      </c>
      <c r="AI63" s="120">
        <v>0</v>
      </c>
      <c r="AJ63" s="122">
        <v>0</v>
      </c>
      <c r="AK63" s="40">
        <v>0</v>
      </c>
      <c r="AL63" s="40">
        <v>0</v>
      </c>
      <c r="AM63" s="40">
        <v>0</v>
      </c>
      <c r="AN63" s="40">
        <v>0</v>
      </c>
      <c r="AO63" s="156">
        <v>0</v>
      </c>
      <c r="AP63" s="40">
        <v>0</v>
      </c>
      <c r="AQ63" s="40">
        <v>0</v>
      </c>
      <c r="AR63" s="40">
        <v>0</v>
      </c>
      <c r="AS63" s="40">
        <v>0</v>
      </c>
      <c r="AT63" s="40">
        <v>0</v>
      </c>
      <c r="AU63" s="40">
        <v>0</v>
      </c>
      <c r="AV63" s="40">
        <v>0</v>
      </c>
      <c r="AW63" s="40">
        <v>0</v>
      </c>
      <c r="AX63" s="40">
        <v>0</v>
      </c>
      <c r="AY63" s="40">
        <v>0</v>
      </c>
      <c r="AZ63" s="40">
        <v>0</v>
      </c>
      <c r="BA63" s="40">
        <v>0</v>
      </c>
      <c r="BB63" s="40">
        <v>0</v>
      </c>
      <c r="BC63" s="40">
        <v>0</v>
      </c>
      <c r="BD63" s="40">
        <v>0</v>
      </c>
      <c r="BE63" s="40">
        <v>0</v>
      </c>
    </row>
    <row r="64" spans="1:57" ht="15" customHeight="1">
      <c r="A64" t="s">
        <v>276</v>
      </c>
      <c r="B64" s="28" t="str">
        <f>IF('Sumário | Summary'!P1=1,"Passivo de arrendamento","Lease liability ")</f>
        <v>Passivo de arrendamento</v>
      </c>
      <c r="C64" s="40">
        <v>0</v>
      </c>
      <c r="D64" s="40">
        <v>0</v>
      </c>
      <c r="E64" s="40">
        <v>0</v>
      </c>
      <c r="F64" s="40">
        <v>0</v>
      </c>
      <c r="G64" s="40">
        <v>0</v>
      </c>
      <c r="H64" s="40">
        <v>0</v>
      </c>
      <c r="I64" s="40">
        <v>0</v>
      </c>
      <c r="J64" s="40">
        <v>0</v>
      </c>
      <c r="K64" s="40">
        <v>0</v>
      </c>
      <c r="L64" s="40">
        <v>0</v>
      </c>
      <c r="M64" s="40">
        <v>0</v>
      </c>
      <c r="N64" s="40">
        <v>0</v>
      </c>
      <c r="O64" s="40">
        <v>0</v>
      </c>
      <c r="P64" s="40">
        <v>0</v>
      </c>
      <c r="Q64" s="40">
        <v>0</v>
      </c>
      <c r="R64" s="40">
        <v>0</v>
      </c>
      <c r="S64" s="40">
        <v>0</v>
      </c>
      <c r="T64" s="40">
        <v>0</v>
      </c>
      <c r="U64" s="40">
        <v>0</v>
      </c>
      <c r="V64" s="40">
        <v>0</v>
      </c>
      <c r="W64" s="40">
        <v>0</v>
      </c>
      <c r="X64" s="40">
        <v>0</v>
      </c>
      <c r="Y64" s="40">
        <v>0</v>
      </c>
      <c r="Z64" s="40">
        <v>0</v>
      </c>
      <c r="AA64" s="40">
        <v>0</v>
      </c>
      <c r="AB64" s="40">
        <v>0</v>
      </c>
      <c r="AC64" s="40">
        <v>0</v>
      </c>
      <c r="AD64" s="40">
        <v>0</v>
      </c>
      <c r="AE64" s="40">
        <v>0</v>
      </c>
      <c r="AF64" s="40">
        <v>0</v>
      </c>
      <c r="AG64" s="40">
        <v>0</v>
      </c>
      <c r="AH64" s="40">
        <v>0</v>
      </c>
      <c r="AI64" s="40">
        <v>0</v>
      </c>
      <c r="AJ64" s="40">
        <v>0</v>
      </c>
      <c r="AK64" s="40">
        <v>0</v>
      </c>
      <c r="AL64" s="40">
        <v>0</v>
      </c>
      <c r="AM64" s="40">
        <v>0</v>
      </c>
      <c r="AN64" s="40">
        <v>0</v>
      </c>
      <c r="AO64" s="40">
        <v>0</v>
      </c>
      <c r="AP64" s="40">
        <v>0</v>
      </c>
      <c r="AQ64" s="40">
        <v>2.2589999999999999</v>
      </c>
      <c r="AR64" s="40">
        <v>2.9750000000000001</v>
      </c>
      <c r="AS64" s="40">
        <v>2.7389999999999999</v>
      </c>
      <c r="AT64" s="40">
        <v>2.5059999999999998</v>
      </c>
      <c r="AU64" s="40">
        <v>2.2770000000000001</v>
      </c>
      <c r="AV64" s="40">
        <v>2.0510000000000002</v>
      </c>
      <c r="AW64" s="40">
        <v>1.829</v>
      </c>
      <c r="AX64" s="40">
        <v>1.61</v>
      </c>
      <c r="AY64" s="40">
        <v>1.3939999999999999</v>
      </c>
      <c r="AZ64" s="40">
        <v>1.181</v>
      </c>
      <c r="BA64" s="40">
        <v>0.97099999999999997</v>
      </c>
      <c r="BB64" s="40">
        <v>0.76400000000000001</v>
      </c>
      <c r="BC64" s="40">
        <v>0.56100000000000005</v>
      </c>
      <c r="BD64" s="40">
        <v>0.36</v>
      </c>
      <c r="BE64" s="40">
        <v>0.16200000000000001</v>
      </c>
    </row>
    <row r="65" spans="1:57" s="30" customFormat="1">
      <c r="A65" t="s">
        <v>121</v>
      </c>
      <c r="B65" s="11" t="str">
        <f>IF('Sumário | Summary'!P1=1,"Participação de não controladores","Minority Shareholders")</f>
        <v>Participação de não controladores</v>
      </c>
      <c r="C65" s="6">
        <v>409.99</v>
      </c>
      <c r="D65" s="6">
        <v>420.42</v>
      </c>
      <c r="E65" s="6">
        <v>413.36200000000002</v>
      </c>
      <c r="F65" s="6">
        <v>466.14400000000001</v>
      </c>
      <c r="G65" s="6">
        <v>545.76700000000005</v>
      </c>
      <c r="H65" s="6">
        <v>697.33799999999997</v>
      </c>
      <c r="I65" s="6">
        <v>714.53099999999995</v>
      </c>
      <c r="J65" s="6">
        <v>772.90899999999999</v>
      </c>
      <c r="K65" s="6">
        <v>768.11699999999996</v>
      </c>
      <c r="L65" s="6">
        <v>800.54100000000005</v>
      </c>
      <c r="M65" s="6">
        <v>831.77599999999995</v>
      </c>
      <c r="N65" s="6">
        <v>879.56399999999996</v>
      </c>
      <c r="O65" s="33">
        <v>884.22299999999996</v>
      </c>
      <c r="P65" s="6">
        <v>903.64200000000005</v>
      </c>
      <c r="Q65" s="6">
        <v>916.37699999999995</v>
      </c>
      <c r="R65" s="6">
        <v>938.375</v>
      </c>
      <c r="S65" s="6">
        <v>936.63</v>
      </c>
      <c r="T65" s="6">
        <v>936.37</v>
      </c>
      <c r="U65" s="6">
        <v>941.95</v>
      </c>
      <c r="V65" s="6">
        <v>707.90499999999997</v>
      </c>
      <c r="W65" s="6">
        <v>717.45500000000004</v>
      </c>
      <c r="X65" s="6">
        <v>719.96799999999996</v>
      </c>
      <c r="Y65" s="6">
        <v>719.81100000000004</v>
      </c>
      <c r="Z65" s="6">
        <v>732.30899999999997</v>
      </c>
      <c r="AA65" s="6">
        <v>729.09500000000003</v>
      </c>
      <c r="AB65" s="6">
        <v>732.47199999999998</v>
      </c>
      <c r="AC65" s="6">
        <v>735.63300000000004</v>
      </c>
      <c r="AD65" s="6">
        <v>739.80799999999999</v>
      </c>
      <c r="AE65" s="6">
        <v>1258.77</v>
      </c>
      <c r="AF65" s="6">
        <v>1285.597</v>
      </c>
      <c r="AG65" s="6">
        <v>1281.511</v>
      </c>
      <c r="AH65" s="6">
        <v>1284.133</v>
      </c>
      <c r="AI65" s="6">
        <v>1312.596</v>
      </c>
      <c r="AJ65" s="127">
        <v>1318.375</v>
      </c>
      <c r="AK65" s="127">
        <v>1313.288</v>
      </c>
      <c r="AL65" s="127">
        <v>1324.175</v>
      </c>
      <c r="AM65" s="127">
        <v>1109.2070000000001</v>
      </c>
      <c r="AN65" s="127">
        <v>1148.595</v>
      </c>
      <c r="AO65" s="178">
        <v>1139.096</v>
      </c>
      <c r="AP65" s="127">
        <v>1138.4649999999999</v>
      </c>
      <c r="AQ65" s="127">
        <v>1048.019324592</v>
      </c>
      <c r="AR65" s="127">
        <v>1050.2380000000001</v>
      </c>
      <c r="AS65" s="127">
        <v>1042.1880000000001</v>
      </c>
      <c r="AT65" s="127">
        <v>1049.606</v>
      </c>
      <c r="AU65" s="127">
        <v>1049.0989999999999</v>
      </c>
      <c r="AV65" s="127">
        <v>853.23099999999999</v>
      </c>
      <c r="AW65" s="127">
        <v>916.47199999999998</v>
      </c>
      <c r="AX65" s="127">
        <v>912.24300000000005</v>
      </c>
      <c r="AY65" s="127">
        <v>767.05700000000002</v>
      </c>
      <c r="AZ65" s="127">
        <v>763.24199999999996</v>
      </c>
      <c r="BA65" s="127">
        <v>763.95799999999997</v>
      </c>
      <c r="BB65" s="127">
        <v>676.22500000000002</v>
      </c>
      <c r="BC65" s="127">
        <v>671.46400000000006</v>
      </c>
      <c r="BD65" s="127">
        <v>763.23699999999997</v>
      </c>
      <c r="BE65" s="127">
        <v>772.53800000000001</v>
      </c>
    </row>
    <row r="66" spans="1:57">
      <c r="A66" t="s">
        <v>122</v>
      </c>
      <c r="B66" s="11" t="str">
        <f>IF('Sumário | Summary'!P1=1,"Patrimônio Líquido","Shareholders' Equity")</f>
        <v>Patrimônio Líquido</v>
      </c>
      <c r="C66" s="6">
        <v>628.50300000000004</v>
      </c>
      <c r="D66" s="6">
        <v>637.61599999999999</v>
      </c>
      <c r="E66" s="6">
        <v>669.12</v>
      </c>
      <c r="F66" s="6">
        <v>709.80399999999997</v>
      </c>
      <c r="G66" s="6">
        <v>699.14200000000005</v>
      </c>
      <c r="H66" s="6">
        <v>737.80499999999995</v>
      </c>
      <c r="I66" s="6">
        <v>757.69</v>
      </c>
      <c r="J66" s="6">
        <v>787.30799999999999</v>
      </c>
      <c r="K66" s="6">
        <v>773.83699999999999</v>
      </c>
      <c r="L66" s="6">
        <v>770.471</v>
      </c>
      <c r="M66" s="6">
        <v>788.79300000000001</v>
      </c>
      <c r="N66" s="6">
        <v>1201.9159999999999</v>
      </c>
      <c r="O66" s="33">
        <v>1200.5999999999999</v>
      </c>
      <c r="P66" s="6">
        <v>1203.087</v>
      </c>
      <c r="Q66" s="6">
        <v>1190.171</v>
      </c>
      <c r="R66" s="6">
        <v>1173.2329999999999</v>
      </c>
      <c r="S66" s="6">
        <v>1175.68</v>
      </c>
      <c r="T66" s="127">
        <f t="shared" ref="T66:AS66" si="7">T6-T35-T65</f>
        <v>1155.4390000000003</v>
      </c>
      <c r="U66" s="127">
        <f t="shared" si="7"/>
        <v>1132.8179999999995</v>
      </c>
      <c r="V66" s="127">
        <f t="shared" si="7"/>
        <v>1168.0679999999998</v>
      </c>
      <c r="W66" s="127">
        <f t="shared" si="7"/>
        <v>1161.0079999999998</v>
      </c>
      <c r="X66" s="127">
        <f t="shared" si="7"/>
        <v>1168.5549999999994</v>
      </c>
      <c r="Y66" s="127">
        <f t="shared" si="7"/>
        <v>1194.58</v>
      </c>
      <c r="Z66" s="127">
        <f t="shared" si="7"/>
        <v>1179.2020000000005</v>
      </c>
      <c r="AA66" s="127">
        <f t="shared" si="7"/>
        <v>1045.4229999999991</v>
      </c>
      <c r="AB66" s="127">
        <f t="shared" si="7"/>
        <v>1048.6219999999998</v>
      </c>
      <c r="AC66" s="127">
        <f t="shared" si="7"/>
        <v>1031.3539999999991</v>
      </c>
      <c r="AD66" s="127">
        <f t="shared" si="7"/>
        <v>1040.751</v>
      </c>
      <c r="AE66" s="127">
        <f t="shared" si="7"/>
        <v>1904.0270000000005</v>
      </c>
      <c r="AF66" s="127">
        <f t="shared" si="7"/>
        <v>1907.0539999999999</v>
      </c>
      <c r="AG66" s="127">
        <f t="shared" si="7"/>
        <v>1830.5299999999993</v>
      </c>
      <c r="AH66" s="127">
        <f t="shared" si="7"/>
        <v>1790.7089999999996</v>
      </c>
      <c r="AI66" s="127">
        <f t="shared" si="7"/>
        <v>1627.6470000000004</v>
      </c>
      <c r="AJ66" s="127">
        <f t="shared" si="7"/>
        <v>1636.107</v>
      </c>
      <c r="AK66" s="127">
        <f t="shared" si="7"/>
        <v>1641.226000000001</v>
      </c>
      <c r="AL66" s="127">
        <f t="shared" si="7"/>
        <v>1651.6640000000004</v>
      </c>
      <c r="AM66" s="127">
        <f t="shared" si="7"/>
        <v>1665.289</v>
      </c>
      <c r="AN66" s="127">
        <f t="shared" si="7"/>
        <v>1652.1439999999986</v>
      </c>
      <c r="AO66" s="127">
        <f t="shared" si="7"/>
        <v>1543.3449999999998</v>
      </c>
      <c r="AP66" s="127">
        <f t="shared" si="7"/>
        <v>1550.4640000000002</v>
      </c>
      <c r="AQ66" s="127">
        <f t="shared" si="7"/>
        <v>1526.454285408</v>
      </c>
      <c r="AR66" s="127">
        <f t="shared" si="7"/>
        <v>1511.3999999999999</v>
      </c>
      <c r="AS66" s="127">
        <f t="shared" si="7"/>
        <v>1507.0659999999998</v>
      </c>
      <c r="AT66" s="127">
        <v>1510.7309999999995</v>
      </c>
      <c r="AU66" s="127">
        <v>1516.2769999999994</v>
      </c>
      <c r="AV66" s="127">
        <v>1523.1239999999996</v>
      </c>
      <c r="AW66" s="127">
        <v>2005.9420000000002</v>
      </c>
      <c r="AX66" s="127">
        <v>1573.5740000000005</v>
      </c>
      <c r="AY66" s="127">
        <v>1073.7879999999998</v>
      </c>
      <c r="AZ66" s="127">
        <v>1091.9450000000002</v>
      </c>
      <c r="BA66" s="127">
        <v>1038.1729999999998</v>
      </c>
      <c r="BB66" s="127">
        <v>731.11099999999976</v>
      </c>
      <c r="BC66" s="127">
        <f>BC6-BC35-BC65</f>
        <v>673.61699999999962</v>
      </c>
      <c r="BD66" s="127">
        <v>692.81700000000012</v>
      </c>
      <c r="BE66" s="127">
        <f>BE6-BE35-BE65</f>
        <v>698.17599999999993</v>
      </c>
    </row>
    <row r="67" spans="1:57">
      <c r="AN67" s="180"/>
      <c r="AO67" s="180"/>
    </row>
  </sheetData>
  <pageMargins left="0.25" right="0.25" top="0.75" bottom="0.75" header="0.3" footer="0.3"/>
  <pageSetup paperSize="9" scale="9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dimension ref="A1:AR65"/>
  <sheetViews>
    <sheetView showGridLines="0" showRowColHeaders="0" zoomScaleNormal="100" workbookViewId="0">
      <pane xSplit="2" ySplit="5" topLeftCell="AK6" activePane="bottomRight" state="frozen"/>
      <selection activeCell="B1" sqref="B1"/>
      <selection pane="topRight" activeCell="B1" sqref="B1"/>
      <selection pane="bottomLeft" activeCell="B1" sqref="B1"/>
      <selection pane="bottomRight" activeCell="B1" sqref="B1"/>
    </sheetView>
  </sheetViews>
  <sheetFormatPr defaultRowHeight="14.4" outlineLevelCol="1"/>
  <cols>
    <col min="1" max="1" width="30.109375" hidden="1" customWidth="1"/>
    <col min="2" max="2" width="58.44140625" customWidth="1"/>
    <col min="3" max="6" width="13.88671875" style="2" customWidth="1" outlineLevel="1"/>
    <col min="7" max="7" width="13.88671875" style="2" customWidth="1" outlineLevel="1" collapsed="1"/>
    <col min="8" max="14" width="13.88671875" style="2" customWidth="1" outlineLevel="1"/>
    <col min="15" max="15" width="14.44140625" style="2" bestFit="1" customWidth="1"/>
    <col min="16" max="17" width="14.44140625" bestFit="1" customWidth="1"/>
    <col min="18" max="25" width="17.5546875" bestFit="1" customWidth="1"/>
    <col min="26" max="44" width="17.5546875" style="151" bestFit="1" customWidth="1"/>
  </cols>
  <sheetData>
    <row r="1" spans="1:44">
      <c r="B1" s="108" t="s">
        <v>42</v>
      </c>
      <c r="C1"/>
      <c r="D1"/>
      <c r="E1"/>
      <c r="F1"/>
      <c r="G1"/>
      <c r="H1"/>
      <c r="I1"/>
      <c r="J1"/>
      <c r="K1"/>
      <c r="L1"/>
      <c r="M1"/>
      <c r="N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row>
    <row r="2" spans="1:44">
      <c r="B2" s="108" t="s">
        <v>41</v>
      </c>
      <c r="C2"/>
      <c r="D2"/>
      <c r="E2"/>
      <c r="F2"/>
      <c r="G2"/>
      <c r="H2"/>
      <c r="I2"/>
      <c r="J2"/>
      <c r="K2"/>
      <c r="L2"/>
      <c r="M2"/>
      <c r="N2"/>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row>
    <row r="3" spans="1:44" s="223" customFormat="1">
      <c r="B3" s="224">
        <v>1</v>
      </c>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row>
    <row r="4" spans="1:44" ht="3" customHeight="1">
      <c r="B4" s="12"/>
      <c r="C4" s="12"/>
      <c r="D4" s="12"/>
      <c r="E4" s="12"/>
      <c r="F4" s="12"/>
      <c r="G4" s="12"/>
      <c r="H4" s="12"/>
      <c r="I4" s="12"/>
      <c r="J4" s="12"/>
      <c r="K4" s="12"/>
      <c r="L4" s="12"/>
      <c r="M4" s="12"/>
      <c r="N4" s="12"/>
      <c r="O4" s="12"/>
      <c r="P4" s="12"/>
      <c r="Q4" s="12"/>
      <c r="R4" s="12"/>
      <c r="S4" s="12"/>
      <c r="T4" s="12"/>
      <c r="U4" s="12"/>
      <c r="V4" s="12"/>
      <c r="W4" s="12"/>
      <c r="X4" s="12"/>
      <c r="Y4" s="12"/>
      <c r="Z4" s="152"/>
      <c r="AA4" s="152"/>
      <c r="AB4" s="152"/>
      <c r="AC4" s="152"/>
      <c r="AD4" s="152"/>
      <c r="AE4" s="152"/>
      <c r="AF4" s="152"/>
      <c r="AG4" s="152"/>
      <c r="AH4" s="152"/>
      <c r="AI4" s="152"/>
      <c r="AJ4" s="152"/>
      <c r="AK4" s="152"/>
      <c r="AL4" s="152"/>
      <c r="AM4" s="152"/>
      <c r="AN4" s="152"/>
      <c r="AO4" s="152"/>
      <c r="AP4" s="152"/>
      <c r="AQ4" s="152"/>
      <c r="AR4" s="152"/>
    </row>
    <row r="5" spans="1:44" s="7" customFormat="1" ht="18.75" customHeight="1">
      <c r="B5" s="183" t="str">
        <f>IF('Sumário | Summary'!P1=1,"Balanço Patrimonial - Proforma (R$ MM)","Balance Sheet - Proforma (R$ million)")</f>
        <v>Balanço Patrimonial - Proforma (R$ MM)</v>
      </c>
      <c r="C5" s="182" t="s">
        <v>59</v>
      </c>
      <c r="D5" s="182" t="s">
        <v>60</v>
      </c>
      <c r="E5" s="182" t="s">
        <v>61</v>
      </c>
      <c r="F5" s="182" t="s">
        <v>62</v>
      </c>
      <c r="G5" s="182" t="s">
        <v>55</v>
      </c>
      <c r="H5" s="182" t="s">
        <v>56</v>
      </c>
      <c r="I5" s="182" t="s">
        <v>57</v>
      </c>
      <c r="J5" s="182" t="s">
        <v>58</v>
      </c>
      <c r="K5" s="182" t="s">
        <v>54</v>
      </c>
      <c r="L5" s="182" t="s">
        <v>53</v>
      </c>
      <c r="M5" s="182" t="s">
        <v>52</v>
      </c>
      <c r="N5" s="182" t="s">
        <v>51</v>
      </c>
      <c r="O5" s="182" t="s">
        <v>43</v>
      </c>
      <c r="P5" s="182" t="s">
        <v>44</v>
      </c>
      <c r="Q5" s="182" t="s">
        <v>46</v>
      </c>
      <c r="R5" s="182" t="s">
        <v>47</v>
      </c>
      <c r="S5" s="182" t="s">
        <v>50</v>
      </c>
      <c r="T5" s="182" t="s">
        <v>63</v>
      </c>
      <c r="U5" s="182" t="s">
        <v>64</v>
      </c>
      <c r="V5" s="182" t="s">
        <v>65</v>
      </c>
      <c r="W5" s="182" t="s">
        <v>98</v>
      </c>
      <c r="X5" s="182" t="s">
        <v>99</v>
      </c>
      <c r="Y5" s="182" t="s">
        <v>113</v>
      </c>
      <c r="Z5" s="182" t="s">
        <v>114</v>
      </c>
      <c r="AA5" s="182" t="s">
        <v>125</v>
      </c>
      <c r="AB5" s="182" t="s">
        <v>264</v>
      </c>
      <c r="AC5" s="182" t="s">
        <v>265</v>
      </c>
      <c r="AD5" s="182" t="s">
        <v>271</v>
      </c>
      <c r="AE5" s="182" t="s">
        <v>283</v>
      </c>
      <c r="AF5" s="182" t="s">
        <v>286</v>
      </c>
      <c r="AG5" s="182" t="s">
        <v>288</v>
      </c>
      <c r="AH5" s="182" t="s">
        <v>312</v>
      </c>
      <c r="AI5" s="182" t="s">
        <v>318</v>
      </c>
      <c r="AJ5" s="182" t="s">
        <v>320</v>
      </c>
      <c r="AK5" s="182" t="s">
        <v>328</v>
      </c>
      <c r="AL5" s="182" t="s">
        <v>330</v>
      </c>
      <c r="AM5" s="194" t="s">
        <v>332</v>
      </c>
      <c r="AN5" s="194" t="s">
        <v>333</v>
      </c>
      <c r="AO5" s="194" t="s">
        <v>334</v>
      </c>
      <c r="AP5" s="194" t="s">
        <v>335</v>
      </c>
      <c r="AQ5" s="194" t="s">
        <v>336</v>
      </c>
      <c r="AR5" s="194" t="s">
        <v>337</v>
      </c>
    </row>
    <row r="6" spans="1:44" ht="15" customHeight="1">
      <c r="A6" t="s">
        <v>115</v>
      </c>
      <c r="B6" s="20" t="str">
        <f>IF('Sumário | Summary'!P1=1,"ATIVOS","ASSETS")</f>
        <v>ATIVOS</v>
      </c>
      <c r="C6" s="6">
        <v>3899.5279999999998</v>
      </c>
      <c r="D6" s="6">
        <v>3861.3530000000001</v>
      </c>
      <c r="E6" s="6">
        <v>3917.0419999999999</v>
      </c>
      <c r="F6" s="6">
        <v>4028.0250000000001</v>
      </c>
      <c r="G6" s="6">
        <v>3741.134</v>
      </c>
      <c r="H6" s="6">
        <v>3752.8649999999998</v>
      </c>
      <c r="I6" s="6">
        <v>3030.6860000000001</v>
      </c>
      <c r="J6" s="6">
        <v>2807.078</v>
      </c>
      <c r="K6" s="6">
        <v>2966.8780000000002</v>
      </c>
      <c r="L6" s="6">
        <v>2918.76</v>
      </c>
      <c r="M6" s="6">
        <v>2872.5079999999998</v>
      </c>
      <c r="N6" s="6">
        <v>2712.0210000000002</v>
      </c>
      <c r="O6" s="127">
        <f t="shared" ref="O6:AF6" si="0">O7+O18+O28</f>
        <v>2646.011</v>
      </c>
      <c r="P6" s="127">
        <f t="shared" si="0"/>
        <v>2962.1880000000001</v>
      </c>
      <c r="Q6" s="127">
        <f t="shared" si="0"/>
        <v>2716.9640000000004</v>
      </c>
      <c r="R6" s="127">
        <f t="shared" si="0"/>
        <v>3651.1150000000002</v>
      </c>
      <c r="S6" s="127">
        <f t="shared" si="0"/>
        <v>3551.0649999999996</v>
      </c>
      <c r="T6" s="127">
        <f t="shared" si="0"/>
        <v>3454.6419999999998</v>
      </c>
      <c r="U6" s="127">
        <f t="shared" si="0"/>
        <v>3367.4429999999998</v>
      </c>
      <c r="V6" s="127">
        <f t="shared" si="0"/>
        <v>3208.7220000000002</v>
      </c>
      <c r="W6" s="127">
        <f t="shared" si="0"/>
        <v>3137.085</v>
      </c>
      <c r="X6" s="127">
        <f t="shared" si="0"/>
        <v>3442.777</v>
      </c>
      <c r="Y6" s="127">
        <f t="shared" si="0"/>
        <v>3419.5600000000004</v>
      </c>
      <c r="Z6" s="127">
        <f t="shared" si="0"/>
        <v>3421.27</v>
      </c>
      <c r="AA6" s="127">
        <f t="shared" si="0"/>
        <v>3219.0299999999997</v>
      </c>
      <c r="AB6" s="127">
        <f t="shared" si="0"/>
        <v>2945.3959999999997</v>
      </c>
      <c r="AC6" s="127">
        <f t="shared" si="0"/>
        <v>2733.1680000000001</v>
      </c>
      <c r="AD6" s="127">
        <f t="shared" si="0"/>
        <v>2705.7432829999998</v>
      </c>
      <c r="AE6" s="127">
        <f t="shared" si="0"/>
        <v>2685.6930000000002</v>
      </c>
      <c r="AF6" s="127">
        <f t="shared" si="0"/>
        <v>2651.0839999999998</v>
      </c>
      <c r="AG6" s="127">
        <v>2671.817</v>
      </c>
      <c r="AH6" s="127">
        <v>2643.8580000000002</v>
      </c>
      <c r="AI6" s="127">
        <f>AI7+AI18+AI28</f>
        <v>2942.8420000000001</v>
      </c>
      <c r="AJ6" s="127">
        <v>3237.5109999999995</v>
      </c>
      <c r="AK6" s="127">
        <v>2637.6719999999996</v>
      </c>
      <c r="AL6" s="127">
        <v>2036.0800000000002</v>
      </c>
      <c r="AM6" s="127">
        <v>2057.5610000000001</v>
      </c>
      <c r="AN6" s="127">
        <v>1642.5219999999997</v>
      </c>
      <c r="AO6" s="127">
        <v>1340.2839999999999</v>
      </c>
      <c r="AP6" s="127">
        <v>1259.1789999999999</v>
      </c>
      <c r="AQ6" s="127">
        <v>1255.9839999999999</v>
      </c>
      <c r="AR6" s="127">
        <f>AR7+AR18+AR28</f>
        <v>1256.4290000000001</v>
      </c>
    </row>
    <row r="7" spans="1:44" ht="15" customHeight="1">
      <c r="A7" t="s">
        <v>116</v>
      </c>
      <c r="B7" s="11" t="str">
        <f>IF('Sumário | Summary'!P1=1,"Total Circulante","Total Current Assets")</f>
        <v>Total Circulante</v>
      </c>
      <c r="C7" s="6">
        <v>898.06500000000005</v>
      </c>
      <c r="D7" s="6">
        <v>862.45899999999995</v>
      </c>
      <c r="E7" s="6">
        <v>545.81799999999998</v>
      </c>
      <c r="F7" s="6">
        <v>619.57799999999997</v>
      </c>
      <c r="G7" s="6">
        <v>437.291</v>
      </c>
      <c r="H7" s="6">
        <v>501.25099999999998</v>
      </c>
      <c r="I7" s="6">
        <v>616.47299999999996</v>
      </c>
      <c r="J7" s="6">
        <v>445.94900000000001</v>
      </c>
      <c r="K7" s="6">
        <v>622.06100000000004</v>
      </c>
      <c r="L7" s="6">
        <v>692.26800000000003</v>
      </c>
      <c r="M7" s="6">
        <v>630.66300000000001</v>
      </c>
      <c r="N7" s="6">
        <v>505.88900000000001</v>
      </c>
      <c r="O7" s="127">
        <f t="shared" ref="O7:AF7" si="1">SUM(O8:O17)</f>
        <v>467.72200000000004</v>
      </c>
      <c r="P7" s="127">
        <f t="shared" si="1"/>
        <v>696.24699999999996</v>
      </c>
      <c r="Q7" s="127">
        <f t="shared" si="1"/>
        <v>401.31699999999995</v>
      </c>
      <c r="R7" s="127">
        <f t="shared" si="1"/>
        <v>982.13299999999981</v>
      </c>
      <c r="S7" s="127">
        <f t="shared" si="1"/>
        <v>903.20799999999997</v>
      </c>
      <c r="T7" s="127">
        <f t="shared" si="1"/>
        <v>806.69299999999998</v>
      </c>
      <c r="U7" s="127">
        <f t="shared" si="1"/>
        <v>735.50599999999997</v>
      </c>
      <c r="V7" s="127">
        <f t="shared" si="1"/>
        <v>526.78100000000006</v>
      </c>
      <c r="W7" s="127">
        <f t="shared" si="1"/>
        <v>453.99400000000003</v>
      </c>
      <c r="X7" s="127">
        <f t="shared" si="1"/>
        <v>738.46900000000005</v>
      </c>
      <c r="Y7" s="127">
        <f t="shared" si="1"/>
        <v>1204.4840000000002</v>
      </c>
      <c r="Z7" s="127">
        <f t="shared" si="1"/>
        <v>904.21199999999999</v>
      </c>
      <c r="AA7" s="127">
        <f t="shared" si="1"/>
        <v>823.12799999999993</v>
      </c>
      <c r="AB7" s="127">
        <f t="shared" si="1"/>
        <v>898.45399999999995</v>
      </c>
      <c r="AC7" s="127">
        <f t="shared" si="1"/>
        <v>661.69799999999998</v>
      </c>
      <c r="AD7" s="127">
        <f t="shared" si="1"/>
        <v>436.71328299999999</v>
      </c>
      <c r="AE7" s="127">
        <f t="shared" si="1"/>
        <v>413.92900000000003</v>
      </c>
      <c r="AF7" s="127">
        <f t="shared" si="1"/>
        <v>392.65600000000001</v>
      </c>
      <c r="AG7" s="127">
        <v>398.73399999999998</v>
      </c>
      <c r="AH7" s="127">
        <v>382.60399999999998</v>
      </c>
      <c r="AI7" s="127">
        <f>SUM(AI8:AI17)</f>
        <v>1862.059</v>
      </c>
      <c r="AJ7" s="127">
        <v>2111.7869999999998</v>
      </c>
      <c r="AK7" s="127">
        <v>1545.06</v>
      </c>
      <c r="AL7" s="127">
        <v>1016.9449999999999</v>
      </c>
      <c r="AM7" s="127">
        <v>1081.5620000000001</v>
      </c>
      <c r="AN7" s="127">
        <v>661.97399999999982</v>
      </c>
      <c r="AO7" s="127">
        <v>325.72199999999998</v>
      </c>
      <c r="AP7" s="127">
        <v>244.738</v>
      </c>
      <c r="AQ7" s="127">
        <v>260.55700000000002</v>
      </c>
      <c r="AR7" s="127">
        <f>SUM(AR8:AR17)</f>
        <v>254.39900000000003</v>
      </c>
    </row>
    <row r="8" spans="1:44" ht="15" customHeight="1">
      <c r="A8" t="s">
        <v>155</v>
      </c>
      <c r="B8" s="21" t="str">
        <f>IF('Sumário | Summary'!P1=1,"Caixa e equivalentes de caixa","Cash and Cash Equivalents")</f>
        <v>Caixa e equivalentes de caixa</v>
      </c>
      <c r="C8" s="18">
        <v>484.61900000000003</v>
      </c>
      <c r="D8" s="18">
        <v>283.57400000000001</v>
      </c>
      <c r="E8" s="18">
        <v>233.245</v>
      </c>
      <c r="F8" s="18">
        <v>344.55099999999999</v>
      </c>
      <c r="G8" s="18">
        <v>225.39</v>
      </c>
      <c r="H8" s="18">
        <v>226.15100000000001</v>
      </c>
      <c r="I8" s="18">
        <v>388.714</v>
      </c>
      <c r="J8" s="18">
        <v>154.911</v>
      </c>
      <c r="K8" s="18">
        <v>275.27699999999999</v>
      </c>
      <c r="L8" s="18">
        <v>521.22500000000002</v>
      </c>
      <c r="M8" s="18">
        <v>231.547</v>
      </c>
      <c r="N8" s="18">
        <v>242.88900000000001</v>
      </c>
      <c r="O8" s="18">
        <v>310.53500000000003</v>
      </c>
      <c r="P8" s="18">
        <v>541.87900000000002</v>
      </c>
      <c r="Q8" s="18">
        <v>304.89400000000001</v>
      </c>
      <c r="R8" s="18">
        <v>866.87199999999996</v>
      </c>
      <c r="S8" s="18">
        <v>785.596</v>
      </c>
      <c r="T8" s="18">
        <v>675.69</v>
      </c>
      <c r="U8" s="18">
        <v>580.91099999999994</v>
      </c>
      <c r="V8" s="18">
        <v>388.97800000000001</v>
      </c>
      <c r="W8" s="40">
        <v>121.48</v>
      </c>
      <c r="X8" s="40">
        <v>418.84899999999999</v>
      </c>
      <c r="Y8" s="40">
        <v>383.41199999999998</v>
      </c>
      <c r="Z8" s="40">
        <v>413.94400000000002</v>
      </c>
      <c r="AA8" s="40">
        <v>245.56</v>
      </c>
      <c r="AB8" s="40">
        <v>303.37099999999998</v>
      </c>
      <c r="AC8" s="40">
        <v>77.918000000000006</v>
      </c>
      <c r="AD8" s="40">
        <v>37.408000000000001</v>
      </c>
      <c r="AE8" s="40">
        <v>48.811</v>
      </c>
      <c r="AF8" s="40">
        <v>145.87100000000001</v>
      </c>
      <c r="AG8" s="40">
        <v>153.91</v>
      </c>
      <c r="AH8" s="40">
        <v>133.24799999999999</v>
      </c>
      <c r="AI8" s="40">
        <v>405.67200000000003</v>
      </c>
      <c r="AJ8" s="40">
        <v>1065.6289999999999</v>
      </c>
      <c r="AK8" s="40">
        <v>512.93799999999999</v>
      </c>
      <c r="AL8" s="40">
        <v>231.17599999999999</v>
      </c>
      <c r="AM8" s="40">
        <v>263.94600000000003</v>
      </c>
      <c r="AN8" s="40">
        <v>443.00200000000001</v>
      </c>
      <c r="AO8" s="40">
        <v>122.011</v>
      </c>
      <c r="AP8" s="40">
        <v>41.542999999999999</v>
      </c>
      <c r="AQ8" s="40">
        <v>53.506</v>
      </c>
      <c r="AR8" s="40">
        <v>140.30500000000001</v>
      </c>
    </row>
    <row r="9" spans="1:44" ht="15" customHeight="1">
      <c r="A9" t="s">
        <v>156</v>
      </c>
      <c r="B9" s="21" t="str">
        <f>IF('Sumário | Summary'!P1=1,"Títulos e valores mobiliários","Securities")</f>
        <v>Títulos e valores mobiliários</v>
      </c>
      <c r="C9" s="18">
        <v>0</v>
      </c>
      <c r="D9" s="18">
        <v>12.731999999999999</v>
      </c>
      <c r="E9" s="18">
        <v>71.852999999999994</v>
      </c>
      <c r="F9" s="18">
        <v>64.861999999999995</v>
      </c>
      <c r="G9" s="18">
        <v>54.366</v>
      </c>
      <c r="H9" s="18">
        <v>85.876000000000005</v>
      </c>
      <c r="I9" s="18">
        <v>44.61</v>
      </c>
      <c r="J9" s="18">
        <v>170.90799999999999</v>
      </c>
      <c r="K9" s="18">
        <v>216.279</v>
      </c>
      <c r="L9" s="18">
        <v>7.6189999999999998</v>
      </c>
      <c r="M9" s="18">
        <v>236.251</v>
      </c>
      <c r="N9" s="18">
        <v>123.892</v>
      </c>
      <c r="O9" s="18">
        <v>2.944</v>
      </c>
      <c r="P9" s="18">
        <v>3.01</v>
      </c>
      <c r="Q9" s="18">
        <v>0.01</v>
      </c>
      <c r="R9" s="18">
        <v>0.56000000000000005</v>
      </c>
      <c r="S9" s="18">
        <v>0.56499999999999995</v>
      </c>
      <c r="T9" s="18">
        <v>0.41699999999999998</v>
      </c>
      <c r="U9" s="18">
        <v>0.01</v>
      </c>
      <c r="V9" s="18">
        <v>0.01</v>
      </c>
      <c r="W9" s="40">
        <v>200.155</v>
      </c>
      <c r="X9" s="40">
        <v>200.155</v>
      </c>
      <c r="Y9" s="40">
        <v>212.14500000000001</v>
      </c>
      <c r="Z9" s="40">
        <v>293.69900000000001</v>
      </c>
      <c r="AA9" s="40">
        <v>301.24799999999999</v>
      </c>
      <c r="AB9" s="40">
        <v>317.95800000000003</v>
      </c>
      <c r="AC9" s="40">
        <v>327.08199999999999</v>
      </c>
      <c r="AD9" s="40">
        <v>279.51100000000002</v>
      </c>
      <c r="AE9" s="40">
        <v>278.899</v>
      </c>
      <c r="AF9" s="40">
        <v>150.76400000000001</v>
      </c>
      <c r="AG9" s="40">
        <v>153.51599999999999</v>
      </c>
      <c r="AH9" s="40">
        <v>158.09399999999999</v>
      </c>
      <c r="AI9" s="40">
        <v>157.66900000000001</v>
      </c>
      <c r="AJ9" s="40">
        <v>155.95699999999999</v>
      </c>
      <c r="AK9" s="40">
        <v>154.637</v>
      </c>
      <c r="AL9" s="40">
        <v>148.00700000000001</v>
      </c>
      <c r="AM9" s="40">
        <v>147.536</v>
      </c>
      <c r="AN9" s="40">
        <v>147.83699999999999</v>
      </c>
      <c r="AO9" s="40">
        <v>147.91200000000001</v>
      </c>
      <c r="AP9" s="40">
        <v>149.005</v>
      </c>
      <c r="AQ9" s="40">
        <v>155.74100000000001</v>
      </c>
      <c r="AR9" s="40">
        <v>62.920999999999999</v>
      </c>
    </row>
    <row r="10" spans="1:44" ht="15" customHeight="1">
      <c r="A10" t="s">
        <v>157</v>
      </c>
      <c r="B10" s="21" t="str">
        <f>IF('Sumário | Summary'!P1=1,"Contas a receber","Accounts Receivable")</f>
        <v>Contas a receber</v>
      </c>
      <c r="C10" s="18">
        <v>93.837000000000003</v>
      </c>
      <c r="D10" s="18">
        <v>92.858000000000004</v>
      </c>
      <c r="E10" s="18">
        <v>122.651</v>
      </c>
      <c r="F10" s="18">
        <v>104.438</v>
      </c>
      <c r="G10" s="18">
        <v>89.712000000000003</v>
      </c>
      <c r="H10" s="18">
        <v>103.166</v>
      </c>
      <c r="I10" s="18">
        <v>75.177000000000007</v>
      </c>
      <c r="J10" s="18">
        <v>78.584999999999994</v>
      </c>
      <c r="K10" s="18">
        <v>71.436000000000007</v>
      </c>
      <c r="L10" s="18">
        <v>92.209000000000003</v>
      </c>
      <c r="M10" s="18">
        <v>91.879000000000005</v>
      </c>
      <c r="N10" s="18">
        <v>60.154000000000003</v>
      </c>
      <c r="O10" s="18">
        <v>57.95</v>
      </c>
      <c r="P10" s="18">
        <v>62.131</v>
      </c>
      <c r="Q10" s="18">
        <v>37.823</v>
      </c>
      <c r="R10" s="18">
        <v>55.031999999999996</v>
      </c>
      <c r="S10" s="18">
        <v>39.154000000000003</v>
      </c>
      <c r="T10" s="18">
        <v>46.98</v>
      </c>
      <c r="U10" s="18">
        <v>62.131</v>
      </c>
      <c r="V10" s="18">
        <v>64.438999999999993</v>
      </c>
      <c r="W10" s="40">
        <v>58.164000000000001</v>
      </c>
      <c r="X10" s="40">
        <v>66.210999999999999</v>
      </c>
      <c r="Y10" s="40">
        <v>68.763000000000005</v>
      </c>
      <c r="Z10" s="40">
        <v>58.183999999999997</v>
      </c>
      <c r="AA10" s="40">
        <v>54.884</v>
      </c>
      <c r="AB10" s="40">
        <v>49.756</v>
      </c>
      <c r="AC10" s="40">
        <v>46.884999999999998</v>
      </c>
      <c r="AD10" s="40">
        <v>44.501283000000001</v>
      </c>
      <c r="AE10" s="40">
        <v>32.206000000000003</v>
      </c>
      <c r="AF10" s="40">
        <v>29.437999999999999</v>
      </c>
      <c r="AG10" s="40">
        <v>32.194000000000003</v>
      </c>
      <c r="AH10" s="40">
        <v>35.86</v>
      </c>
      <c r="AI10" s="40">
        <v>8.1620000000000008</v>
      </c>
      <c r="AJ10" s="40">
        <v>573.38800000000003</v>
      </c>
      <c r="AK10" s="40">
        <v>567.33399999999995</v>
      </c>
      <c r="AL10" s="40">
        <v>480.483</v>
      </c>
      <c r="AM10" s="40">
        <v>530.26300000000003</v>
      </c>
      <c r="AN10" s="40">
        <v>30.268000000000001</v>
      </c>
      <c r="AO10" s="40">
        <v>30.434999999999999</v>
      </c>
      <c r="AP10" s="40">
        <v>30.757999999999999</v>
      </c>
      <c r="AQ10" s="40">
        <v>27.876999999999999</v>
      </c>
      <c r="AR10" s="40">
        <v>27.663</v>
      </c>
    </row>
    <row r="11" spans="1:44" ht="15" customHeight="1">
      <c r="A11" t="s">
        <v>158</v>
      </c>
      <c r="B11" s="21" t="str">
        <f>IF('Sumário | Summary'!P1=1,"Estoques","Inventory")</f>
        <v>Estoques</v>
      </c>
      <c r="C11" s="18">
        <v>305.43299999999999</v>
      </c>
      <c r="D11" s="18">
        <v>456.108</v>
      </c>
      <c r="E11" s="18">
        <v>102.99299999999999</v>
      </c>
      <c r="F11" s="18">
        <v>42.066000000000003</v>
      </c>
      <c r="G11" s="18">
        <v>5.6459999999999999</v>
      </c>
      <c r="H11" s="18">
        <v>22.87</v>
      </c>
      <c r="I11" s="18">
        <v>4.2389999999999999</v>
      </c>
      <c r="J11" s="18">
        <v>28.073</v>
      </c>
      <c r="K11" s="18">
        <v>45.445</v>
      </c>
      <c r="L11" s="18">
        <v>29.405000000000001</v>
      </c>
      <c r="M11" s="18">
        <v>0.94399999999999995</v>
      </c>
      <c r="N11" s="18">
        <v>42.398000000000003</v>
      </c>
      <c r="O11" s="18">
        <v>43.064999999999998</v>
      </c>
      <c r="P11" s="18">
        <v>43.52</v>
      </c>
      <c r="Q11" s="18">
        <v>44.62</v>
      </c>
      <c r="R11" s="18">
        <v>46.610999999999997</v>
      </c>
      <c r="S11" s="18">
        <v>44.62</v>
      </c>
      <c r="T11" s="18">
        <v>44.366999999999997</v>
      </c>
      <c r="U11" s="18">
        <v>44.923000000000002</v>
      </c>
      <c r="V11" s="18">
        <v>44.366999999999997</v>
      </c>
      <c r="W11" s="40">
        <v>44.366999999999997</v>
      </c>
      <c r="X11" s="40">
        <v>19.391999999999999</v>
      </c>
      <c r="Y11" s="40">
        <v>14.882999999999999</v>
      </c>
      <c r="Z11" s="40">
        <v>56.985999999999997</v>
      </c>
      <c r="AA11" s="40">
        <v>34.170123010000012</v>
      </c>
      <c r="AB11" s="40">
        <v>10.849</v>
      </c>
      <c r="AC11" s="40">
        <v>0</v>
      </c>
      <c r="AD11" s="40">
        <v>26.053999999999998</v>
      </c>
      <c r="AE11" s="40">
        <v>25.925999999999998</v>
      </c>
      <c r="AF11" s="40">
        <v>25.324000000000002</v>
      </c>
      <c r="AG11" s="40">
        <v>24.463999999999999</v>
      </c>
      <c r="AH11" s="40">
        <v>24.44</v>
      </c>
      <c r="AI11" s="40">
        <v>24.442</v>
      </c>
      <c r="AJ11" s="40">
        <v>24.228999999999999</v>
      </c>
      <c r="AK11" s="40">
        <v>8.0299999999999994</v>
      </c>
      <c r="AL11" s="40">
        <v>8.0760000000000005</v>
      </c>
      <c r="AM11" s="40">
        <v>8.077</v>
      </c>
      <c r="AN11" s="40">
        <v>7.9850000000000003</v>
      </c>
      <c r="AO11" s="40">
        <v>7.9850000000000003</v>
      </c>
      <c r="AP11" s="40">
        <v>8.218</v>
      </c>
      <c r="AQ11" s="40">
        <v>8.25</v>
      </c>
      <c r="AR11" s="40">
        <v>8.2520000000000007</v>
      </c>
    </row>
    <row r="12" spans="1:44" ht="15" customHeight="1">
      <c r="A12" t="s">
        <v>159</v>
      </c>
      <c r="B12" s="21" t="str">
        <f>IF('Sumário | Summary'!P1=1,"Impostos a compensar","Tax to be Compensated")</f>
        <v>Impostos a compensar</v>
      </c>
      <c r="C12" s="18">
        <v>0</v>
      </c>
      <c r="D12" s="18">
        <v>0</v>
      </c>
      <c r="E12" s="18">
        <v>0</v>
      </c>
      <c r="F12" s="18">
        <v>44.155999999999999</v>
      </c>
      <c r="G12" s="18">
        <v>44.155999999999999</v>
      </c>
      <c r="H12" s="18">
        <v>44.155999999999999</v>
      </c>
      <c r="I12" s="18">
        <v>91.655000000000001</v>
      </c>
      <c r="J12" s="18">
        <v>4.8220000000000001</v>
      </c>
      <c r="K12" s="18">
        <v>5.5069999999999997</v>
      </c>
      <c r="L12" s="18">
        <v>5.5069999999999997</v>
      </c>
      <c r="M12" s="18">
        <v>6.3780000000000001</v>
      </c>
      <c r="N12" s="18">
        <v>6.7830000000000004</v>
      </c>
      <c r="O12" s="18">
        <v>4.0000000000000001E-3</v>
      </c>
      <c r="P12" s="18">
        <v>4.0000000000000001E-3</v>
      </c>
      <c r="Q12" s="18">
        <v>0</v>
      </c>
      <c r="R12" s="18">
        <v>0</v>
      </c>
      <c r="S12" s="18">
        <v>23.613</v>
      </c>
      <c r="T12" s="18">
        <v>31.17</v>
      </c>
      <c r="U12" s="18">
        <v>36.14</v>
      </c>
      <c r="V12" s="18">
        <v>17.911000000000001</v>
      </c>
      <c r="W12" s="40">
        <v>14.878</v>
      </c>
      <c r="X12" s="40">
        <v>23.010999999999999</v>
      </c>
      <c r="Y12" s="40">
        <v>19.143000000000001</v>
      </c>
      <c r="Z12" s="40">
        <v>11.340999999999999</v>
      </c>
      <c r="AA12" s="40">
        <v>10.404999999999999</v>
      </c>
      <c r="AB12" s="40">
        <v>28.044</v>
      </c>
      <c r="AC12" s="40">
        <v>25.039000000000001</v>
      </c>
      <c r="AD12" s="40">
        <v>16.933</v>
      </c>
      <c r="AE12" s="40">
        <v>15.49</v>
      </c>
      <c r="AF12" s="40">
        <v>13.81</v>
      </c>
      <c r="AG12" s="40">
        <v>12.901999999999999</v>
      </c>
      <c r="AH12" s="40">
        <v>8.8759999999999994</v>
      </c>
      <c r="AI12" s="40">
        <v>8.9149999999999991</v>
      </c>
      <c r="AJ12" s="40">
        <v>14.917999999999999</v>
      </c>
      <c r="AK12" s="40">
        <v>14.917999999999999</v>
      </c>
      <c r="AL12" s="40">
        <v>18.78</v>
      </c>
      <c r="AM12" s="40">
        <v>16.57</v>
      </c>
      <c r="AN12" s="40">
        <v>11.007</v>
      </c>
      <c r="AO12" s="40">
        <v>9.0820000000000007</v>
      </c>
      <c r="AP12" s="40">
        <v>10.928000000000001</v>
      </c>
      <c r="AQ12" s="40">
        <v>10.928000000000001</v>
      </c>
      <c r="AR12" s="40">
        <v>11.166</v>
      </c>
    </row>
    <row r="13" spans="1:44" ht="15" customHeight="1">
      <c r="A13" t="s">
        <v>160</v>
      </c>
      <c r="B13" s="21" t="str">
        <f>IF('Sumário | Summary'!P1=1,"Adiantamento a fornecedores","Advancements from Suppliers")</f>
        <v>Adiantamento a fornecedores</v>
      </c>
      <c r="C13" s="18">
        <v>9.1479999999999997</v>
      </c>
      <c r="D13" s="18">
        <v>9.6829999999999998</v>
      </c>
      <c r="E13" s="18">
        <v>10.054</v>
      </c>
      <c r="F13" s="18">
        <v>10.021000000000001</v>
      </c>
      <c r="G13" s="18">
        <v>7.9480000000000004</v>
      </c>
      <c r="H13" s="18">
        <v>7.5659999999999998</v>
      </c>
      <c r="I13" s="18">
        <v>4.6840000000000002</v>
      </c>
      <c r="J13" s="18">
        <v>2.2469999999999999</v>
      </c>
      <c r="K13" s="18">
        <v>2.2570000000000001</v>
      </c>
      <c r="L13" s="18">
        <v>2.2589999999999999</v>
      </c>
      <c r="M13" s="18">
        <v>2.2440000000000002</v>
      </c>
      <c r="N13" s="18">
        <v>2.226</v>
      </c>
      <c r="O13" s="18">
        <v>2.226</v>
      </c>
      <c r="P13" s="18">
        <v>2.2269999999999999</v>
      </c>
      <c r="Q13" s="18">
        <v>2.226</v>
      </c>
      <c r="R13" s="18">
        <v>2.242</v>
      </c>
      <c r="S13" s="18">
        <v>2.2210000000000001</v>
      </c>
      <c r="T13" s="18">
        <v>2.2200000000000002</v>
      </c>
      <c r="U13" s="18">
        <v>2.2200000000000002</v>
      </c>
      <c r="V13" s="18">
        <v>2.2200000000000002</v>
      </c>
      <c r="W13" s="40">
        <v>2.2200000000000002</v>
      </c>
      <c r="X13" s="40">
        <v>2.2200000000000002</v>
      </c>
      <c r="Y13" s="40">
        <v>2.23</v>
      </c>
      <c r="Z13" s="40">
        <v>14.648</v>
      </c>
      <c r="AA13" s="40">
        <v>1.8</v>
      </c>
      <c r="AB13" s="40">
        <v>1.7729999999999999</v>
      </c>
      <c r="AC13" s="40">
        <v>2.0169999999999999</v>
      </c>
      <c r="AD13" s="40">
        <v>2.9380000000000002</v>
      </c>
      <c r="AE13" s="40">
        <v>2.2109999999999999</v>
      </c>
      <c r="AF13" s="40">
        <v>2.6869999999999998</v>
      </c>
      <c r="AG13" s="40">
        <v>0.436</v>
      </c>
      <c r="AH13" s="40">
        <v>0.32100000000000001</v>
      </c>
      <c r="AI13" s="40">
        <v>5.8999999999999997E-2</v>
      </c>
      <c r="AJ13" s="40">
        <v>0.01</v>
      </c>
      <c r="AK13" s="40">
        <v>8.0000000000000002E-3</v>
      </c>
      <c r="AL13" s="40">
        <v>8.3000000000000004E-2</v>
      </c>
      <c r="AM13" s="40">
        <v>8.0000000000000002E-3</v>
      </c>
      <c r="AN13" s="40">
        <v>7.0000000000000001E-3</v>
      </c>
      <c r="AO13" s="40">
        <v>2E-3</v>
      </c>
      <c r="AP13" s="40">
        <v>3.9E-2</v>
      </c>
      <c r="AQ13" s="40">
        <v>0.13900000000000001</v>
      </c>
      <c r="AR13" s="40">
        <v>0.17499999999999999</v>
      </c>
    </row>
    <row r="14" spans="1:44" ht="15" customHeight="1">
      <c r="A14" t="s">
        <v>161</v>
      </c>
      <c r="B14" s="28" t="str">
        <f>IF('Sumário | Summary'!P1=1,"Dividendos a receber","Dividends receivable")</f>
        <v>Dividendos a receber</v>
      </c>
      <c r="C14" s="18">
        <v>0</v>
      </c>
      <c r="D14" s="18">
        <v>0</v>
      </c>
      <c r="E14" s="18">
        <v>8.0000000000000002E-3</v>
      </c>
      <c r="F14" s="18">
        <v>8.0000000000000002E-3</v>
      </c>
      <c r="G14" s="18">
        <v>0</v>
      </c>
      <c r="H14" s="18">
        <v>0.51700000000000002</v>
      </c>
      <c r="I14" s="18">
        <v>0.51700000000000002</v>
      </c>
      <c r="J14" s="18">
        <v>0</v>
      </c>
      <c r="K14" s="18">
        <v>0</v>
      </c>
      <c r="L14" s="18">
        <v>1E-3</v>
      </c>
      <c r="M14" s="18">
        <v>1E-3</v>
      </c>
      <c r="N14" s="18">
        <v>1E-3</v>
      </c>
      <c r="O14" s="18">
        <v>4.33</v>
      </c>
      <c r="P14" s="18">
        <v>1E-3</v>
      </c>
      <c r="Q14" s="18">
        <v>1E-3</v>
      </c>
      <c r="R14" s="18">
        <v>2E-3</v>
      </c>
      <c r="S14" s="18">
        <v>2E-3</v>
      </c>
      <c r="T14" s="18">
        <v>2E-3</v>
      </c>
      <c r="U14" s="18">
        <v>2.7770000000000001</v>
      </c>
      <c r="V14" s="18">
        <v>0.03</v>
      </c>
      <c r="W14" s="40">
        <v>2E-3</v>
      </c>
      <c r="X14" s="40">
        <v>2E-3</v>
      </c>
      <c r="Y14" s="40">
        <v>2E-3</v>
      </c>
      <c r="Z14" s="40">
        <v>2E-3</v>
      </c>
      <c r="AA14" s="40">
        <v>5.58</v>
      </c>
      <c r="AB14" s="40">
        <v>2E-3</v>
      </c>
      <c r="AC14" s="40">
        <v>2E-3</v>
      </c>
      <c r="AD14" s="40">
        <v>2E-3</v>
      </c>
      <c r="AE14" s="40">
        <v>2E-3</v>
      </c>
      <c r="AF14" s="40">
        <v>0</v>
      </c>
      <c r="AG14" s="40">
        <v>0</v>
      </c>
      <c r="AH14" s="40">
        <v>0</v>
      </c>
      <c r="AI14" s="40">
        <v>0.17199999999999999</v>
      </c>
      <c r="AJ14" s="40">
        <v>0.17199999999999999</v>
      </c>
      <c r="AK14" s="40">
        <v>0.17199999999999999</v>
      </c>
      <c r="AL14" s="40">
        <v>0.17199999999999999</v>
      </c>
      <c r="AM14" s="40">
        <v>0.19700000000000001</v>
      </c>
      <c r="AN14" s="40">
        <v>1.256</v>
      </c>
      <c r="AO14" s="40">
        <v>1.256</v>
      </c>
      <c r="AP14" s="40">
        <v>0.19700000000000001</v>
      </c>
      <c r="AQ14" s="40">
        <v>0.19700000000000001</v>
      </c>
      <c r="AR14" s="40">
        <v>0</v>
      </c>
    </row>
    <row r="15" spans="1:44" ht="15" customHeight="1">
      <c r="A15" t="s">
        <v>162</v>
      </c>
      <c r="B15" s="39" t="str">
        <f>IF('Sumário | Summary'!P1=1,"Ativo não circulante mantido para venda",
"Non-current assets held for sale")</f>
        <v>Ativo não circulante mantido para venda</v>
      </c>
      <c r="C15" s="18" t="s">
        <v>18</v>
      </c>
      <c r="D15" s="18" t="s">
        <v>18</v>
      </c>
      <c r="E15" s="18" t="s">
        <v>18</v>
      </c>
      <c r="F15" s="18" t="s">
        <v>18</v>
      </c>
      <c r="G15" s="18" t="s">
        <v>18</v>
      </c>
      <c r="H15" s="18" t="s">
        <v>18</v>
      </c>
      <c r="I15" s="18" t="s">
        <v>18</v>
      </c>
      <c r="J15" s="18" t="s">
        <v>18</v>
      </c>
      <c r="K15" s="18" t="s">
        <v>18</v>
      </c>
      <c r="L15" s="18" t="s">
        <v>18</v>
      </c>
      <c r="M15" s="18" t="s">
        <v>18</v>
      </c>
      <c r="N15" s="18" t="s">
        <v>18</v>
      </c>
      <c r="O15" s="18">
        <v>0</v>
      </c>
      <c r="P15" s="18">
        <v>0</v>
      </c>
      <c r="Q15" s="18">
        <v>0</v>
      </c>
      <c r="R15" s="18">
        <v>0</v>
      </c>
      <c r="S15" s="18">
        <v>0</v>
      </c>
      <c r="T15" s="18">
        <v>0</v>
      </c>
      <c r="U15" s="18">
        <v>0</v>
      </c>
      <c r="V15" s="18">
        <v>0</v>
      </c>
      <c r="W15" s="18">
        <v>0</v>
      </c>
      <c r="X15" s="18">
        <v>0</v>
      </c>
      <c r="Y15" s="40">
        <v>495.35300000000001</v>
      </c>
      <c r="Z15" s="40">
        <v>0</v>
      </c>
      <c r="AA15" s="40">
        <v>150.25887698999998</v>
      </c>
      <c r="AB15" s="40">
        <v>151.23400000000001</v>
      </c>
      <c r="AC15" s="40">
        <v>153.714</v>
      </c>
      <c r="AD15" s="40">
        <v>0</v>
      </c>
      <c r="AE15" s="40">
        <v>0</v>
      </c>
      <c r="AF15" s="40">
        <v>0</v>
      </c>
      <c r="AG15" s="40">
        <v>0</v>
      </c>
      <c r="AH15" s="40">
        <v>0</v>
      </c>
      <c r="AI15" s="40">
        <v>1238.741</v>
      </c>
      <c r="AJ15" s="40">
        <v>0</v>
      </c>
      <c r="AK15" s="40">
        <v>0</v>
      </c>
      <c r="AL15" s="40">
        <v>0</v>
      </c>
      <c r="AM15" s="40">
        <v>0</v>
      </c>
      <c r="AN15" s="40">
        <v>0</v>
      </c>
      <c r="AO15" s="40">
        <v>0</v>
      </c>
      <c r="AP15" s="40">
        <v>0</v>
      </c>
      <c r="AQ15" s="40">
        <v>0</v>
      </c>
      <c r="AR15" s="40">
        <v>0</v>
      </c>
    </row>
    <row r="16" spans="1:44" ht="15" customHeight="1">
      <c r="A16" t="s">
        <v>164</v>
      </c>
      <c r="B16" s="39" t="s">
        <v>124</v>
      </c>
      <c r="C16" s="40"/>
      <c r="D16" s="40"/>
      <c r="E16" s="40"/>
      <c r="F16" s="40"/>
      <c r="G16" s="40"/>
      <c r="H16" s="40"/>
      <c r="I16" s="40"/>
      <c r="J16" s="40"/>
      <c r="K16" s="40"/>
      <c r="L16" s="40"/>
      <c r="M16" s="40"/>
      <c r="N16" s="40"/>
      <c r="O16" s="18">
        <v>0</v>
      </c>
      <c r="P16" s="18">
        <v>0</v>
      </c>
      <c r="Q16" s="18">
        <v>0</v>
      </c>
      <c r="R16" s="18">
        <v>0</v>
      </c>
      <c r="S16" s="18">
        <v>0</v>
      </c>
      <c r="T16" s="18">
        <v>0</v>
      </c>
      <c r="U16" s="18">
        <v>0</v>
      </c>
      <c r="V16" s="18">
        <v>0</v>
      </c>
      <c r="W16" s="18">
        <v>0</v>
      </c>
      <c r="X16" s="18">
        <v>0</v>
      </c>
      <c r="Y16" s="18">
        <v>0</v>
      </c>
      <c r="Z16" s="18">
        <v>0</v>
      </c>
      <c r="AA16" s="40">
        <v>0</v>
      </c>
      <c r="AB16" s="40">
        <v>0</v>
      </c>
      <c r="AC16" s="40">
        <v>0</v>
      </c>
      <c r="AD16" s="40">
        <v>0</v>
      </c>
      <c r="AE16" s="40">
        <v>0</v>
      </c>
      <c r="AF16" s="40">
        <v>0</v>
      </c>
      <c r="AG16" s="40">
        <v>0</v>
      </c>
      <c r="AH16" s="40">
        <v>0</v>
      </c>
      <c r="AI16" s="40">
        <v>0</v>
      </c>
      <c r="AJ16" s="40">
        <v>0</v>
      </c>
      <c r="AK16" s="40">
        <v>0</v>
      </c>
      <c r="AL16" s="40">
        <v>0</v>
      </c>
      <c r="AM16" s="40">
        <v>0</v>
      </c>
      <c r="AN16" s="40">
        <v>0</v>
      </c>
      <c r="AO16" s="40">
        <v>0</v>
      </c>
      <c r="AP16" s="40">
        <v>0</v>
      </c>
      <c r="AQ16" s="40">
        <v>0</v>
      </c>
      <c r="AR16" s="40">
        <v>0</v>
      </c>
    </row>
    <row r="17" spans="1:44" ht="15" customHeight="1">
      <c r="A17" t="s">
        <v>163</v>
      </c>
      <c r="B17" s="28" t="str">
        <f>IF('Sumário | Summary'!P1=1,"Demais contas a receber","Other receivables")</f>
        <v>Demais contas a receber</v>
      </c>
      <c r="C17" s="18">
        <v>5.0279999999999996</v>
      </c>
      <c r="D17" s="18">
        <v>7.5039999999999996</v>
      </c>
      <c r="E17" s="18">
        <v>5.0140000000000002</v>
      </c>
      <c r="F17" s="18">
        <v>9.4760000000000009</v>
      </c>
      <c r="G17" s="18">
        <v>10.073</v>
      </c>
      <c r="H17" s="18">
        <v>10.949</v>
      </c>
      <c r="I17" s="18">
        <v>6.8769999999999998</v>
      </c>
      <c r="J17" s="18">
        <v>6.4029999999999996</v>
      </c>
      <c r="K17" s="18">
        <v>5.86</v>
      </c>
      <c r="L17" s="18">
        <v>34.042999999999999</v>
      </c>
      <c r="M17" s="18">
        <v>61.418999999999997</v>
      </c>
      <c r="N17" s="18">
        <v>27.545999999999999</v>
      </c>
      <c r="O17" s="18">
        <v>46.667999999999999</v>
      </c>
      <c r="P17" s="18">
        <v>43.475000000000001</v>
      </c>
      <c r="Q17" s="18">
        <v>11.743</v>
      </c>
      <c r="R17" s="18">
        <v>10.814</v>
      </c>
      <c r="S17" s="18">
        <v>7.4370000000000003</v>
      </c>
      <c r="T17" s="18">
        <v>5.8470000000000004</v>
      </c>
      <c r="U17" s="18">
        <v>6.3940000000000001</v>
      </c>
      <c r="V17" s="18">
        <v>8.8260000000000005</v>
      </c>
      <c r="W17" s="40">
        <v>12.728</v>
      </c>
      <c r="X17" s="40">
        <v>8.6289999999999996</v>
      </c>
      <c r="Y17" s="40">
        <v>8.5530000000000008</v>
      </c>
      <c r="Z17" s="40">
        <v>55.408000000000001</v>
      </c>
      <c r="AA17" s="40">
        <v>19.222000000000001</v>
      </c>
      <c r="AB17" s="40">
        <v>35.466999999999999</v>
      </c>
      <c r="AC17" s="40">
        <v>29.041</v>
      </c>
      <c r="AD17" s="40">
        <v>29.366</v>
      </c>
      <c r="AE17" s="40">
        <v>10.384</v>
      </c>
      <c r="AF17" s="40">
        <v>24.762</v>
      </c>
      <c r="AG17" s="40">
        <v>21.312000000000001</v>
      </c>
      <c r="AH17" s="40">
        <v>21.765000000000001</v>
      </c>
      <c r="AI17" s="40">
        <v>18.227</v>
      </c>
      <c r="AJ17" s="40">
        <v>277.48399999999998</v>
      </c>
      <c r="AK17" s="40">
        <v>287.02300000000002</v>
      </c>
      <c r="AL17" s="40">
        <v>130.16800000000001</v>
      </c>
      <c r="AM17" s="40">
        <v>114.965</v>
      </c>
      <c r="AN17" s="40">
        <v>20.611999999999998</v>
      </c>
      <c r="AO17" s="40">
        <v>7.0389999999999997</v>
      </c>
      <c r="AP17" s="40">
        <v>4.05</v>
      </c>
      <c r="AQ17" s="40">
        <v>3.919</v>
      </c>
      <c r="AR17" s="40">
        <v>3.9169999999999998</v>
      </c>
    </row>
    <row r="18" spans="1:44" ht="15" customHeight="1">
      <c r="A18" t="s">
        <v>117</v>
      </c>
      <c r="B18" s="11" t="str">
        <f>IF('Sumário | Summary'!P1=1,"Realizável a longo prazo","Long term")</f>
        <v>Realizável a longo prazo</v>
      </c>
      <c r="C18" s="6">
        <v>1400.6980000000001</v>
      </c>
      <c r="D18" s="6">
        <v>1217.5269999999998</v>
      </c>
      <c r="E18" s="6">
        <v>995.88099999999997</v>
      </c>
      <c r="F18" s="6">
        <v>923.21399999999994</v>
      </c>
      <c r="G18" s="6">
        <v>1005.2380000000001</v>
      </c>
      <c r="H18" s="6">
        <v>732.88300000000004</v>
      </c>
      <c r="I18" s="6">
        <v>387.36600000000004</v>
      </c>
      <c r="J18" s="6">
        <v>146.125</v>
      </c>
      <c r="K18" s="6">
        <v>176.83999999999997</v>
      </c>
      <c r="L18" s="6">
        <v>92.347000000000008</v>
      </c>
      <c r="M18" s="6">
        <v>159.04000000000002</v>
      </c>
      <c r="N18" s="6">
        <v>116.95000000000002</v>
      </c>
      <c r="O18" s="127">
        <f t="shared" ref="O18:AF18" si="2">SUM(O19:O27)</f>
        <v>99.270999999999987</v>
      </c>
      <c r="P18" s="127">
        <f t="shared" si="2"/>
        <v>101.23499999999999</v>
      </c>
      <c r="Q18" s="127">
        <f t="shared" si="2"/>
        <v>160.09399999999999</v>
      </c>
      <c r="R18" s="127">
        <f t="shared" si="2"/>
        <v>167.03799999999998</v>
      </c>
      <c r="S18" s="127">
        <f t="shared" si="2"/>
        <v>129.00799999999998</v>
      </c>
      <c r="T18" s="127">
        <f t="shared" si="2"/>
        <v>138.048</v>
      </c>
      <c r="U18" s="127">
        <f t="shared" si="2"/>
        <v>131.24800000000002</v>
      </c>
      <c r="V18" s="127">
        <f t="shared" si="2"/>
        <v>153.11500000000001</v>
      </c>
      <c r="W18" s="127">
        <f t="shared" si="2"/>
        <v>159.07900000000004</v>
      </c>
      <c r="X18" s="127">
        <f t="shared" si="2"/>
        <v>190.07400000000001</v>
      </c>
      <c r="Y18" s="127">
        <f t="shared" si="2"/>
        <v>200.56600000000003</v>
      </c>
      <c r="Z18" s="127">
        <f t="shared" si="2"/>
        <v>227.54300000000001</v>
      </c>
      <c r="AA18" s="127">
        <f t="shared" si="2"/>
        <v>222.202</v>
      </c>
      <c r="AB18" s="127">
        <f t="shared" si="2"/>
        <v>200.947</v>
      </c>
      <c r="AC18" s="127">
        <f t="shared" si="2"/>
        <v>197.43499999999997</v>
      </c>
      <c r="AD18" s="127">
        <f t="shared" si="2"/>
        <v>227.99299999999999</v>
      </c>
      <c r="AE18" s="127">
        <f t="shared" si="2"/>
        <v>229.59100000000001</v>
      </c>
      <c r="AF18" s="127">
        <f t="shared" si="2"/>
        <v>217.62799999999999</v>
      </c>
      <c r="AG18" s="127">
        <v>222.60599999999999</v>
      </c>
      <c r="AH18" s="127">
        <v>225.679</v>
      </c>
      <c r="AI18" s="127">
        <f>SUM(AI19:AI27)</f>
        <v>185.78699999999998</v>
      </c>
      <c r="AJ18" s="127">
        <v>266.92</v>
      </c>
      <c r="AK18" s="127">
        <v>226.512</v>
      </c>
      <c r="AL18" s="127">
        <v>203.42100000000002</v>
      </c>
      <c r="AM18" s="127">
        <v>159.30200000000002</v>
      </c>
      <c r="AN18" s="127">
        <v>171.53199999999998</v>
      </c>
      <c r="AO18" s="127">
        <v>199.64699999999999</v>
      </c>
      <c r="AP18" s="127">
        <v>208.58500000000004</v>
      </c>
      <c r="AQ18" s="127">
        <v>193.59700000000001</v>
      </c>
      <c r="AR18" s="127">
        <f>SUM(AR19:AR27)</f>
        <v>201.238</v>
      </c>
    </row>
    <row r="19" spans="1:44" ht="15" customHeight="1">
      <c r="A19" t="s">
        <v>165</v>
      </c>
      <c r="B19" s="21" t="str">
        <f>IF('Sumário | Summary'!P1=1,"Contas a receber ","Accounts Receivable")</f>
        <v xml:space="preserve">Contas a receber </v>
      </c>
      <c r="C19" s="31">
        <v>3.9039999999999999</v>
      </c>
      <c r="D19" s="31">
        <v>3.1379999999999999</v>
      </c>
      <c r="E19" s="31">
        <v>2.8540000000000001</v>
      </c>
      <c r="F19" s="31">
        <v>12.082000000000001</v>
      </c>
      <c r="G19" s="31">
        <v>14.808999999999999</v>
      </c>
      <c r="H19" s="31">
        <v>0</v>
      </c>
      <c r="I19" s="31">
        <v>5.95</v>
      </c>
      <c r="J19" s="31">
        <v>4.5679999999999996</v>
      </c>
      <c r="K19" s="31">
        <v>3.4289999999999998</v>
      </c>
      <c r="L19" s="31">
        <v>0.89200000000000002</v>
      </c>
      <c r="M19" s="31">
        <v>3.0129999999999999</v>
      </c>
      <c r="N19" s="31">
        <v>3.0659999999999998</v>
      </c>
      <c r="O19" s="18">
        <v>0.57799999999999996</v>
      </c>
      <c r="P19" s="31">
        <v>1.875</v>
      </c>
      <c r="Q19" s="31">
        <v>27.725999999999999</v>
      </c>
      <c r="R19" s="31">
        <v>24.504000000000001</v>
      </c>
      <c r="S19" s="18">
        <v>24.869</v>
      </c>
      <c r="T19" s="18">
        <v>40.430999999999997</v>
      </c>
      <c r="U19" s="18">
        <v>33.884</v>
      </c>
      <c r="V19" s="18">
        <v>40.204000000000001</v>
      </c>
      <c r="W19" s="40">
        <v>43.264000000000003</v>
      </c>
      <c r="X19" s="40">
        <v>51.287999999999997</v>
      </c>
      <c r="Y19" s="40">
        <v>50.322000000000003</v>
      </c>
      <c r="Z19" s="40">
        <v>35.68</v>
      </c>
      <c r="AA19" s="181">
        <v>35.656999999999996</v>
      </c>
      <c r="AB19" s="181">
        <v>35.652000000000001</v>
      </c>
      <c r="AC19" s="181">
        <v>35.610999999999997</v>
      </c>
      <c r="AD19" s="181">
        <v>35.597000000000001</v>
      </c>
      <c r="AE19" s="181">
        <v>35.588000000000001</v>
      </c>
      <c r="AF19" s="181">
        <v>35.698999999999998</v>
      </c>
      <c r="AG19" s="181">
        <v>35.682000000000002</v>
      </c>
      <c r="AH19" s="181">
        <v>36.113</v>
      </c>
      <c r="AI19" s="181">
        <v>36.097999999999999</v>
      </c>
      <c r="AJ19" s="181">
        <v>36.073999999999998</v>
      </c>
      <c r="AK19" s="181">
        <v>36.031999999999996</v>
      </c>
      <c r="AL19" s="181">
        <v>36.179000000000002</v>
      </c>
      <c r="AM19" s="181">
        <v>0.97699999999999998</v>
      </c>
      <c r="AN19" s="181">
        <v>1.012</v>
      </c>
      <c r="AO19" s="181">
        <v>0.96599999999999997</v>
      </c>
      <c r="AP19" s="181">
        <v>0.93</v>
      </c>
      <c r="AQ19" s="181">
        <v>0.89900000000000002</v>
      </c>
      <c r="AR19" s="181">
        <v>0.873</v>
      </c>
    </row>
    <row r="20" spans="1:44" ht="15" customHeight="1">
      <c r="A20" t="s">
        <v>166</v>
      </c>
      <c r="B20" s="21" t="str">
        <f>IF('Sumário | Summary'!P1=1,"Estoques","Inventory")</f>
        <v>Estoques</v>
      </c>
      <c r="C20" s="31">
        <v>1246.0930000000001</v>
      </c>
      <c r="D20" s="31">
        <v>1050.02</v>
      </c>
      <c r="E20" s="31">
        <v>832.42100000000005</v>
      </c>
      <c r="F20" s="31">
        <v>787.60299999999995</v>
      </c>
      <c r="G20" s="31">
        <v>860.95</v>
      </c>
      <c r="H20" s="31">
        <v>595.16600000000005</v>
      </c>
      <c r="I20" s="31">
        <v>296.22800000000001</v>
      </c>
      <c r="J20" s="31">
        <v>59.46</v>
      </c>
      <c r="K20" s="31">
        <v>84.590999999999994</v>
      </c>
      <c r="L20" s="31">
        <v>59.83</v>
      </c>
      <c r="M20" s="31">
        <v>84.861999999999995</v>
      </c>
      <c r="N20" s="31">
        <v>43.95</v>
      </c>
      <c r="O20" s="18">
        <v>44.366999999999997</v>
      </c>
      <c r="P20" s="31">
        <v>44.366999999999997</v>
      </c>
      <c r="Q20" s="31">
        <v>44.366999999999997</v>
      </c>
      <c r="R20" s="31">
        <v>44.366999999999997</v>
      </c>
      <c r="S20" s="18">
        <v>47.281999999999996</v>
      </c>
      <c r="T20" s="18">
        <v>48.033999999999999</v>
      </c>
      <c r="U20" s="18">
        <v>48.033999999999999</v>
      </c>
      <c r="V20" s="18">
        <v>48.048999999999999</v>
      </c>
      <c r="W20" s="40">
        <v>47.125</v>
      </c>
      <c r="X20" s="40">
        <v>71.805999999999997</v>
      </c>
      <c r="Y20" s="40">
        <v>71.805999999999997</v>
      </c>
      <c r="Z20" s="40">
        <v>16.795000000000002</v>
      </c>
      <c r="AA20" s="40">
        <v>16.795000000000002</v>
      </c>
      <c r="AB20" s="40">
        <v>44.234000000000002</v>
      </c>
      <c r="AC20" s="40">
        <v>36.796999999999997</v>
      </c>
      <c r="AD20" s="40">
        <v>45.962000000000003</v>
      </c>
      <c r="AE20" s="40">
        <v>45.652999999999999</v>
      </c>
      <c r="AF20" s="40">
        <v>45.884999999999998</v>
      </c>
      <c r="AG20" s="40">
        <v>46.063000000000002</v>
      </c>
      <c r="AH20" s="40">
        <v>46.228000000000002</v>
      </c>
      <c r="AI20" s="40">
        <v>46.530999999999999</v>
      </c>
      <c r="AJ20" s="40">
        <v>30.468</v>
      </c>
      <c r="AK20" s="40">
        <v>46.73</v>
      </c>
      <c r="AL20" s="40">
        <v>46.988</v>
      </c>
      <c r="AM20" s="40">
        <v>47.094000000000001</v>
      </c>
      <c r="AN20" s="40">
        <v>47.302</v>
      </c>
      <c r="AO20" s="40">
        <v>47.491999999999997</v>
      </c>
      <c r="AP20" s="40">
        <v>47.682000000000002</v>
      </c>
      <c r="AQ20" s="40">
        <v>47.786999999999999</v>
      </c>
      <c r="AR20" s="40">
        <v>47.966000000000001</v>
      </c>
    </row>
    <row r="21" spans="1:44" ht="15" customHeight="1">
      <c r="A21" t="s">
        <v>167</v>
      </c>
      <c r="B21" s="21" t="str">
        <f>IF('Sumário | Summary'!P1=1,"Adiantamento para futuro aumento de capital","Advance for future capital increase")</f>
        <v>Adiantamento para futuro aumento de capital</v>
      </c>
      <c r="C21" s="31">
        <v>26.45</v>
      </c>
      <c r="D21" s="31">
        <v>21.587</v>
      </c>
      <c r="E21" s="31">
        <v>22.146000000000001</v>
      </c>
      <c r="F21" s="31">
        <v>23.125</v>
      </c>
      <c r="G21" s="31">
        <v>24.581</v>
      </c>
      <c r="H21" s="31">
        <v>25.068000000000001</v>
      </c>
      <c r="I21" s="31">
        <v>25.608000000000001</v>
      </c>
      <c r="J21" s="31">
        <v>24.341999999999999</v>
      </c>
      <c r="K21" s="31">
        <v>24.882999999999999</v>
      </c>
      <c r="L21" s="31">
        <v>4.5999999999999999E-2</v>
      </c>
      <c r="M21" s="31">
        <v>4.5999999999999999E-2</v>
      </c>
      <c r="N21" s="31">
        <v>0</v>
      </c>
      <c r="O21" s="18">
        <v>4.5999999999999999E-2</v>
      </c>
      <c r="P21" s="31">
        <v>4.5999999999999999E-2</v>
      </c>
      <c r="Q21" s="31">
        <v>0.29199999999999998</v>
      </c>
      <c r="R21" s="31">
        <v>0.37</v>
      </c>
      <c r="S21" s="18">
        <v>0.45200000000000001</v>
      </c>
      <c r="T21" s="18">
        <v>0.29099999999999998</v>
      </c>
      <c r="U21" s="18">
        <v>0.40300000000000002</v>
      </c>
      <c r="V21" s="18">
        <v>0.33600000000000002</v>
      </c>
      <c r="W21" s="40">
        <v>0.32500000000000001</v>
      </c>
      <c r="X21" s="40">
        <v>0.33100000000000002</v>
      </c>
      <c r="Y21" s="40">
        <v>0.33600000000000002</v>
      </c>
      <c r="Z21" s="40">
        <v>4.0949999999999998</v>
      </c>
      <c r="AA21" s="40">
        <v>0.58199999999999996</v>
      </c>
      <c r="AB21" s="40">
        <v>0.47499999999999998</v>
      </c>
      <c r="AC21" s="40">
        <v>0.443</v>
      </c>
      <c r="AD21" s="40">
        <v>1.04</v>
      </c>
      <c r="AE21" s="40">
        <v>1.038</v>
      </c>
      <c r="AF21" s="40">
        <v>1.0740000000000001</v>
      </c>
      <c r="AG21" s="40">
        <v>1.0660000000000001</v>
      </c>
      <c r="AH21" s="40">
        <v>0.47899999999999998</v>
      </c>
      <c r="AI21" s="40">
        <v>0.48899999999999999</v>
      </c>
      <c r="AJ21" s="40">
        <v>0.23</v>
      </c>
      <c r="AK21" s="40">
        <v>0.27</v>
      </c>
      <c r="AL21" s="40">
        <v>0.215</v>
      </c>
      <c r="AM21" s="40">
        <v>16.574000000000002</v>
      </c>
      <c r="AN21" s="40">
        <v>16.556999999999999</v>
      </c>
      <c r="AO21" s="40">
        <v>16.356000000000002</v>
      </c>
      <c r="AP21" s="40">
        <v>16.591999999999999</v>
      </c>
      <c r="AQ21" s="40">
        <v>16.672999999999998</v>
      </c>
      <c r="AR21" s="40">
        <v>16.568000000000001</v>
      </c>
    </row>
    <row r="22" spans="1:44" ht="15" customHeight="1">
      <c r="A22" t="s">
        <v>168</v>
      </c>
      <c r="B22" s="21" t="str">
        <f>IF('Sumário | Summary'!P1=1,"Contas-correntes com parceiros nos empreendimentos","Current accounts with partners in projects ")</f>
        <v>Contas-correntes com parceiros nos empreendimentos</v>
      </c>
      <c r="C22" s="31">
        <v>0</v>
      </c>
      <c r="D22" s="31">
        <v>0</v>
      </c>
      <c r="E22" s="31">
        <v>0.109</v>
      </c>
      <c r="F22" s="31">
        <v>0</v>
      </c>
      <c r="G22" s="31">
        <v>0</v>
      </c>
      <c r="H22" s="31">
        <v>0</v>
      </c>
      <c r="I22" s="31">
        <v>0</v>
      </c>
      <c r="J22" s="31">
        <v>0</v>
      </c>
      <c r="K22" s="31">
        <v>0</v>
      </c>
      <c r="L22" s="31">
        <v>0</v>
      </c>
      <c r="M22" s="31">
        <v>0</v>
      </c>
      <c r="N22" s="31">
        <v>0</v>
      </c>
      <c r="O22" s="18">
        <v>0</v>
      </c>
      <c r="P22" s="31">
        <v>0</v>
      </c>
      <c r="Q22" s="31">
        <v>0.375</v>
      </c>
      <c r="R22" s="31">
        <v>0.61199999999999999</v>
      </c>
      <c r="S22" s="18">
        <v>3.5920000000000001</v>
      </c>
      <c r="T22" s="18">
        <v>5.1920000000000002</v>
      </c>
      <c r="U22" s="18">
        <v>3.7170000000000001</v>
      </c>
      <c r="V22" s="18">
        <v>4.5529999999999999</v>
      </c>
      <c r="W22" s="40">
        <v>6.5490000000000004</v>
      </c>
      <c r="X22" s="40">
        <v>6.3079999999999998</v>
      </c>
      <c r="Y22" s="40">
        <v>6.9130000000000003</v>
      </c>
      <c r="Z22" s="40">
        <v>5.7080000000000002</v>
      </c>
      <c r="AA22" s="40">
        <v>5.3840000000000003</v>
      </c>
      <c r="AB22" s="40">
        <v>5.6360000000000001</v>
      </c>
      <c r="AC22" s="40">
        <v>4.7859999999999996</v>
      </c>
      <c r="AD22" s="40">
        <v>5.8949999999999996</v>
      </c>
      <c r="AE22" s="40">
        <v>10.656000000000001</v>
      </c>
      <c r="AF22" s="40">
        <v>8.5329999999999995</v>
      </c>
      <c r="AG22" s="40">
        <v>7.6970000000000001</v>
      </c>
      <c r="AH22" s="40">
        <v>4.0419999999999998</v>
      </c>
      <c r="AI22" s="40">
        <v>1.0549999999999999</v>
      </c>
      <c r="AJ22" s="40">
        <v>2.069</v>
      </c>
      <c r="AK22" s="40">
        <v>1.129</v>
      </c>
      <c r="AL22" s="40">
        <v>1.5609999999999999</v>
      </c>
      <c r="AM22" s="40">
        <v>2.048</v>
      </c>
      <c r="AN22" s="40">
        <v>2.3919999999999999</v>
      </c>
      <c r="AO22" s="40">
        <v>2.3220000000000001</v>
      </c>
      <c r="AP22" s="40">
        <v>2.1669999999999998</v>
      </c>
      <c r="AQ22" s="40">
        <v>2.2829999999999999</v>
      </c>
      <c r="AR22" s="40">
        <v>2.4140000000000001</v>
      </c>
    </row>
    <row r="23" spans="1:44" ht="15" customHeight="1">
      <c r="A23" t="s">
        <v>176</v>
      </c>
      <c r="B23" s="28" t="str">
        <f>IF('Sumário | Summary'!P1=1,"Mútuo a receber","Loan receivables")</f>
        <v>Mútuo a receber</v>
      </c>
      <c r="C23" s="31">
        <v>6.8250000000000002</v>
      </c>
      <c r="D23" s="31">
        <v>7.3369999999999997</v>
      </c>
      <c r="E23" s="31">
        <v>6.8140000000000001</v>
      </c>
      <c r="F23" s="31">
        <v>7.141</v>
      </c>
      <c r="G23" s="31">
        <v>7.4829999999999997</v>
      </c>
      <c r="H23" s="31">
        <v>6.9960000000000004</v>
      </c>
      <c r="I23" s="31">
        <v>5.7709999999999999</v>
      </c>
      <c r="J23" s="31">
        <v>0</v>
      </c>
      <c r="K23" s="31">
        <v>0</v>
      </c>
      <c r="L23" s="31">
        <v>0</v>
      </c>
      <c r="M23" s="31">
        <v>0</v>
      </c>
      <c r="N23" s="31">
        <v>0</v>
      </c>
      <c r="O23" s="18">
        <v>0</v>
      </c>
      <c r="P23" s="31">
        <v>0</v>
      </c>
      <c r="Q23" s="31">
        <v>0</v>
      </c>
      <c r="R23" s="31">
        <v>0</v>
      </c>
      <c r="S23" s="18">
        <v>0</v>
      </c>
      <c r="T23" s="18">
        <v>0</v>
      </c>
      <c r="U23" s="18">
        <v>0</v>
      </c>
      <c r="V23" s="18">
        <v>0</v>
      </c>
      <c r="W23" s="40">
        <v>0</v>
      </c>
      <c r="X23" s="40">
        <v>0</v>
      </c>
      <c r="Y23" s="40">
        <v>0</v>
      </c>
      <c r="Z23" s="40">
        <v>0</v>
      </c>
      <c r="AA23" s="40">
        <v>0</v>
      </c>
      <c r="AB23" s="40">
        <v>0</v>
      </c>
      <c r="AC23" s="40">
        <v>0</v>
      </c>
      <c r="AD23" s="40">
        <v>0</v>
      </c>
      <c r="AE23" s="40">
        <v>0</v>
      </c>
      <c r="AF23" s="40">
        <v>0</v>
      </c>
      <c r="AG23" s="40">
        <v>0</v>
      </c>
      <c r="AH23" s="40">
        <v>0</v>
      </c>
      <c r="AI23" s="40">
        <v>0</v>
      </c>
      <c r="AJ23" s="40">
        <v>0</v>
      </c>
      <c r="AK23" s="40">
        <v>0</v>
      </c>
      <c r="AL23" s="40">
        <v>0</v>
      </c>
      <c r="AM23" s="40">
        <v>0</v>
      </c>
      <c r="AN23" s="40">
        <v>0</v>
      </c>
      <c r="AO23" s="40">
        <v>0</v>
      </c>
      <c r="AP23" s="40">
        <v>0</v>
      </c>
      <c r="AQ23" s="40">
        <v>0</v>
      </c>
      <c r="AR23" s="40">
        <v>0</v>
      </c>
    </row>
    <row r="24" spans="1:44" ht="15" customHeight="1">
      <c r="A24" t="s">
        <v>169</v>
      </c>
      <c r="B24" s="28" t="str">
        <f>IF('Sumário | Summary'!P1=1,"Impostos a compensar","Tax to be Compensated")</f>
        <v>Impostos a compensar</v>
      </c>
      <c r="C24" s="31">
        <v>92.989000000000004</v>
      </c>
      <c r="D24" s="31">
        <v>98.057000000000002</v>
      </c>
      <c r="E24" s="31">
        <v>100.669</v>
      </c>
      <c r="F24" s="31">
        <v>63.451000000000001</v>
      </c>
      <c r="G24" s="31">
        <v>71.61</v>
      </c>
      <c r="H24" s="31">
        <v>76.007000000000005</v>
      </c>
      <c r="I24" s="31">
        <v>31.501999999999999</v>
      </c>
      <c r="J24" s="31">
        <v>33.701999999999998</v>
      </c>
      <c r="K24" s="31">
        <v>33.229999999999997</v>
      </c>
      <c r="L24" s="31">
        <v>31.539000000000001</v>
      </c>
      <c r="M24" s="31">
        <v>33.024000000000001</v>
      </c>
      <c r="N24" s="31">
        <v>35.979999999999997</v>
      </c>
      <c r="O24" s="18">
        <v>46.984000000000002</v>
      </c>
      <c r="P24" s="31">
        <v>51.677999999999997</v>
      </c>
      <c r="Q24" s="31">
        <v>58.588000000000001</v>
      </c>
      <c r="R24" s="31">
        <v>65.652000000000001</v>
      </c>
      <c r="S24" s="18">
        <v>26.620999999999999</v>
      </c>
      <c r="T24" s="18">
        <v>18.66</v>
      </c>
      <c r="U24" s="18">
        <v>14.622999999999999</v>
      </c>
      <c r="V24" s="18">
        <v>35.246000000000002</v>
      </c>
      <c r="W24" s="40">
        <v>39.152999999999999</v>
      </c>
      <c r="X24" s="40">
        <v>32.283999999999999</v>
      </c>
      <c r="Y24" s="40">
        <v>38.706000000000003</v>
      </c>
      <c r="Z24" s="40">
        <v>52.570999999999998</v>
      </c>
      <c r="AA24" s="40">
        <v>56.332999999999998</v>
      </c>
      <c r="AB24" s="40">
        <v>35.930999999999997</v>
      </c>
      <c r="AC24" s="40">
        <v>42.006999999999998</v>
      </c>
      <c r="AD24" s="40">
        <v>59.744999999999997</v>
      </c>
      <c r="AE24" s="40">
        <v>56.192</v>
      </c>
      <c r="AF24" s="40">
        <v>60.228000000000002</v>
      </c>
      <c r="AG24" s="40">
        <v>63.881</v>
      </c>
      <c r="AH24" s="40">
        <v>70.867000000000004</v>
      </c>
      <c r="AI24" s="40">
        <v>65.5</v>
      </c>
      <c r="AJ24" s="40">
        <v>58.250999999999998</v>
      </c>
      <c r="AK24" s="40">
        <v>2.3130000000000002</v>
      </c>
      <c r="AL24" s="40">
        <v>2.3140000000000001</v>
      </c>
      <c r="AM24" s="40">
        <v>0.70599999999999996</v>
      </c>
      <c r="AN24" s="40">
        <v>12.747</v>
      </c>
      <c r="AO24" s="40">
        <v>22.161999999999999</v>
      </c>
      <c r="AP24" s="40">
        <v>26.632000000000001</v>
      </c>
      <c r="AQ24" s="40">
        <v>11.34</v>
      </c>
      <c r="AR24" s="40">
        <v>7.9950000000000001</v>
      </c>
    </row>
    <row r="25" spans="1:44" ht="15" customHeight="1">
      <c r="A25" t="s">
        <v>170</v>
      </c>
      <c r="B25" s="21" t="str">
        <f>IF('Sumário | Summary'!P1=1,"Depósitos judiciais","Judicial Deposits")</f>
        <v>Depósitos judiciais</v>
      </c>
      <c r="C25" s="31">
        <v>0</v>
      </c>
      <c r="D25" s="31">
        <v>0.39300000000000002</v>
      </c>
      <c r="E25" s="31">
        <v>0.39100000000000001</v>
      </c>
      <c r="F25" s="31">
        <v>0.40500000000000003</v>
      </c>
      <c r="G25" s="31">
        <v>0.27200000000000002</v>
      </c>
      <c r="H25" s="31">
        <v>0.246</v>
      </c>
      <c r="I25" s="31">
        <v>0</v>
      </c>
      <c r="J25" s="31">
        <v>0</v>
      </c>
      <c r="K25" s="31">
        <v>0</v>
      </c>
      <c r="L25" s="31">
        <v>0</v>
      </c>
      <c r="M25" s="31">
        <v>0</v>
      </c>
      <c r="N25" s="31">
        <v>0</v>
      </c>
      <c r="O25" s="18">
        <v>0.113</v>
      </c>
      <c r="P25" s="31">
        <v>0.1</v>
      </c>
      <c r="Q25" s="31">
        <v>8.5999999999999993E-2</v>
      </c>
      <c r="R25" s="31">
        <v>0.16400000000000001</v>
      </c>
      <c r="S25" s="18">
        <v>0.16600000000000001</v>
      </c>
      <c r="T25" s="18">
        <v>0.16400000000000001</v>
      </c>
      <c r="U25" s="18">
        <v>6.9000000000000006E-2</v>
      </c>
      <c r="V25" s="18">
        <v>6.2E-2</v>
      </c>
      <c r="W25" s="40">
        <v>6.0999999999999999E-2</v>
      </c>
      <c r="X25" s="40">
        <v>3.2749999999999999</v>
      </c>
      <c r="Y25" s="40">
        <v>3.2749999999999999</v>
      </c>
      <c r="Z25" s="40">
        <v>3.2629999999999999</v>
      </c>
      <c r="AA25" s="40">
        <v>3.2629999999999999</v>
      </c>
      <c r="AB25" s="40">
        <v>3.3130000000000002</v>
      </c>
      <c r="AC25" s="40">
        <v>3.3239999999999998</v>
      </c>
      <c r="AD25" s="40">
        <v>3.3130000000000002</v>
      </c>
      <c r="AE25" s="40">
        <v>3.3130000000000002</v>
      </c>
      <c r="AF25" s="40">
        <v>3.3130000000000002</v>
      </c>
      <c r="AG25" s="40">
        <v>3.3130000000000002</v>
      </c>
      <c r="AH25" s="40">
        <v>3.3130000000000002</v>
      </c>
      <c r="AI25" s="40">
        <v>3.3130000000000002</v>
      </c>
      <c r="AJ25" s="40">
        <v>3.3519999999999999</v>
      </c>
      <c r="AK25" s="40">
        <v>3.5110000000000001</v>
      </c>
      <c r="AL25" s="40">
        <v>3.5129999999999999</v>
      </c>
      <c r="AM25" s="40">
        <v>3.5139999999999998</v>
      </c>
      <c r="AN25" s="40">
        <v>3.4420000000000002</v>
      </c>
      <c r="AO25" s="40">
        <v>0.23599999999999999</v>
      </c>
      <c r="AP25" s="40">
        <v>0.316</v>
      </c>
      <c r="AQ25" s="40">
        <v>0.31900000000000001</v>
      </c>
      <c r="AR25" s="40">
        <v>0.312</v>
      </c>
    </row>
    <row r="26" spans="1:44" ht="15" customHeight="1">
      <c r="A26" t="s">
        <v>171</v>
      </c>
      <c r="B26" s="21" t="str">
        <f>IF('Sumário | Summary'!P1=1,"Demais contas a receber","Other receivables")</f>
        <v>Demais contas a receber</v>
      </c>
      <c r="C26" s="31">
        <v>24.437000000000001</v>
      </c>
      <c r="D26" s="31">
        <v>36.994999999999997</v>
      </c>
      <c r="E26" s="31">
        <v>30.477</v>
      </c>
      <c r="F26" s="31">
        <v>29.407</v>
      </c>
      <c r="G26" s="31">
        <v>25.533000000000001</v>
      </c>
      <c r="H26" s="31">
        <v>29.4</v>
      </c>
      <c r="I26" s="31">
        <v>22.306999999999999</v>
      </c>
      <c r="J26" s="31">
        <v>24.053000000000001</v>
      </c>
      <c r="K26" s="31">
        <v>30.707000000000001</v>
      </c>
      <c r="L26" s="31">
        <v>0.04</v>
      </c>
      <c r="M26" s="31">
        <v>38.094999999999999</v>
      </c>
      <c r="N26" s="31">
        <v>33.954000000000001</v>
      </c>
      <c r="O26" s="18">
        <v>7.1829999999999998</v>
      </c>
      <c r="P26" s="31">
        <v>3.169</v>
      </c>
      <c r="Q26" s="31">
        <v>28.66</v>
      </c>
      <c r="R26" s="31">
        <v>31.369</v>
      </c>
      <c r="S26" s="18">
        <v>26.026</v>
      </c>
      <c r="T26" s="18">
        <v>25.276</v>
      </c>
      <c r="U26" s="18">
        <v>30.518000000000001</v>
      </c>
      <c r="V26" s="18">
        <v>24.664999999999999</v>
      </c>
      <c r="W26" s="40">
        <v>22.602</v>
      </c>
      <c r="X26" s="40">
        <v>24.782</v>
      </c>
      <c r="Y26" s="40">
        <v>29.207999999999998</v>
      </c>
      <c r="Z26" s="40">
        <v>109.431</v>
      </c>
      <c r="AA26" s="40">
        <v>104.188</v>
      </c>
      <c r="AB26" s="40">
        <v>75.706000000000003</v>
      </c>
      <c r="AC26" s="40">
        <v>74.466999999999999</v>
      </c>
      <c r="AD26" s="40">
        <v>76.441000000000003</v>
      </c>
      <c r="AE26" s="40">
        <v>77.150999999999996</v>
      </c>
      <c r="AF26" s="40">
        <v>62.896000000000001</v>
      </c>
      <c r="AG26" s="40">
        <v>64.903999999999996</v>
      </c>
      <c r="AH26" s="40">
        <v>64.637</v>
      </c>
      <c r="AI26" s="40">
        <v>32.801000000000002</v>
      </c>
      <c r="AJ26" s="40">
        <v>136.476</v>
      </c>
      <c r="AK26" s="40">
        <v>136.797</v>
      </c>
      <c r="AL26" s="40">
        <v>40.228000000000002</v>
      </c>
      <c r="AM26" s="40">
        <v>5.9889999999999999</v>
      </c>
      <c r="AN26" s="40">
        <v>5.6609999999999996</v>
      </c>
      <c r="AO26" s="40">
        <v>5.8650000000000002</v>
      </c>
      <c r="AP26" s="40">
        <v>5.593</v>
      </c>
      <c r="AQ26" s="40">
        <v>5.6230000000000002</v>
      </c>
      <c r="AR26" s="40">
        <v>5.9050000000000002</v>
      </c>
    </row>
    <row r="27" spans="1:44" ht="15" customHeight="1">
      <c r="A27" t="s">
        <v>331</v>
      </c>
      <c r="B27" s="21" t="str">
        <f>IF('Sumário | Summary'!P1=1,"Títulos e valores mobiliários","Securities")</f>
        <v>Títulos e valores mobiliários</v>
      </c>
      <c r="C27" s="31">
        <v>0</v>
      </c>
      <c r="D27" s="31">
        <v>0</v>
      </c>
      <c r="E27" s="31">
        <v>0</v>
      </c>
      <c r="F27" s="31">
        <v>0</v>
      </c>
      <c r="G27" s="31">
        <v>0</v>
      </c>
      <c r="H27" s="31">
        <v>0</v>
      </c>
      <c r="I27" s="31">
        <v>0</v>
      </c>
      <c r="J27" s="31">
        <v>0</v>
      </c>
      <c r="K27" s="31">
        <v>0</v>
      </c>
      <c r="L27" s="31">
        <v>0</v>
      </c>
      <c r="M27" s="31">
        <v>0</v>
      </c>
      <c r="N27" s="31">
        <v>0</v>
      </c>
      <c r="O27" s="18">
        <v>0</v>
      </c>
      <c r="P27" s="31">
        <v>0</v>
      </c>
      <c r="Q27" s="31">
        <v>0</v>
      </c>
      <c r="R27" s="31">
        <v>0</v>
      </c>
      <c r="S27" s="18">
        <v>0</v>
      </c>
      <c r="T27" s="18">
        <v>0</v>
      </c>
      <c r="U27" s="18">
        <v>0</v>
      </c>
      <c r="V27" s="18">
        <v>0</v>
      </c>
      <c r="W27" s="40">
        <v>0</v>
      </c>
      <c r="X27" s="40">
        <v>0</v>
      </c>
      <c r="Y27" s="40">
        <v>0</v>
      </c>
      <c r="Z27" s="40">
        <v>0</v>
      </c>
      <c r="AA27" s="40">
        <v>0</v>
      </c>
      <c r="AB27" s="40">
        <v>0</v>
      </c>
      <c r="AC27" s="40">
        <v>0</v>
      </c>
      <c r="AD27" s="40">
        <v>0</v>
      </c>
      <c r="AE27" s="40">
        <v>0</v>
      </c>
      <c r="AF27" s="40">
        <v>0</v>
      </c>
      <c r="AG27" s="40">
        <v>0</v>
      </c>
      <c r="AH27" s="40">
        <v>0</v>
      </c>
      <c r="AI27" s="40">
        <v>0</v>
      </c>
      <c r="AJ27" s="40">
        <v>0</v>
      </c>
      <c r="AK27" s="40">
        <v>0</v>
      </c>
      <c r="AL27" s="40">
        <v>72.423000000000002</v>
      </c>
      <c r="AM27" s="40">
        <v>82.4</v>
      </c>
      <c r="AN27" s="40">
        <v>82.418999999999997</v>
      </c>
      <c r="AO27" s="40">
        <v>104.248</v>
      </c>
      <c r="AP27" s="40">
        <v>108.673</v>
      </c>
      <c r="AQ27" s="40">
        <v>108.673</v>
      </c>
      <c r="AR27" s="40">
        <v>119.205</v>
      </c>
    </row>
    <row r="28" spans="1:44" ht="15" customHeight="1">
      <c r="B28" s="11" t="str">
        <f>IF('Sumário | Summary'!P1=1,"Ativo Permanente","Permanent assets " )</f>
        <v>Ativo Permanente</v>
      </c>
      <c r="C28" s="6">
        <v>1600.7650000000001</v>
      </c>
      <c r="D28" s="6">
        <v>1781.367</v>
      </c>
      <c r="E28" s="6">
        <v>2375.3430000000003</v>
      </c>
      <c r="F28" s="6">
        <v>2485.2330000000002</v>
      </c>
      <c r="G28" s="6">
        <v>2298.605</v>
      </c>
      <c r="H28" s="6">
        <v>2518.7309999999998</v>
      </c>
      <c r="I28" s="6">
        <v>2026.847</v>
      </c>
      <c r="J28" s="6">
        <v>2215.0040000000004</v>
      </c>
      <c r="K28" s="6">
        <v>2167.9769999999999</v>
      </c>
      <c r="L28" s="6">
        <v>2134.1450000000004</v>
      </c>
      <c r="M28" s="6">
        <v>2082.8050000000003</v>
      </c>
      <c r="N28" s="6">
        <v>2089.1819999999998</v>
      </c>
      <c r="O28" s="127">
        <f t="shared" ref="O28:AF28" si="3">SUM(O29:O33)</f>
        <v>2079.018</v>
      </c>
      <c r="P28" s="127">
        <f t="shared" si="3"/>
        <v>2164.7060000000001</v>
      </c>
      <c r="Q28" s="127">
        <f t="shared" si="3"/>
        <v>2155.5530000000003</v>
      </c>
      <c r="R28" s="127">
        <f t="shared" si="3"/>
        <v>2501.9440000000004</v>
      </c>
      <c r="S28" s="127">
        <f t="shared" si="3"/>
        <v>2518.8489999999997</v>
      </c>
      <c r="T28" s="127">
        <f t="shared" si="3"/>
        <v>2509.9009999999998</v>
      </c>
      <c r="U28" s="127">
        <f t="shared" si="3"/>
        <v>2500.6889999999999</v>
      </c>
      <c r="V28" s="127">
        <f t="shared" si="3"/>
        <v>2528.826</v>
      </c>
      <c r="W28" s="127">
        <f t="shared" si="3"/>
        <v>2524.0120000000002</v>
      </c>
      <c r="X28" s="127">
        <f t="shared" si="3"/>
        <v>2514.2339999999999</v>
      </c>
      <c r="Y28" s="127">
        <f t="shared" si="3"/>
        <v>2014.51</v>
      </c>
      <c r="Z28" s="127">
        <f t="shared" si="3"/>
        <v>2289.5149999999999</v>
      </c>
      <c r="AA28" s="127">
        <f t="shared" si="3"/>
        <v>2173.6999999999998</v>
      </c>
      <c r="AB28" s="127">
        <f t="shared" si="3"/>
        <v>1845.9950000000001</v>
      </c>
      <c r="AC28" s="127">
        <f t="shared" si="3"/>
        <v>1874.0350000000001</v>
      </c>
      <c r="AD28" s="127">
        <f t="shared" si="3"/>
        <v>2041.037</v>
      </c>
      <c r="AE28" s="127">
        <f t="shared" si="3"/>
        <v>2042.173</v>
      </c>
      <c r="AF28" s="127">
        <f t="shared" si="3"/>
        <v>2040.8</v>
      </c>
      <c r="AG28" s="127">
        <v>2050.4769999999999</v>
      </c>
      <c r="AH28" s="127">
        <v>2035.5750000000003</v>
      </c>
      <c r="AI28" s="127">
        <f>SUM(AI29:AI33)</f>
        <v>894.99599999999998</v>
      </c>
      <c r="AJ28" s="127">
        <v>858.80399999999986</v>
      </c>
      <c r="AK28" s="127">
        <v>866.09999999999991</v>
      </c>
      <c r="AL28" s="127">
        <v>815.71400000000017</v>
      </c>
      <c r="AM28" s="127">
        <v>816.697</v>
      </c>
      <c r="AN28" s="127">
        <v>809.01599999999985</v>
      </c>
      <c r="AO28" s="127">
        <v>814.91499999999996</v>
      </c>
      <c r="AP28" s="127">
        <v>805.85599999999988</v>
      </c>
      <c r="AQ28" s="127">
        <v>801.82999999999993</v>
      </c>
      <c r="AR28" s="127">
        <f>SUM(AR29:AR33)</f>
        <v>800.79199999999992</v>
      </c>
    </row>
    <row r="29" spans="1:44" ht="15" customHeight="1">
      <c r="A29" t="s">
        <v>172</v>
      </c>
      <c r="B29" s="21" t="str">
        <f>IF('Sumário | Summary'!P1=1,"Investimentos","Investments")</f>
        <v>Investimentos</v>
      </c>
      <c r="C29" s="18">
        <v>15.801</v>
      </c>
      <c r="D29" s="18">
        <v>19.161999999999999</v>
      </c>
      <c r="E29" s="18">
        <v>22.952000000000002</v>
      </c>
      <c r="F29" s="18">
        <v>24.045999999999999</v>
      </c>
      <c r="G29" s="18">
        <v>32.521999999999998</v>
      </c>
      <c r="H29" s="18">
        <v>31.117999999999999</v>
      </c>
      <c r="I29" s="18">
        <v>30.215</v>
      </c>
      <c r="J29" s="18">
        <v>30.100999999999999</v>
      </c>
      <c r="K29" s="18">
        <v>29.402000000000001</v>
      </c>
      <c r="L29" s="18">
        <v>29.818000000000001</v>
      </c>
      <c r="M29" s="18">
        <v>19.783999999999999</v>
      </c>
      <c r="N29" s="18">
        <v>18.696999999999999</v>
      </c>
      <c r="O29" s="18">
        <v>17.893000000000001</v>
      </c>
      <c r="P29" s="18">
        <v>17.266999999999999</v>
      </c>
      <c r="Q29" s="18">
        <v>17.931000000000001</v>
      </c>
      <c r="R29" s="18">
        <v>39.948999999999998</v>
      </c>
      <c r="S29" s="18">
        <v>39.97</v>
      </c>
      <c r="T29" s="18">
        <v>39.905000000000001</v>
      </c>
      <c r="U29" s="18">
        <v>39.668999999999997</v>
      </c>
      <c r="V29" s="18">
        <v>35.244</v>
      </c>
      <c r="W29" s="40">
        <v>39.345999999999997</v>
      </c>
      <c r="X29" s="40">
        <v>38.622999999999998</v>
      </c>
      <c r="Y29" s="40">
        <v>37.996000000000002</v>
      </c>
      <c r="Z29" s="40">
        <v>374.12099999999998</v>
      </c>
      <c r="AA29" s="40">
        <v>373.19900000000001</v>
      </c>
      <c r="AB29" s="40">
        <v>52.335999999999999</v>
      </c>
      <c r="AC29" s="40">
        <v>53.404000000000003</v>
      </c>
      <c r="AD29" s="40">
        <v>92.948999999999998</v>
      </c>
      <c r="AE29" s="40">
        <v>95.626000000000005</v>
      </c>
      <c r="AF29" s="40">
        <v>94.03</v>
      </c>
      <c r="AG29" s="40">
        <v>97.631</v>
      </c>
      <c r="AH29" s="40">
        <v>92.468999999999994</v>
      </c>
      <c r="AI29" s="40">
        <v>95.331000000000003</v>
      </c>
      <c r="AJ29" s="40">
        <v>95.381</v>
      </c>
      <c r="AK29" s="40">
        <v>89.436999999999998</v>
      </c>
      <c r="AL29" s="40">
        <v>37.296999999999997</v>
      </c>
      <c r="AM29" s="40">
        <v>35.561999999999998</v>
      </c>
      <c r="AN29" s="40">
        <v>35.698999999999998</v>
      </c>
      <c r="AO29" s="40">
        <v>32.386000000000003</v>
      </c>
      <c r="AP29" s="40">
        <v>32.482999999999997</v>
      </c>
      <c r="AQ29" s="40">
        <v>29.605</v>
      </c>
      <c r="AR29" s="40">
        <v>28.603999999999999</v>
      </c>
    </row>
    <row r="30" spans="1:44" ht="15" customHeight="1">
      <c r="A30" t="s">
        <v>173</v>
      </c>
      <c r="B30" s="21" t="str">
        <f>IF('Sumário | Summary'!P1=1,"Propriedades para investimento","Investment properties")</f>
        <v>Propriedades para investimento</v>
      </c>
      <c r="C30" s="18">
        <v>1581.232</v>
      </c>
      <c r="D30" s="18">
        <v>1757.6949999999999</v>
      </c>
      <c r="E30" s="18">
        <v>2347.681</v>
      </c>
      <c r="F30" s="18">
        <v>2455.9760000000001</v>
      </c>
      <c r="G30" s="18">
        <v>2259.3389999999999</v>
      </c>
      <c r="H30" s="18">
        <v>2478.5149999999999</v>
      </c>
      <c r="I30" s="18">
        <v>1989.8150000000001</v>
      </c>
      <c r="J30" s="18">
        <v>2184</v>
      </c>
      <c r="K30" s="18">
        <v>2137.5479999999998</v>
      </c>
      <c r="L30" s="18">
        <v>2103.5120000000002</v>
      </c>
      <c r="M30" s="18">
        <v>2058.7620000000002</v>
      </c>
      <c r="N30" s="18">
        <v>1875.117</v>
      </c>
      <c r="O30" s="18">
        <v>1866.8579999999999</v>
      </c>
      <c r="P30" s="18">
        <v>1953.0540000000001</v>
      </c>
      <c r="Q30" s="18">
        <v>1947.578</v>
      </c>
      <c r="R30" s="18">
        <v>2451.7040000000002</v>
      </c>
      <c r="S30" s="18">
        <v>2471.2959999999998</v>
      </c>
      <c r="T30" s="18">
        <v>2461.1909999999998</v>
      </c>
      <c r="U30" s="18">
        <v>2452.105</v>
      </c>
      <c r="V30" s="18">
        <v>2482.0549999999998</v>
      </c>
      <c r="W30" s="40">
        <v>2472.3420000000001</v>
      </c>
      <c r="X30" s="40">
        <v>2462.7750000000001</v>
      </c>
      <c r="Y30" s="40">
        <v>1963.5550000000001</v>
      </c>
      <c r="Z30" s="40">
        <v>1902.643</v>
      </c>
      <c r="AA30" s="40">
        <v>1787.597</v>
      </c>
      <c r="AB30" s="40">
        <v>1780.7380000000001</v>
      </c>
      <c r="AC30" s="40">
        <v>1807.7460000000001</v>
      </c>
      <c r="AD30" s="40">
        <v>1934.26</v>
      </c>
      <c r="AE30" s="40">
        <v>1933.077</v>
      </c>
      <c r="AF30" s="40">
        <v>1933.6220000000001</v>
      </c>
      <c r="AG30" s="40">
        <v>1938.2909999999999</v>
      </c>
      <c r="AH30" s="40">
        <v>1931.65</v>
      </c>
      <c r="AI30" s="40">
        <v>793.96299999999997</v>
      </c>
      <c r="AJ30" s="40">
        <v>753.86699999999996</v>
      </c>
      <c r="AK30" s="40">
        <v>768.01199999999994</v>
      </c>
      <c r="AL30" s="40">
        <v>769.96900000000005</v>
      </c>
      <c r="AM30" s="40">
        <v>772.76099999999997</v>
      </c>
      <c r="AN30" s="40">
        <v>764.928</v>
      </c>
      <c r="AO30" s="40">
        <v>773.36900000000003</v>
      </c>
      <c r="AP30" s="40">
        <v>764.48</v>
      </c>
      <c r="AQ30" s="40">
        <v>763.60299999999995</v>
      </c>
      <c r="AR30" s="40">
        <v>770.15599999999995</v>
      </c>
    </row>
    <row r="31" spans="1:44" ht="15" customHeight="1">
      <c r="A31" t="s">
        <v>174</v>
      </c>
      <c r="B31" s="21" t="str">
        <f>IF('Sumário | Summary'!P1=1,"Imobilizado","Fixed Assets")</f>
        <v>Imobilizado</v>
      </c>
      <c r="C31" s="18">
        <v>3.2549999999999999</v>
      </c>
      <c r="D31" s="18">
        <v>3.2349999999999999</v>
      </c>
      <c r="E31" s="18">
        <v>3.2210000000000001</v>
      </c>
      <c r="F31" s="18">
        <v>3.641</v>
      </c>
      <c r="G31" s="18">
        <v>5.2729999999999997</v>
      </c>
      <c r="H31" s="18">
        <v>7.6769999999999996</v>
      </c>
      <c r="I31" s="18">
        <v>6.367</v>
      </c>
      <c r="J31" s="18">
        <v>0.47799999999999998</v>
      </c>
      <c r="K31" s="18">
        <v>0.55600000000000005</v>
      </c>
      <c r="L31" s="18">
        <v>0.36399999999999999</v>
      </c>
      <c r="M31" s="18">
        <v>0.32600000000000001</v>
      </c>
      <c r="N31" s="18">
        <v>191.38499999999999</v>
      </c>
      <c r="O31" s="18">
        <v>190.26499999999999</v>
      </c>
      <c r="P31" s="18">
        <v>190.39400000000001</v>
      </c>
      <c r="Q31" s="18">
        <v>189.577</v>
      </c>
      <c r="R31" s="18">
        <v>2.5270000000000001</v>
      </c>
      <c r="S31" s="18">
        <v>1.121</v>
      </c>
      <c r="T31" s="18">
        <v>2.1219999999999999</v>
      </c>
      <c r="U31" s="18">
        <v>0.97299999999999998</v>
      </c>
      <c r="V31" s="18">
        <v>1.9930000000000001</v>
      </c>
      <c r="W31" s="40">
        <v>1.91</v>
      </c>
      <c r="X31" s="40">
        <v>1.83</v>
      </c>
      <c r="Y31" s="40">
        <v>0.65800000000000003</v>
      </c>
      <c r="Z31" s="40">
        <v>0.32300000000000001</v>
      </c>
      <c r="AA31" s="40">
        <v>0.28899999999999998</v>
      </c>
      <c r="AB31" s="40">
        <v>0.26500000000000001</v>
      </c>
      <c r="AC31" s="40">
        <v>0.249</v>
      </c>
      <c r="AD31" s="40">
        <v>0.23300000000000001</v>
      </c>
      <c r="AE31" s="40">
        <v>0.22</v>
      </c>
      <c r="AF31" s="40">
        <v>0.20499999999999999</v>
      </c>
      <c r="AG31" s="40">
        <v>0.92200000000000004</v>
      </c>
      <c r="AH31" s="40">
        <v>0.92</v>
      </c>
      <c r="AI31" s="40">
        <v>0.80900000000000005</v>
      </c>
      <c r="AJ31" s="40">
        <v>1.1080000000000001</v>
      </c>
      <c r="AK31" s="40">
        <v>0.71299999999999997</v>
      </c>
      <c r="AL31" s="40">
        <v>0.69499999999999995</v>
      </c>
      <c r="AM31" s="40">
        <v>0.67600000000000005</v>
      </c>
      <c r="AN31" s="40">
        <v>0.877</v>
      </c>
      <c r="AO31" s="40">
        <v>0.82299999999999995</v>
      </c>
      <c r="AP31" s="40">
        <v>0.76200000000000001</v>
      </c>
      <c r="AQ31" s="40">
        <v>0.70699999999999996</v>
      </c>
      <c r="AR31" s="40">
        <v>0.77600000000000002</v>
      </c>
    </row>
    <row r="32" spans="1:44" ht="15" customHeight="1">
      <c r="A32" t="s">
        <v>175</v>
      </c>
      <c r="B32" s="21" t="str">
        <f>IF('Sumário | Summary'!P1=1,"Intangíveis","Intangible")</f>
        <v>Intangíveis</v>
      </c>
      <c r="C32" s="18">
        <v>0.47699999999999998</v>
      </c>
      <c r="D32" s="18">
        <v>1.2749999999999999</v>
      </c>
      <c r="E32" s="18">
        <v>1.4890000000000001</v>
      </c>
      <c r="F32" s="18">
        <v>1.57</v>
      </c>
      <c r="G32" s="18">
        <v>1.4710000000000001</v>
      </c>
      <c r="H32" s="18">
        <v>1.421</v>
      </c>
      <c r="I32" s="18">
        <v>0.45</v>
      </c>
      <c r="J32" s="18">
        <v>0.42499999999999999</v>
      </c>
      <c r="K32" s="18">
        <v>0.47099999999999997</v>
      </c>
      <c r="L32" s="18">
        <v>0.45100000000000001</v>
      </c>
      <c r="M32" s="18">
        <v>3.9329999999999998</v>
      </c>
      <c r="N32" s="18">
        <v>3.9830000000000001</v>
      </c>
      <c r="O32" s="18">
        <v>4.0019999999999998</v>
      </c>
      <c r="P32" s="18">
        <v>3.9910000000000001</v>
      </c>
      <c r="Q32" s="18">
        <v>0.46700000000000003</v>
      </c>
      <c r="R32" s="18">
        <v>7.7640000000000002</v>
      </c>
      <c r="S32" s="18">
        <v>6.4619999999999997</v>
      </c>
      <c r="T32" s="18">
        <v>6.6829999999999998</v>
      </c>
      <c r="U32" s="18">
        <v>7.9420000000000002</v>
      </c>
      <c r="V32" s="18">
        <v>9.5340000000000007</v>
      </c>
      <c r="W32" s="40">
        <v>10.414</v>
      </c>
      <c r="X32" s="40">
        <v>11.006</v>
      </c>
      <c r="Y32" s="40">
        <v>12.301</v>
      </c>
      <c r="Z32" s="40">
        <v>12.428000000000001</v>
      </c>
      <c r="AA32" s="40">
        <v>12.615</v>
      </c>
      <c r="AB32" s="40">
        <v>12.656000000000001</v>
      </c>
      <c r="AC32" s="40">
        <v>12.635999999999999</v>
      </c>
      <c r="AD32" s="40">
        <v>13.595000000000001</v>
      </c>
      <c r="AE32" s="40">
        <v>13.25</v>
      </c>
      <c r="AF32" s="40">
        <v>12.943</v>
      </c>
      <c r="AG32" s="40">
        <v>13.632999999999999</v>
      </c>
      <c r="AH32" s="40">
        <v>10.536</v>
      </c>
      <c r="AI32" s="40">
        <v>4.8929999999999998</v>
      </c>
      <c r="AJ32" s="40">
        <v>8.4480000000000004</v>
      </c>
      <c r="AK32" s="40">
        <v>7.9379999999999997</v>
      </c>
      <c r="AL32" s="40">
        <v>7.7530000000000001</v>
      </c>
      <c r="AM32" s="40">
        <v>7.6980000000000004</v>
      </c>
      <c r="AN32" s="40">
        <v>7.5119999999999996</v>
      </c>
      <c r="AO32" s="40">
        <v>8.3369999999999997</v>
      </c>
      <c r="AP32" s="40">
        <v>8.1310000000000002</v>
      </c>
      <c r="AQ32" s="40">
        <v>7.915</v>
      </c>
      <c r="AR32" s="40">
        <v>1.256</v>
      </c>
    </row>
    <row r="33" spans="1:44" ht="15" customHeight="1">
      <c r="A33" t="s">
        <v>177</v>
      </c>
      <c r="B33" s="21" t="str">
        <f>IF('Sumário | Summary'!P1=1,"Outros Investimentos","Other Investments")</f>
        <v>Outros Investimentos</v>
      </c>
      <c r="C33" s="18" t="s">
        <v>18</v>
      </c>
      <c r="D33" s="18" t="s">
        <v>18</v>
      </c>
      <c r="E33" s="18" t="s">
        <v>18</v>
      </c>
      <c r="F33" s="18" t="s">
        <v>18</v>
      </c>
      <c r="G33" s="18" t="s">
        <v>18</v>
      </c>
      <c r="H33" s="18" t="s">
        <v>18</v>
      </c>
      <c r="I33" s="18" t="s">
        <v>18</v>
      </c>
      <c r="J33" s="18" t="s">
        <v>18</v>
      </c>
      <c r="K33" s="18" t="s">
        <v>18</v>
      </c>
      <c r="L33" s="18" t="s">
        <v>18</v>
      </c>
      <c r="M33" s="18" t="s">
        <v>18</v>
      </c>
      <c r="N33" s="18" t="s">
        <v>18</v>
      </c>
      <c r="O33" s="18">
        <v>0</v>
      </c>
      <c r="P33" s="18">
        <v>0</v>
      </c>
      <c r="Q33" s="18">
        <v>0</v>
      </c>
      <c r="R33" s="18">
        <v>0</v>
      </c>
      <c r="S33" s="18">
        <v>0</v>
      </c>
      <c r="T33" s="18">
        <v>0</v>
      </c>
      <c r="U33" s="18">
        <v>0</v>
      </c>
      <c r="V33" s="18">
        <v>0</v>
      </c>
      <c r="W33" s="18">
        <v>0</v>
      </c>
      <c r="X33" s="18">
        <v>0</v>
      </c>
      <c r="Y33" s="18">
        <v>0</v>
      </c>
      <c r="Z33" s="18">
        <v>0</v>
      </c>
      <c r="AA33" s="40">
        <v>0</v>
      </c>
      <c r="AB33" s="40">
        <v>0</v>
      </c>
      <c r="AC33" s="40">
        <v>0</v>
      </c>
      <c r="AD33" s="40">
        <v>0</v>
      </c>
      <c r="AE33" s="40">
        <v>0</v>
      </c>
      <c r="AF33" s="40">
        <v>0</v>
      </c>
      <c r="AG33" s="40">
        <v>0</v>
      </c>
      <c r="AH33" s="40">
        <v>0</v>
      </c>
      <c r="AI33" s="40">
        <v>0</v>
      </c>
      <c r="AJ33" s="40">
        <v>0</v>
      </c>
      <c r="AK33" s="40">
        <v>0</v>
      </c>
      <c r="AL33" s="40">
        <v>0</v>
      </c>
      <c r="AM33" s="40">
        <v>0</v>
      </c>
      <c r="AN33" s="40">
        <v>0</v>
      </c>
      <c r="AO33" s="40">
        <v>0</v>
      </c>
      <c r="AP33" s="40">
        <v>0</v>
      </c>
      <c r="AQ33" s="40">
        <v>0</v>
      </c>
      <c r="AR33" s="40">
        <v>0</v>
      </c>
    </row>
    <row r="34" spans="1:44" ht="14.25" customHeight="1">
      <c r="A34" t="s">
        <v>123</v>
      </c>
      <c r="B34" s="22" t="str">
        <f>IF('Sumário | Summary'!P1=1,"PASSIVO","Liabilities")</f>
        <v>PASSIVO</v>
      </c>
      <c r="C34" s="127">
        <v>2510.6990000000001</v>
      </c>
      <c r="D34" s="127">
        <v>2486.3599999999997</v>
      </c>
      <c r="E34" s="127">
        <v>2558.1240000000003</v>
      </c>
      <c r="F34" s="127">
        <v>2668.7550000000001</v>
      </c>
      <c r="G34" s="127">
        <v>2585.6760000000004</v>
      </c>
      <c r="H34" s="127">
        <v>2613.5970000000002</v>
      </c>
      <c r="I34" s="127">
        <v>1862.61</v>
      </c>
      <c r="J34" s="127">
        <v>1646.046</v>
      </c>
      <c r="K34" s="127">
        <v>1798.29</v>
      </c>
      <c r="L34" s="127">
        <v>1724.1379999999999</v>
      </c>
      <c r="M34" s="127">
        <v>1693.259</v>
      </c>
      <c r="N34" s="127">
        <v>1666.547</v>
      </c>
      <c r="O34" s="127">
        <f t="shared" ref="O34:AF34" si="4">O35+O52</f>
        <v>1597.3339999999998</v>
      </c>
      <c r="P34" s="127">
        <f t="shared" si="4"/>
        <v>1930.7729999999997</v>
      </c>
      <c r="Q34" s="127">
        <f t="shared" si="4"/>
        <v>1676.1459999999997</v>
      </c>
      <c r="R34" s="127">
        <f t="shared" si="4"/>
        <v>1747.0169999999998</v>
      </c>
      <c r="S34" s="127">
        <f t="shared" si="4"/>
        <v>1644.4619999999998</v>
      </c>
      <c r="T34" s="127">
        <f t="shared" si="4"/>
        <v>1624.8650000000002</v>
      </c>
      <c r="U34" s="127">
        <f t="shared" si="4"/>
        <v>1577.1019999999996</v>
      </c>
      <c r="V34" s="127">
        <f t="shared" si="4"/>
        <v>1583.0309999999999</v>
      </c>
      <c r="W34" s="127">
        <f t="shared" si="4"/>
        <v>1500.6830000000002</v>
      </c>
      <c r="X34" s="127">
        <f t="shared" si="4"/>
        <v>1801.3019999999999</v>
      </c>
      <c r="Y34" s="127">
        <f t="shared" si="4"/>
        <v>1769.2219999999998</v>
      </c>
      <c r="Z34" s="127">
        <f t="shared" si="4"/>
        <v>1755.8650000000002</v>
      </c>
      <c r="AA34" s="127">
        <f t="shared" si="4"/>
        <v>1566.8760000000002</v>
      </c>
      <c r="AB34" s="127">
        <f t="shared" si="4"/>
        <v>1402.095</v>
      </c>
      <c r="AC34" s="127">
        <f t="shared" si="4"/>
        <v>1183.067</v>
      </c>
      <c r="AD34" s="127">
        <f t="shared" si="4"/>
        <v>1177.0559999999998</v>
      </c>
      <c r="AE34" s="127">
        <f t="shared" si="4"/>
        <v>1174.1799999999998</v>
      </c>
      <c r="AF34" s="127">
        <f t="shared" si="4"/>
        <v>1142.8220000000001</v>
      </c>
      <c r="AG34" s="127">
        <v>1159.297</v>
      </c>
      <c r="AH34" s="127">
        <v>1127.0930000000001</v>
      </c>
      <c r="AI34" s="127">
        <f>AI35+AI52</f>
        <v>1419.212</v>
      </c>
      <c r="AJ34" s="127">
        <v>1223.3400000000001</v>
      </c>
      <c r="AK34" s="127">
        <v>1064.0229999999999</v>
      </c>
      <c r="AL34" s="127">
        <v>959.0390000000001</v>
      </c>
      <c r="AM34" s="127">
        <v>965.61599999999999</v>
      </c>
      <c r="AN34" s="127">
        <v>604.34900000000005</v>
      </c>
      <c r="AO34" s="127">
        <v>609.173</v>
      </c>
      <c r="AP34" s="127">
        <v>585.5619999999999</v>
      </c>
      <c r="AQ34" s="127">
        <v>563.16700000000003</v>
      </c>
      <c r="AR34" s="127">
        <f>AR35+AR52</f>
        <v>558.25299999999993</v>
      </c>
    </row>
    <row r="35" spans="1:44" ht="15" customHeight="1">
      <c r="A35" t="s">
        <v>118</v>
      </c>
      <c r="B35" s="11" t="str">
        <f>IF('Sumário | Summary'!P1=1,"Passivo Circulante","Current Liabilities")</f>
        <v>Passivo Circulante</v>
      </c>
      <c r="C35" s="6">
        <v>460.916</v>
      </c>
      <c r="D35" s="6">
        <v>606.85659999999996</v>
      </c>
      <c r="E35" s="6">
        <v>595.7894</v>
      </c>
      <c r="F35" s="6">
        <v>533.60580000000004</v>
      </c>
      <c r="G35" s="6">
        <v>504.8254</v>
      </c>
      <c r="H35" s="6">
        <v>601.41800000000001</v>
      </c>
      <c r="I35" s="6">
        <v>402.66300000000001</v>
      </c>
      <c r="J35" s="6">
        <v>317.79599999999999</v>
      </c>
      <c r="K35" s="6">
        <v>335.97699999999998</v>
      </c>
      <c r="L35" s="6">
        <v>303.19200000000001</v>
      </c>
      <c r="M35" s="6">
        <v>384.80099999999999</v>
      </c>
      <c r="N35" s="6">
        <v>348.971</v>
      </c>
      <c r="O35" s="127">
        <f t="shared" ref="O35:AF35" si="5">SUM(O36:O51)</f>
        <v>334.47600000000006</v>
      </c>
      <c r="P35" s="127">
        <f t="shared" si="5"/>
        <v>406.28399999999999</v>
      </c>
      <c r="Q35" s="127">
        <f t="shared" si="5"/>
        <v>271.55099999999999</v>
      </c>
      <c r="R35" s="127">
        <f t="shared" si="5"/>
        <v>255.59599999999998</v>
      </c>
      <c r="S35" s="127">
        <f t="shared" si="5"/>
        <v>207.38799999999998</v>
      </c>
      <c r="T35" s="127">
        <f t="shared" si="5"/>
        <v>183.27599999999998</v>
      </c>
      <c r="U35" s="127">
        <f t="shared" si="5"/>
        <v>185.94799999999995</v>
      </c>
      <c r="V35" s="127">
        <f t="shared" si="5"/>
        <v>194.36</v>
      </c>
      <c r="W35" s="127">
        <f t="shared" si="5"/>
        <v>175.41299999999998</v>
      </c>
      <c r="X35" s="127">
        <f t="shared" si="5"/>
        <v>287.19900000000001</v>
      </c>
      <c r="Y35" s="127">
        <f t="shared" si="5"/>
        <v>295.81</v>
      </c>
      <c r="Z35" s="127">
        <f t="shared" si="5"/>
        <v>335.23000000000013</v>
      </c>
      <c r="AA35" s="127">
        <f t="shared" si="5"/>
        <v>215.68099999999998</v>
      </c>
      <c r="AB35" s="127">
        <f t="shared" si="5"/>
        <v>200.35699999999997</v>
      </c>
      <c r="AC35" s="127">
        <f t="shared" si="5"/>
        <v>71.72999999999999</v>
      </c>
      <c r="AD35" s="127">
        <f t="shared" si="5"/>
        <v>87.616</v>
      </c>
      <c r="AE35" s="127">
        <f t="shared" si="5"/>
        <v>76.451999999999984</v>
      </c>
      <c r="AF35" s="127">
        <f t="shared" si="5"/>
        <v>95.182999999999993</v>
      </c>
      <c r="AG35" s="127">
        <v>108.99400000000001</v>
      </c>
      <c r="AH35" s="127">
        <v>75.873000000000005</v>
      </c>
      <c r="AI35" s="127">
        <f>SUM(AI36:AI51)</f>
        <v>459.94599999999991</v>
      </c>
      <c r="AJ35" s="127">
        <v>326.90900000000011</v>
      </c>
      <c r="AK35" s="127">
        <v>204.10800000000003</v>
      </c>
      <c r="AL35" s="127">
        <v>217.11699999999996</v>
      </c>
      <c r="AM35" s="127">
        <v>215.803</v>
      </c>
      <c r="AN35" s="127">
        <v>97.78</v>
      </c>
      <c r="AO35" s="127">
        <v>116.41200000000001</v>
      </c>
      <c r="AP35" s="127">
        <v>95.971000000000004</v>
      </c>
      <c r="AQ35" s="127">
        <v>69.091999999999999</v>
      </c>
      <c r="AR35" s="127">
        <f>SUM(AR36:AR51)</f>
        <v>75.099000000000004</v>
      </c>
    </row>
    <row r="36" spans="1:44" ht="15" customHeight="1">
      <c r="A36" t="s">
        <v>178</v>
      </c>
      <c r="B36" s="21" t="str">
        <f>IF('Sumário | Summary'!P1=1,"Empréstimos e financiamentos","Loans and Financing")</f>
        <v>Empréstimos e financiamentos</v>
      </c>
      <c r="C36" s="18">
        <v>68.334000000000003</v>
      </c>
      <c r="D36" s="18">
        <v>194.434</v>
      </c>
      <c r="E36" s="18">
        <v>227.84299999999999</v>
      </c>
      <c r="F36" s="18">
        <v>238.17400000000001</v>
      </c>
      <c r="G36" s="18">
        <v>253.31200000000001</v>
      </c>
      <c r="H36" s="18">
        <v>254.375</v>
      </c>
      <c r="I36" s="18">
        <v>64.619</v>
      </c>
      <c r="J36" s="18">
        <v>62.280999999999999</v>
      </c>
      <c r="K36" s="18">
        <v>63.908999999999999</v>
      </c>
      <c r="L36" s="18">
        <v>63.378999999999998</v>
      </c>
      <c r="M36" s="18">
        <v>66.486000000000004</v>
      </c>
      <c r="N36" s="18">
        <v>37.26</v>
      </c>
      <c r="O36" s="18">
        <v>46.152999999999999</v>
      </c>
      <c r="P36" s="18">
        <v>36.819000000000003</v>
      </c>
      <c r="Q36" s="18">
        <v>43.877000000000002</v>
      </c>
      <c r="R36" s="18">
        <v>2.2349999999999999</v>
      </c>
      <c r="S36" s="18">
        <v>4.3330000000000002</v>
      </c>
      <c r="T36" s="18">
        <v>4.4039999999999999</v>
      </c>
      <c r="U36" s="18">
        <v>4.49</v>
      </c>
      <c r="V36" s="18">
        <v>4.5780000000000003</v>
      </c>
      <c r="W36" s="40">
        <v>4.681</v>
      </c>
      <c r="X36" s="40">
        <v>4.76</v>
      </c>
      <c r="Y36" s="40">
        <v>4.8529999999999998</v>
      </c>
      <c r="Z36" s="40">
        <v>0</v>
      </c>
      <c r="AA36" s="40">
        <v>0</v>
      </c>
      <c r="AB36" s="40">
        <v>0</v>
      </c>
      <c r="AC36" s="40">
        <v>0</v>
      </c>
      <c r="AD36" s="40">
        <v>0</v>
      </c>
      <c r="AE36" s="40">
        <v>0</v>
      </c>
      <c r="AF36" s="40">
        <v>0</v>
      </c>
      <c r="AG36" s="40">
        <v>0</v>
      </c>
      <c r="AH36" s="40">
        <v>0</v>
      </c>
      <c r="AI36" s="40">
        <v>0</v>
      </c>
      <c r="AJ36" s="40">
        <v>0</v>
      </c>
      <c r="AK36" s="40">
        <v>0</v>
      </c>
      <c r="AL36" s="40">
        <v>0</v>
      </c>
      <c r="AM36" s="40">
        <v>0</v>
      </c>
      <c r="AN36" s="40">
        <v>0</v>
      </c>
      <c r="AO36" s="40">
        <v>0</v>
      </c>
      <c r="AP36" s="40">
        <v>0</v>
      </c>
      <c r="AQ36" s="40">
        <v>0</v>
      </c>
      <c r="AR36" s="40">
        <v>0</v>
      </c>
    </row>
    <row r="37" spans="1:44" ht="15" customHeight="1">
      <c r="A37" t="s">
        <v>179</v>
      </c>
      <c r="B37" s="21" t="str">
        <f>IF('Sumário | Summary'!P1=1,"Debêntures","Debentures")</f>
        <v>Debêntures</v>
      </c>
      <c r="C37" s="18">
        <v>258.84500000000003</v>
      </c>
      <c r="D37" s="18">
        <v>280.23200000000003</v>
      </c>
      <c r="E37" s="18">
        <v>225.2</v>
      </c>
      <c r="F37" s="18">
        <v>152.761</v>
      </c>
      <c r="G37" s="18">
        <v>98.801000000000002</v>
      </c>
      <c r="H37" s="18">
        <v>83.885999999999996</v>
      </c>
      <c r="I37" s="18">
        <v>141.858</v>
      </c>
      <c r="J37" s="18">
        <v>158.46600000000001</v>
      </c>
      <c r="K37" s="18">
        <v>183.84800000000001</v>
      </c>
      <c r="L37" s="18">
        <v>194.01300000000001</v>
      </c>
      <c r="M37" s="18">
        <v>255.50200000000001</v>
      </c>
      <c r="N37" s="18">
        <v>261.05900000000003</v>
      </c>
      <c r="O37" s="18">
        <v>236.60400000000001</v>
      </c>
      <c r="P37" s="18">
        <v>243.74799999999999</v>
      </c>
      <c r="Q37" s="18">
        <v>120.00700000000001</v>
      </c>
      <c r="R37" s="18">
        <v>134.505</v>
      </c>
      <c r="S37" s="18">
        <v>140.07599999999999</v>
      </c>
      <c r="T37" s="18">
        <v>130.655</v>
      </c>
      <c r="U37" s="18">
        <v>131.654</v>
      </c>
      <c r="V37" s="18">
        <v>129.15899999999999</v>
      </c>
      <c r="W37" s="40">
        <v>122.914</v>
      </c>
      <c r="X37" s="40">
        <v>244.339</v>
      </c>
      <c r="Y37" s="40">
        <v>245.52099999999999</v>
      </c>
      <c r="Z37" s="40">
        <v>251.095</v>
      </c>
      <c r="AA37" s="40">
        <v>151.87799999999999</v>
      </c>
      <c r="AB37" s="40">
        <v>122.285</v>
      </c>
      <c r="AC37" s="40">
        <v>13.502000000000001</v>
      </c>
      <c r="AD37" s="40">
        <v>13.502000000000001</v>
      </c>
      <c r="AE37" s="40">
        <v>19.172000000000001</v>
      </c>
      <c r="AF37" s="40">
        <v>41.597000000000001</v>
      </c>
      <c r="AG37" s="40">
        <v>47.570999999999998</v>
      </c>
      <c r="AH37" s="40">
        <v>13.744999999999999</v>
      </c>
      <c r="AI37" s="40">
        <v>115.467</v>
      </c>
      <c r="AJ37" s="40">
        <v>137.292</v>
      </c>
      <c r="AK37" s="40">
        <v>46.868000000000002</v>
      </c>
      <c r="AL37" s="40">
        <v>134.48699999999999</v>
      </c>
      <c r="AM37" s="40">
        <v>146.77699999999999</v>
      </c>
      <c r="AN37" s="40">
        <v>12.638999999999999</v>
      </c>
      <c r="AO37" s="40">
        <v>12.914</v>
      </c>
      <c r="AP37" s="40">
        <v>12.94</v>
      </c>
      <c r="AQ37" s="40">
        <v>12.972</v>
      </c>
      <c r="AR37" s="40">
        <v>13.009</v>
      </c>
    </row>
    <row r="38" spans="1:44" ht="15" customHeight="1">
      <c r="A38" t="s">
        <v>190</v>
      </c>
      <c r="B38" s="39" t="str">
        <f>IF('Sumário | Summary'!P1=1,"Notas Promissórias","Promissory Notes")</f>
        <v>Notas Promissórias</v>
      </c>
      <c r="C38" s="18">
        <v>0</v>
      </c>
      <c r="D38" s="18">
        <v>0</v>
      </c>
      <c r="E38" s="18">
        <v>19.146999999999998</v>
      </c>
      <c r="F38" s="18">
        <v>24.106999999999999</v>
      </c>
      <c r="G38" s="18">
        <v>28.611999999999998</v>
      </c>
      <c r="H38" s="18">
        <v>168.25399999999999</v>
      </c>
      <c r="I38" s="18">
        <v>35.866</v>
      </c>
      <c r="J38" s="18">
        <v>39.091999999999999</v>
      </c>
      <c r="K38" s="18">
        <v>0</v>
      </c>
      <c r="L38" s="18">
        <v>0</v>
      </c>
      <c r="M38" s="18">
        <v>0</v>
      </c>
      <c r="N38" s="18">
        <v>0</v>
      </c>
      <c r="O38" s="18">
        <v>0</v>
      </c>
      <c r="P38" s="18">
        <v>0</v>
      </c>
      <c r="Q38" s="18">
        <v>0</v>
      </c>
      <c r="R38" s="18">
        <v>0</v>
      </c>
      <c r="S38" s="18">
        <v>0</v>
      </c>
      <c r="T38" s="18">
        <v>0</v>
      </c>
      <c r="U38" s="18">
        <v>0</v>
      </c>
      <c r="V38" s="18">
        <v>0</v>
      </c>
      <c r="W38" s="40">
        <v>0</v>
      </c>
      <c r="X38" s="40">
        <v>0</v>
      </c>
      <c r="Y38" s="40">
        <v>0</v>
      </c>
      <c r="Z38" s="40">
        <v>0</v>
      </c>
      <c r="AA38" s="40">
        <v>0</v>
      </c>
      <c r="AB38" s="40">
        <v>0</v>
      </c>
      <c r="AC38" s="40">
        <v>0</v>
      </c>
      <c r="AD38" s="40">
        <v>0</v>
      </c>
      <c r="AE38" s="40">
        <v>0</v>
      </c>
      <c r="AF38" s="40">
        <v>0</v>
      </c>
      <c r="AG38" s="40">
        <v>0</v>
      </c>
      <c r="AH38" s="40">
        <v>0</v>
      </c>
      <c r="AI38" s="40">
        <v>0</v>
      </c>
      <c r="AJ38" s="40">
        <v>0</v>
      </c>
      <c r="AK38" s="40">
        <v>0</v>
      </c>
      <c r="AL38" s="40">
        <v>0</v>
      </c>
      <c r="AM38" s="40">
        <v>0</v>
      </c>
      <c r="AN38" s="40">
        <v>0</v>
      </c>
      <c r="AO38" s="40">
        <v>0</v>
      </c>
      <c r="AP38" s="40">
        <v>0</v>
      </c>
      <c r="AQ38" s="40">
        <v>0</v>
      </c>
      <c r="AR38" s="40">
        <v>0</v>
      </c>
    </row>
    <row r="39" spans="1:44" ht="15" customHeight="1">
      <c r="A39" t="s">
        <v>180</v>
      </c>
      <c r="B39" s="21" t="str">
        <f>IF('Sumário | Summary'!P1=1,"Fornecedores","Suppliers")</f>
        <v>Fornecedores</v>
      </c>
      <c r="C39" s="18">
        <v>30.667999999999999</v>
      </c>
      <c r="D39" s="18">
        <v>31.76</v>
      </c>
      <c r="E39" s="18">
        <v>25.312999999999999</v>
      </c>
      <c r="F39" s="18">
        <v>19.702999999999999</v>
      </c>
      <c r="G39" s="18">
        <v>17.247</v>
      </c>
      <c r="H39" s="18">
        <v>16.114000000000001</v>
      </c>
      <c r="I39" s="18">
        <v>11.127000000000001</v>
      </c>
      <c r="J39" s="18">
        <v>11.151</v>
      </c>
      <c r="K39" s="18">
        <v>9.4469999999999992</v>
      </c>
      <c r="L39" s="18">
        <v>7.7430000000000003</v>
      </c>
      <c r="M39" s="18">
        <v>7.649</v>
      </c>
      <c r="N39" s="18">
        <v>9.8859999999999992</v>
      </c>
      <c r="O39" s="18">
        <v>7.5229999999999997</v>
      </c>
      <c r="P39" s="18">
        <v>8.6430000000000007</v>
      </c>
      <c r="Q39" s="18">
        <v>8.3439999999999994</v>
      </c>
      <c r="R39" s="18">
        <v>11.446</v>
      </c>
      <c r="S39" s="18">
        <v>7.7169999999999996</v>
      </c>
      <c r="T39" s="18">
        <v>6.0540000000000003</v>
      </c>
      <c r="U39" s="18">
        <v>7.1550000000000002</v>
      </c>
      <c r="V39" s="18">
        <v>10.096</v>
      </c>
      <c r="W39" s="40">
        <v>6.7130000000000001</v>
      </c>
      <c r="X39" s="40">
        <v>8.8130000000000006</v>
      </c>
      <c r="Y39" s="40">
        <v>10.601000000000001</v>
      </c>
      <c r="Z39" s="40">
        <v>18.045999999999999</v>
      </c>
      <c r="AA39" s="40">
        <v>10.391999999999999</v>
      </c>
      <c r="AB39" s="40">
        <v>10.455</v>
      </c>
      <c r="AC39" s="40">
        <v>11.792999999999999</v>
      </c>
      <c r="AD39" s="40">
        <v>28.811</v>
      </c>
      <c r="AE39" s="40">
        <v>24.338999999999999</v>
      </c>
      <c r="AF39" s="40">
        <v>11.112</v>
      </c>
      <c r="AG39" s="40">
        <v>9.2620000000000005</v>
      </c>
      <c r="AH39" s="40">
        <v>11.468</v>
      </c>
      <c r="AI39" s="40">
        <v>9.3010000000000002</v>
      </c>
      <c r="AJ39" s="40">
        <v>21.425000000000001</v>
      </c>
      <c r="AK39" s="40">
        <v>13.631</v>
      </c>
      <c r="AL39" s="40">
        <v>14.489000000000001</v>
      </c>
      <c r="AM39" s="40">
        <v>10.042999999999999</v>
      </c>
      <c r="AN39" s="40">
        <v>15.214</v>
      </c>
      <c r="AO39" s="40">
        <v>11.118</v>
      </c>
      <c r="AP39" s="40">
        <v>16.358000000000001</v>
      </c>
      <c r="AQ39" s="40">
        <v>12.884</v>
      </c>
      <c r="AR39" s="40">
        <v>12.532</v>
      </c>
    </row>
    <row r="40" spans="1:44" ht="15" customHeight="1">
      <c r="A40" t="s">
        <v>284</v>
      </c>
      <c r="B40" s="21" t="str">
        <f>IF('Sumário | Summary'!P1=1,"Contas a pagar por aquisição de imóveis","Accounts payable due to real estate acquisition ")</f>
        <v>Contas a pagar por aquisição de imóveis</v>
      </c>
      <c r="C40" s="18">
        <v>0</v>
      </c>
      <c r="D40" s="18">
        <v>0</v>
      </c>
      <c r="E40" s="18">
        <v>0</v>
      </c>
      <c r="F40" s="18">
        <v>0</v>
      </c>
      <c r="G40" s="18">
        <v>0</v>
      </c>
      <c r="H40" s="18">
        <v>0</v>
      </c>
      <c r="I40" s="18">
        <v>0</v>
      </c>
      <c r="J40" s="18">
        <v>0</v>
      </c>
      <c r="K40" s="18">
        <v>0</v>
      </c>
      <c r="L40" s="18">
        <v>0</v>
      </c>
      <c r="M40" s="18">
        <v>0</v>
      </c>
      <c r="N40" s="18">
        <v>0</v>
      </c>
      <c r="O40" s="18">
        <v>0</v>
      </c>
      <c r="P40" s="18">
        <v>0</v>
      </c>
      <c r="Q40" s="18">
        <v>0</v>
      </c>
      <c r="R40" s="18">
        <v>0</v>
      </c>
      <c r="S40" s="18">
        <v>0</v>
      </c>
      <c r="T40" s="18">
        <v>0</v>
      </c>
      <c r="U40" s="18">
        <v>0</v>
      </c>
      <c r="V40" s="18">
        <v>0</v>
      </c>
      <c r="W40" s="40">
        <v>0</v>
      </c>
      <c r="X40" s="40">
        <v>0</v>
      </c>
      <c r="Y40" s="40">
        <v>0</v>
      </c>
      <c r="Z40" s="40">
        <v>0</v>
      </c>
      <c r="AA40" s="40">
        <v>0</v>
      </c>
      <c r="AB40" s="40">
        <v>0</v>
      </c>
      <c r="AC40" s="40">
        <v>0</v>
      </c>
      <c r="AD40" s="40">
        <v>0</v>
      </c>
      <c r="AE40" s="40">
        <v>0</v>
      </c>
      <c r="AF40" s="40">
        <v>0</v>
      </c>
      <c r="AG40" s="40">
        <v>0</v>
      </c>
      <c r="AH40" s="40">
        <v>0</v>
      </c>
      <c r="AI40" s="40">
        <v>0</v>
      </c>
      <c r="AJ40" s="40">
        <v>0</v>
      </c>
      <c r="AK40" s="40">
        <v>0</v>
      </c>
      <c r="AL40" s="40">
        <v>0</v>
      </c>
      <c r="AM40" s="40">
        <v>0</v>
      </c>
      <c r="AN40" s="40">
        <v>0</v>
      </c>
      <c r="AO40" s="40">
        <v>13.263999999999999</v>
      </c>
      <c r="AP40" s="40">
        <v>13.263999999999999</v>
      </c>
      <c r="AQ40" s="40">
        <v>6.3E-2</v>
      </c>
      <c r="AR40" s="40">
        <v>13.238</v>
      </c>
    </row>
    <row r="41" spans="1:44" ht="15" customHeight="1">
      <c r="A41" t="s">
        <v>181</v>
      </c>
      <c r="B41" s="21" t="str">
        <f>IF('Sumário | Summary'!P1=1,"Impostos e contribuições a recolher","Tax and Contributions")</f>
        <v>Impostos e contribuições a recolher</v>
      </c>
      <c r="C41" s="18">
        <v>13.601000000000001</v>
      </c>
      <c r="D41" s="18">
        <v>11.872999999999999</v>
      </c>
      <c r="E41" s="18">
        <v>13.28</v>
      </c>
      <c r="F41" s="18">
        <v>13.345000000000001</v>
      </c>
      <c r="G41" s="18">
        <v>14.234999999999999</v>
      </c>
      <c r="H41" s="18">
        <v>13.214</v>
      </c>
      <c r="I41" s="18">
        <v>103.042</v>
      </c>
      <c r="J41" s="18">
        <v>9.4009999999999998</v>
      </c>
      <c r="K41" s="18">
        <v>14.776</v>
      </c>
      <c r="L41" s="18">
        <v>11.441000000000001</v>
      </c>
      <c r="M41" s="18">
        <v>10.044</v>
      </c>
      <c r="N41" s="18">
        <v>11.170999999999999</v>
      </c>
      <c r="O41" s="18">
        <v>12.779</v>
      </c>
      <c r="P41" s="18">
        <v>17.561</v>
      </c>
      <c r="Q41" s="18">
        <v>21.454000000000001</v>
      </c>
      <c r="R41" s="18">
        <v>26.462</v>
      </c>
      <c r="S41" s="18">
        <v>9.3040000000000003</v>
      </c>
      <c r="T41" s="18">
        <v>9.9890000000000008</v>
      </c>
      <c r="U41" s="18">
        <v>9.2059999999999995</v>
      </c>
      <c r="V41" s="18">
        <v>8.7710000000000008</v>
      </c>
      <c r="W41" s="40">
        <v>8.5139999999999993</v>
      </c>
      <c r="X41" s="40">
        <v>9.0269999999999992</v>
      </c>
      <c r="Y41" s="40">
        <v>9.3059999999999992</v>
      </c>
      <c r="Z41" s="40">
        <v>19.760999999999999</v>
      </c>
      <c r="AA41" s="40">
        <v>13.387</v>
      </c>
      <c r="AB41" s="40">
        <v>10.159000000000001</v>
      </c>
      <c r="AC41" s="40">
        <v>11.878</v>
      </c>
      <c r="AD41" s="40">
        <v>11.599</v>
      </c>
      <c r="AE41" s="40">
        <v>9.5069999999999997</v>
      </c>
      <c r="AF41" s="40">
        <v>11.214</v>
      </c>
      <c r="AG41" s="40">
        <v>12.167</v>
      </c>
      <c r="AH41" s="40">
        <v>15.239000000000001</v>
      </c>
      <c r="AI41" s="40">
        <v>5.99</v>
      </c>
      <c r="AJ41" s="40">
        <v>133.12700000000001</v>
      </c>
      <c r="AK41" s="40">
        <v>11.705</v>
      </c>
      <c r="AL41" s="40">
        <v>28.805</v>
      </c>
      <c r="AM41" s="40">
        <v>17.609000000000002</v>
      </c>
      <c r="AN41" s="40">
        <v>12.936999999999999</v>
      </c>
      <c r="AO41" s="40">
        <v>18.344000000000001</v>
      </c>
      <c r="AP41" s="40">
        <v>21.236000000000001</v>
      </c>
      <c r="AQ41" s="40">
        <v>8.4969999999999999</v>
      </c>
      <c r="AR41" s="40">
        <v>6.141</v>
      </c>
    </row>
    <row r="42" spans="1:44" ht="15" customHeight="1">
      <c r="A42" t="s">
        <v>182</v>
      </c>
      <c r="B42" s="28" t="str">
        <f>IF('Sumário | Summary'!P1=1,"Debitos com parceiros nos empreendimentos","Current accounts with venture partners ")</f>
        <v>Debitos com parceiros nos empreendimentos</v>
      </c>
      <c r="C42" s="18">
        <v>0</v>
      </c>
      <c r="D42" s="18">
        <v>0</v>
      </c>
      <c r="E42" s="18">
        <v>0</v>
      </c>
      <c r="F42" s="18">
        <v>0</v>
      </c>
      <c r="G42" s="18">
        <v>0</v>
      </c>
      <c r="H42" s="18">
        <v>0</v>
      </c>
      <c r="I42" s="18">
        <v>0</v>
      </c>
      <c r="J42" s="18">
        <v>0</v>
      </c>
      <c r="K42" s="18">
        <v>0</v>
      </c>
      <c r="L42" s="18">
        <v>0</v>
      </c>
      <c r="M42" s="18">
        <v>0</v>
      </c>
      <c r="N42" s="18">
        <v>0</v>
      </c>
      <c r="O42" s="18">
        <v>0</v>
      </c>
      <c r="P42" s="18">
        <v>0</v>
      </c>
      <c r="Q42" s="18">
        <v>-6.0999999999999999E-2</v>
      </c>
      <c r="R42" s="18">
        <v>-1.1259999999999999</v>
      </c>
      <c r="S42" s="18">
        <v>2.0840000000000001</v>
      </c>
      <c r="T42" s="18">
        <v>5.1479999999999997</v>
      </c>
      <c r="U42" s="18">
        <v>1.3779999999999999</v>
      </c>
      <c r="V42" s="18">
        <v>1.4910000000000001</v>
      </c>
      <c r="W42" s="40">
        <v>1.5249999999999999</v>
      </c>
      <c r="X42" s="40">
        <v>2.0680000000000001</v>
      </c>
      <c r="Y42" s="40">
        <v>3.145</v>
      </c>
      <c r="Z42" s="40">
        <v>1.4219999999999999</v>
      </c>
      <c r="AA42" s="40">
        <v>3.4369999999999998</v>
      </c>
      <c r="AB42" s="40">
        <v>3.1859999999999999</v>
      </c>
      <c r="AC42" s="40">
        <v>3.2909999999999999</v>
      </c>
      <c r="AD42" s="40">
        <v>3.464</v>
      </c>
      <c r="AE42" s="40">
        <v>3</v>
      </c>
      <c r="AF42" s="40">
        <v>2.6459999999999999</v>
      </c>
      <c r="AG42" s="40">
        <v>2.1389999999999998</v>
      </c>
      <c r="AH42" s="40">
        <v>1.4910000000000001</v>
      </c>
      <c r="AI42" s="40">
        <v>0.81799999999999995</v>
      </c>
      <c r="AJ42" s="40">
        <v>0.41599999999999998</v>
      </c>
      <c r="AK42" s="40">
        <v>1.2629999999999999</v>
      </c>
      <c r="AL42" s="40">
        <v>0.20200000000000001</v>
      </c>
      <c r="AM42" s="40">
        <v>0.191</v>
      </c>
      <c r="AN42" s="40">
        <v>0.191</v>
      </c>
      <c r="AO42" s="40">
        <v>0</v>
      </c>
      <c r="AP42" s="40">
        <v>0</v>
      </c>
      <c r="AQ42" s="40">
        <v>0.46200000000000002</v>
      </c>
      <c r="AR42" s="40">
        <v>0.46200000000000002</v>
      </c>
    </row>
    <row r="43" spans="1:44" ht="15" customHeight="1">
      <c r="A43" t="s">
        <v>183</v>
      </c>
      <c r="B43" s="21" t="str">
        <f>IF('Sumário | Summary'!P1=1,"Impostos e contribuições diferidos","Tax and Contributions - Deferred")</f>
        <v>Impostos e contribuições diferidos</v>
      </c>
      <c r="C43" s="18">
        <v>1.377</v>
      </c>
      <c r="D43" s="18">
        <v>1.3460000000000001</v>
      </c>
      <c r="E43" s="18">
        <v>3.2280000000000002</v>
      </c>
      <c r="F43" s="18">
        <v>2.8860000000000001</v>
      </c>
      <c r="G43" s="18">
        <v>2.673</v>
      </c>
      <c r="H43" s="18">
        <v>2.2210000000000001</v>
      </c>
      <c r="I43" s="18">
        <v>0.69899999999999995</v>
      </c>
      <c r="J43" s="18">
        <v>0.434</v>
      </c>
      <c r="K43" s="18">
        <v>0.34599999999999997</v>
      </c>
      <c r="L43" s="18">
        <v>0.314</v>
      </c>
      <c r="M43" s="18">
        <v>0.309</v>
      </c>
      <c r="N43" s="18">
        <v>0.26400000000000001</v>
      </c>
      <c r="O43" s="18">
        <v>0.127</v>
      </c>
      <c r="P43" s="18">
        <v>0.123</v>
      </c>
      <c r="Q43" s="18">
        <v>0.104</v>
      </c>
      <c r="R43" s="18">
        <v>9.8000000000000004E-2</v>
      </c>
      <c r="S43" s="18">
        <v>9.2999999999999999E-2</v>
      </c>
      <c r="T43" s="18">
        <v>0.08</v>
      </c>
      <c r="U43" s="18">
        <v>7.4999999999999997E-2</v>
      </c>
      <c r="V43" s="18">
        <v>7.8E-2</v>
      </c>
      <c r="W43" s="40">
        <v>4.9000000000000002E-2</v>
      </c>
      <c r="X43" s="40">
        <v>0.05</v>
      </c>
      <c r="Y43" s="40">
        <v>5.1999999999999998E-2</v>
      </c>
      <c r="Z43" s="40">
        <v>4.4999999999999998E-2</v>
      </c>
      <c r="AA43" s="40">
        <v>5.1999999999999998E-2</v>
      </c>
      <c r="AB43" s="40">
        <v>5.2999999999999999E-2</v>
      </c>
      <c r="AC43" s="40">
        <v>4.1000000000000002E-2</v>
      </c>
      <c r="AD43" s="40">
        <v>4.3999999999999997E-2</v>
      </c>
      <c r="AE43" s="40">
        <v>3.5000000000000003E-2</v>
      </c>
      <c r="AF43" s="40">
        <v>3.5000000000000003E-2</v>
      </c>
      <c r="AG43" s="40">
        <v>4.5999999999999999E-2</v>
      </c>
      <c r="AH43" s="40">
        <v>3.3000000000000002E-2</v>
      </c>
      <c r="AI43" s="40">
        <v>3.2000000000000001E-2</v>
      </c>
      <c r="AJ43" s="40">
        <v>3.5000000000000003E-2</v>
      </c>
      <c r="AK43" s="40">
        <v>3.2000000000000001E-2</v>
      </c>
      <c r="AL43" s="40">
        <v>0.14099999999999999</v>
      </c>
      <c r="AM43" s="40">
        <v>0.17899999999999999</v>
      </c>
      <c r="AN43" s="40">
        <v>0.17699999999999999</v>
      </c>
      <c r="AO43" s="40">
        <v>0.16800000000000001</v>
      </c>
      <c r="AP43" s="40">
        <v>0.158</v>
      </c>
      <c r="AQ43" s="40">
        <v>0.36599999999999999</v>
      </c>
      <c r="AR43" s="40">
        <v>0.34</v>
      </c>
    </row>
    <row r="44" spans="1:44" ht="15" customHeight="1">
      <c r="A44" t="s">
        <v>184</v>
      </c>
      <c r="B44" s="21" t="str">
        <f>IF('Sumário | Summary'!P1=1,"Adiantamentos de clientes","Advancement from Clients")</f>
        <v>Adiantamentos de clientes</v>
      </c>
      <c r="C44" s="18">
        <v>0.70599999999999996</v>
      </c>
      <c r="D44" s="18">
        <v>2.879</v>
      </c>
      <c r="E44" s="18">
        <v>2.2000000000000002</v>
      </c>
      <c r="F44" s="18">
        <v>1.9039999999999999</v>
      </c>
      <c r="G44" s="18">
        <v>1.8</v>
      </c>
      <c r="H44" s="18">
        <v>4.01</v>
      </c>
      <c r="I44" s="18">
        <v>0.51800000000000002</v>
      </c>
      <c r="J44" s="18">
        <v>0.7</v>
      </c>
      <c r="K44" s="18">
        <v>35.875</v>
      </c>
      <c r="L44" s="18">
        <v>4.157</v>
      </c>
      <c r="M44" s="18">
        <v>0.77400000000000002</v>
      </c>
      <c r="N44" s="18">
        <v>0.75900000000000001</v>
      </c>
      <c r="O44" s="18">
        <v>0.33100000000000002</v>
      </c>
      <c r="P44" s="18">
        <v>0.36399999999999999</v>
      </c>
      <c r="Q44" s="18">
        <v>0.40100000000000002</v>
      </c>
      <c r="R44" s="18">
        <v>0.45200000000000001</v>
      </c>
      <c r="S44" s="18">
        <v>0.185</v>
      </c>
      <c r="T44" s="18">
        <v>0.13100000000000001</v>
      </c>
      <c r="U44" s="18">
        <v>0.63900000000000001</v>
      </c>
      <c r="V44" s="18">
        <v>0.214</v>
      </c>
      <c r="W44" s="40">
        <v>0.16500000000000001</v>
      </c>
      <c r="X44" s="40">
        <v>1.147</v>
      </c>
      <c r="Y44" s="40">
        <v>1.454</v>
      </c>
      <c r="Z44" s="40">
        <v>0</v>
      </c>
      <c r="AA44" s="40">
        <v>0</v>
      </c>
      <c r="AB44" s="40">
        <v>0</v>
      </c>
      <c r="AC44" s="40">
        <v>2.4E-2</v>
      </c>
      <c r="AD44" s="40">
        <v>0</v>
      </c>
      <c r="AE44" s="40">
        <v>0</v>
      </c>
      <c r="AF44" s="40">
        <v>0</v>
      </c>
      <c r="AG44" s="40">
        <v>0.16500000000000001</v>
      </c>
      <c r="AH44" s="40">
        <v>0.20200000000000001</v>
      </c>
      <c r="AI44" s="40">
        <v>299.613</v>
      </c>
      <c r="AJ44" s="40">
        <v>0.06</v>
      </c>
      <c r="AK44" s="40">
        <v>0</v>
      </c>
      <c r="AL44" s="40">
        <v>2.1999999999999999E-2</v>
      </c>
      <c r="AM44" s="40">
        <v>0.16800000000000001</v>
      </c>
      <c r="AN44" s="40">
        <v>0.185</v>
      </c>
      <c r="AO44" s="40">
        <v>0.17100000000000001</v>
      </c>
      <c r="AP44" s="40">
        <v>0.26200000000000001</v>
      </c>
      <c r="AQ44" s="40">
        <v>0.214</v>
      </c>
      <c r="AR44" s="40">
        <v>0.89200000000000002</v>
      </c>
    </row>
    <row r="45" spans="1:44" ht="15" customHeight="1">
      <c r="A45" t="s">
        <v>185</v>
      </c>
      <c r="B45" s="21" t="str">
        <f>IF('Sumário | Summary'!P1=1,"Adiantamentos de clientes - Permutas","Advancement from Clients - Swap")</f>
        <v>Adiantamentos de clientes - Permutas</v>
      </c>
      <c r="C45" s="18">
        <v>27.613</v>
      </c>
      <c r="D45" s="18">
        <v>27.613</v>
      </c>
      <c r="E45" s="18">
        <v>27.613</v>
      </c>
      <c r="F45" s="18">
        <v>27.613</v>
      </c>
      <c r="G45" s="18">
        <v>27.613</v>
      </c>
      <c r="H45" s="18">
        <v>0.55700000000000005</v>
      </c>
      <c r="I45" s="18">
        <v>0</v>
      </c>
      <c r="J45" s="18">
        <v>0</v>
      </c>
      <c r="K45" s="18">
        <v>0</v>
      </c>
      <c r="L45" s="18">
        <v>0</v>
      </c>
      <c r="M45" s="18">
        <v>0</v>
      </c>
      <c r="N45" s="18">
        <v>0</v>
      </c>
      <c r="O45" s="18">
        <v>0.55700000000000005</v>
      </c>
      <c r="P45" s="18">
        <v>0.55700000000000005</v>
      </c>
      <c r="Q45" s="18">
        <v>0.55700000000000005</v>
      </c>
      <c r="R45" s="18">
        <v>0.55700000000000005</v>
      </c>
      <c r="S45" s="18">
        <v>0.55700000000000005</v>
      </c>
      <c r="T45" s="18">
        <v>0.55700000000000005</v>
      </c>
      <c r="U45" s="18">
        <v>0.55700000000000005</v>
      </c>
      <c r="V45" s="18">
        <v>0.55700000000000005</v>
      </c>
      <c r="W45" s="40">
        <v>0.55700000000000005</v>
      </c>
      <c r="X45" s="40">
        <v>0.55700000000000005</v>
      </c>
      <c r="Y45" s="40">
        <v>0.55700000000000005</v>
      </c>
      <c r="Z45" s="40">
        <v>0.55700000000000005</v>
      </c>
      <c r="AA45" s="40">
        <v>0.55700000000000005</v>
      </c>
      <c r="AB45" s="40">
        <v>0.55700000000000005</v>
      </c>
      <c r="AC45" s="40">
        <v>0.55700000000000005</v>
      </c>
      <c r="AD45" s="40">
        <v>0.55700000000000005</v>
      </c>
      <c r="AE45" s="40">
        <v>0.55700000000000005</v>
      </c>
      <c r="AF45" s="40">
        <v>0.55700000000000005</v>
      </c>
      <c r="AG45" s="40">
        <v>0</v>
      </c>
      <c r="AH45" s="40">
        <v>0</v>
      </c>
      <c r="AI45" s="40">
        <v>0.55700000000000005</v>
      </c>
      <c r="AJ45" s="40">
        <v>0</v>
      </c>
      <c r="AK45" s="40">
        <v>0</v>
      </c>
      <c r="AL45" s="40">
        <v>0</v>
      </c>
      <c r="AM45" s="40">
        <v>0</v>
      </c>
      <c r="AN45" s="40">
        <v>0</v>
      </c>
      <c r="AO45" s="40">
        <v>0</v>
      </c>
      <c r="AP45" s="40">
        <v>0</v>
      </c>
      <c r="AQ45" s="40">
        <v>0</v>
      </c>
      <c r="AR45" s="40">
        <v>0</v>
      </c>
    </row>
    <row r="46" spans="1:44" ht="15" customHeight="1">
      <c r="A46" t="s">
        <v>186</v>
      </c>
      <c r="B46" s="39" t="str">
        <f>IF('Sumário | Summary'!P1=1,"Partes relacionadas","Related parties")</f>
        <v>Partes relacionadas</v>
      </c>
      <c r="C46" s="18">
        <v>0</v>
      </c>
      <c r="D46" s="18">
        <v>0</v>
      </c>
      <c r="E46" s="18">
        <v>13.571</v>
      </c>
      <c r="F46" s="18">
        <v>0</v>
      </c>
      <c r="G46" s="18">
        <v>0</v>
      </c>
      <c r="H46" s="18">
        <v>0</v>
      </c>
      <c r="I46" s="18">
        <v>0</v>
      </c>
      <c r="J46" s="18">
        <v>0</v>
      </c>
      <c r="K46" s="18">
        <v>0</v>
      </c>
      <c r="L46" s="18">
        <v>0</v>
      </c>
      <c r="M46" s="18">
        <v>0</v>
      </c>
      <c r="N46" s="18">
        <v>0</v>
      </c>
      <c r="O46" s="18">
        <v>0</v>
      </c>
      <c r="P46" s="18">
        <v>0</v>
      </c>
      <c r="Q46" s="18">
        <v>0.2</v>
      </c>
      <c r="R46" s="18">
        <v>0.191</v>
      </c>
      <c r="S46" s="18">
        <v>0.06</v>
      </c>
      <c r="T46" s="18">
        <v>0.126</v>
      </c>
      <c r="U46" s="18">
        <v>0.13700000000000001</v>
      </c>
      <c r="V46" s="18">
        <v>0.16700000000000001</v>
      </c>
      <c r="W46" s="40">
        <v>0.158</v>
      </c>
      <c r="X46" s="40">
        <v>0.17499999999999999</v>
      </c>
      <c r="Y46" s="40">
        <v>0.17100000000000001</v>
      </c>
      <c r="Z46" s="40">
        <v>2.298</v>
      </c>
      <c r="AA46" s="40">
        <v>0.27500000000000002</v>
      </c>
      <c r="AB46" s="40">
        <v>0.34300000000000003</v>
      </c>
      <c r="AC46" s="40">
        <v>0.26800000000000002</v>
      </c>
      <c r="AD46" s="40">
        <v>0.23899999999999999</v>
      </c>
      <c r="AE46" s="40">
        <v>0.13500000000000001</v>
      </c>
      <c r="AF46" s="40">
        <v>0.05</v>
      </c>
      <c r="AG46" s="40">
        <v>4.2000000000000003E-2</v>
      </c>
      <c r="AH46" s="40">
        <v>0.09</v>
      </c>
      <c r="AI46" s="40">
        <v>2.7E-2</v>
      </c>
      <c r="AJ46" s="40">
        <v>0.57499999999999996</v>
      </c>
      <c r="AK46" s="40">
        <v>3.6999999999999998E-2</v>
      </c>
      <c r="AL46" s="40">
        <v>3.3000000000000002E-2</v>
      </c>
      <c r="AM46" s="40">
        <v>5.1999999999999998E-2</v>
      </c>
      <c r="AN46" s="40">
        <v>18.364000000000001</v>
      </c>
      <c r="AO46" s="40">
        <v>18.331</v>
      </c>
      <c r="AP46" s="40">
        <v>3.4000000000000002E-2</v>
      </c>
      <c r="AQ46" s="40">
        <v>0.35299999999999998</v>
      </c>
      <c r="AR46" s="40">
        <v>0.255</v>
      </c>
    </row>
    <row r="47" spans="1:44" ht="15" customHeight="1">
      <c r="A47" t="s">
        <v>187</v>
      </c>
      <c r="B47" s="21" t="str">
        <f>IF('Sumário | Summary'!P1=1,"Receita res-sperata a apropriar","Key Money to be Recognized")</f>
        <v>Receita res-sperata a apropriar</v>
      </c>
      <c r="C47" s="18">
        <v>11.66</v>
      </c>
      <c r="D47" s="18">
        <v>10.909600000000001</v>
      </c>
      <c r="E47" s="18">
        <v>10.265400000000001</v>
      </c>
      <c r="F47" s="18">
        <v>9.2997999999999994</v>
      </c>
      <c r="G47" s="18">
        <v>8.2873999999999999</v>
      </c>
      <c r="H47" s="18">
        <v>7.6429999999999998</v>
      </c>
      <c r="I47" s="18">
        <v>7.0540000000000003</v>
      </c>
      <c r="J47" s="18">
        <v>6.56</v>
      </c>
      <c r="K47" s="18">
        <v>5.7610000000000001</v>
      </c>
      <c r="L47" s="18">
        <v>5.1440000000000001</v>
      </c>
      <c r="M47" s="18">
        <v>4.1150000000000002</v>
      </c>
      <c r="N47" s="18">
        <v>3.706</v>
      </c>
      <c r="O47" s="18">
        <v>3.347</v>
      </c>
      <c r="P47" s="18">
        <v>8.3439999999999994</v>
      </c>
      <c r="Q47" s="18">
        <v>7.4470000000000001</v>
      </c>
      <c r="R47" s="18">
        <v>6.718</v>
      </c>
      <c r="S47" s="18">
        <v>4.3920000000000003</v>
      </c>
      <c r="T47" s="18">
        <v>4.0590000000000002</v>
      </c>
      <c r="U47" s="18">
        <v>3.85</v>
      </c>
      <c r="V47" s="18">
        <v>3.7170000000000001</v>
      </c>
      <c r="W47" s="40">
        <v>3.7330000000000001</v>
      </c>
      <c r="X47" s="40">
        <v>3.3860000000000001</v>
      </c>
      <c r="Y47" s="40">
        <v>3.8180000000000001</v>
      </c>
      <c r="Z47" s="40">
        <v>3.3940000000000001</v>
      </c>
      <c r="AA47" s="40">
        <v>3.548</v>
      </c>
      <c r="AB47" s="40">
        <v>3.2959999999999998</v>
      </c>
      <c r="AC47" s="40">
        <v>3.2810000000000001</v>
      </c>
      <c r="AD47" s="40">
        <v>1.8180000000000001</v>
      </c>
      <c r="AE47" s="40">
        <v>1.7050000000000001</v>
      </c>
      <c r="AF47" s="40">
        <v>2.9049999999999998</v>
      </c>
      <c r="AG47" s="40">
        <v>2.6709999999999998</v>
      </c>
      <c r="AH47" s="40">
        <v>2.7719999999999998</v>
      </c>
      <c r="AI47" s="40">
        <v>2.722</v>
      </c>
      <c r="AJ47" s="40">
        <v>1.3859999999999999</v>
      </c>
      <c r="AK47" s="40">
        <v>1.4</v>
      </c>
      <c r="AL47" s="40">
        <v>1.181</v>
      </c>
      <c r="AM47" s="40">
        <v>1.216</v>
      </c>
      <c r="AN47" s="40">
        <v>1.321</v>
      </c>
      <c r="AO47" s="40">
        <v>1.1479999999999999</v>
      </c>
      <c r="AP47" s="40">
        <v>1.1180000000000001</v>
      </c>
      <c r="AQ47" s="40">
        <v>1.113</v>
      </c>
      <c r="AR47" s="40">
        <v>1.0009999999999999</v>
      </c>
    </row>
    <row r="48" spans="1:44" ht="15" customHeight="1">
      <c r="A48" t="s">
        <v>188</v>
      </c>
      <c r="B48" s="21" t="str">
        <f>IF('Sumário | Summary'!P1=1,"Dividendos a pagar","Dividends Payable")</f>
        <v>Dividendos a pagar</v>
      </c>
      <c r="C48" s="18">
        <v>5.5419999999999998</v>
      </c>
      <c r="D48" s="18">
        <v>7.0000000000000001E-3</v>
      </c>
      <c r="E48" s="18">
        <v>7.0000000000000001E-3</v>
      </c>
      <c r="F48" s="18">
        <v>7.0000000000000001E-3</v>
      </c>
      <c r="G48" s="18">
        <v>7.0000000000000001E-3</v>
      </c>
      <c r="H48" s="18">
        <v>7.0000000000000001E-3</v>
      </c>
      <c r="I48" s="18">
        <v>1.2E-2</v>
      </c>
      <c r="J48" s="18">
        <v>1.2E-2</v>
      </c>
      <c r="K48" s="18">
        <v>1.2E-2</v>
      </c>
      <c r="L48" s="18">
        <v>1.2E-2</v>
      </c>
      <c r="M48" s="18">
        <v>1.2E-2</v>
      </c>
      <c r="N48" s="18">
        <v>1.7000000000000001E-2</v>
      </c>
      <c r="O48" s="18">
        <v>2.621</v>
      </c>
      <c r="P48" s="18">
        <v>1.7000000000000001E-2</v>
      </c>
      <c r="Q48" s="18">
        <v>1.4999999999999999E-2</v>
      </c>
      <c r="R48" s="18">
        <v>7.8070000000000004</v>
      </c>
      <c r="S48" s="18">
        <v>7.8070000000000004</v>
      </c>
      <c r="T48" s="18">
        <v>1.4999999999999999E-2</v>
      </c>
      <c r="U48" s="18">
        <v>1.708</v>
      </c>
      <c r="V48" s="18">
        <v>10.941000000000001</v>
      </c>
      <c r="W48" s="40">
        <v>12.045999999999999</v>
      </c>
      <c r="X48" s="40">
        <v>5.0000000000000001E-3</v>
      </c>
      <c r="Y48" s="40">
        <v>5.0000000000000001E-3</v>
      </c>
      <c r="Z48" s="40">
        <v>4.4999999999999998E-2</v>
      </c>
      <c r="AA48" s="40">
        <v>5.6230000000000002</v>
      </c>
      <c r="AB48" s="40">
        <v>4.4999999999999998E-2</v>
      </c>
      <c r="AC48" s="40">
        <v>4.5999999999999999E-2</v>
      </c>
      <c r="AD48" s="40">
        <v>4.5999999999999999E-2</v>
      </c>
      <c r="AE48" s="40">
        <v>4.5999999999999999E-2</v>
      </c>
      <c r="AF48" s="40">
        <v>4.2999999999999997E-2</v>
      </c>
      <c r="AG48" s="40">
        <v>4.2000000000000003E-2</v>
      </c>
      <c r="AH48" s="40">
        <v>4.2000000000000003E-2</v>
      </c>
      <c r="AI48" s="40">
        <v>0.28000000000000003</v>
      </c>
      <c r="AJ48" s="40">
        <v>0.28000000000000003</v>
      </c>
      <c r="AK48" s="40">
        <v>0.28000000000000003</v>
      </c>
      <c r="AL48" s="40">
        <v>0.29499999999999998</v>
      </c>
      <c r="AM48" s="40">
        <v>0.29499999999999998</v>
      </c>
      <c r="AN48" s="40">
        <v>0.29799999999999999</v>
      </c>
      <c r="AO48" s="40">
        <v>0.29799999999999999</v>
      </c>
      <c r="AP48" s="40">
        <v>0.23400000000000001</v>
      </c>
      <c r="AQ48" s="40">
        <v>0.192</v>
      </c>
      <c r="AR48" s="40">
        <v>0.02</v>
      </c>
    </row>
    <row r="49" spans="1:44" ht="15" customHeight="1">
      <c r="A49" t="s">
        <v>119</v>
      </c>
      <c r="B49" s="21" t="str">
        <f>IF('Sumário | Summary'!P1=1,"CDU a apropriar","Key Money to Recognize ")</f>
        <v>CDU a apropriar</v>
      </c>
      <c r="C49" s="18" t="s">
        <v>18</v>
      </c>
      <c r="D49" s="18" t="s">
        <v>18</v>
      </c>
      <c r="E49" s="18" t="s">
        <v>18</v>
      </c>
      <c r="F49" s="18" t="s">
        <v>18</v>
      </c>
      <c r="G49" s="18" t="s">
        <v>18</v>
      </c>
      <c r="H49" s="18" t="s">
        <v>18</v>
      </c>
      <c r="I49" s="18" t="s">
        <v>18</v>
      </c>
      <c r="J49" s="18" t="s">
        <v>18</v>
      </c>
      <c r="K49" s="18" t="s">
        <v>18</v>
      </c>
      <c r="L49" s="18" t="s">
        <v>18</v>
      </c>
      <c r="M49" s="18" t="s">
        <v>18</v>
      </c>
      <c r="N49" s="18" t="s">
        <v>18</v>
      </c>
      <c r="O49" s="18">
        <v>0</v>
      </c>
      <c r="P49" s="18">
        <v>0</v>
      </c>
      <c r="Q49" s="18">
        <v>0</v>
      </c>
      <c r="R49" s="18">
        <v>0</v>
      </c>
      <c r="S49" s="18">
        <v>0</v>
      </c>
      <c r="T49" s="18">
        <v>0</v>
      </c>
      <c r="U49" s="18">
        <v>0</v>
      </c>
      <c r="V49" s="18">
        <v>0</v>
      </c>
      <c r="W49" s="40">
        <v>0</v>
      </c>
      <c r="X49" s="40">
        <v>0</v>
      </c>
      <c r="Y49" s="40">
        <v>0</v>
      </c>
      <c r="Z49" s="40">
        <v>0</v>
      </c>
      <c r="AA49" s="40">
        <v>0</v>
      </c>
      <c r="AB49" s="40">
        <v>0</v>
      </c>
      <c r="AC49" s="40">
        <v>0</v>
      </c>
      <c r="AD49" s="40">
        <v>0</v>
      </c>
      <c r="AE49" s="40">
        <v>0</v>
      </c>
      <c r="AF49" s="40">
        <v>0</v>
      </c>
      <c r="AG49" s="40">
        <v>0</v>
      </c>
      <c r="AH49" s="40">
        <v>0</v>
      </c>
      <c r="AI49" s="40">
        <v>0</v>
      </c>
      <c r="AJ49" s="40">
        <v>0</v>
      </c>
      <c r="AK49" s="40">
        <v>0</v>
      </c>
      <c r="AL49" s="40">
        <v>0</v>
      </c>
      <c r="AM49" s="40">
        <v>0</v>
      </c>
      <c r="AN49" s="40">
        <v>0</v>
      </c>
      <c r="AO49" s="40">
        <v>0</v>
      </c>
      <c r="AP49" s="40">
        <v>0</v>
      </c>
      <c r="AQ49" s="40">
        <v>0</v>
      </c>
      <c r="AR49" s="40">
        <v>0</v>
      </c>
    </row>
    <row r="50" spans="1:44" ht="15" customHeight="1">
      <c r="A50" t="s">
        <v>275</v>
      </c>
      <c r="B50" s="21" t="str">
        <f>IF('Sumário | Summary'!P1=1,"Passivo de arrendamento","Lease liability")</f>
        <v>Passivo de arrendamento</v>
      </c>
      <c r="C50" s="40">
        <v>0</v>
      </c>
      <c r="D50" s="40">
        <v>0</v>
      </c>
      <c r="E50" s="40">
        <v>0</v>
      </c>
      <c r="F50" s="40">
        <v>0</v>
      </c>
      <c r="G50" s="40">
        <v>0</v>
      </c>
      <c r="H50" s="40">
        <v>0</v>
      </c>
      <c r="I50" s="40">
        <v>0</v>
      </c>
      <c r="J50" s="40">
        <v>0</v>
      </c>
      <c r="K50" s="40">
        <v>0</v>
      </c>
      <c r="L50" s="40">
        <v>0</v>
      </c>
      <c r="M50" s="40">
        <v>0</v>
      </c>
      <c r="N50" s="40">
        <v>0</v>
      </c>
      <c r="O50" s="40">
        <v>0</v>
      </c>
      <c r="P50" s="40">
        <v>0</v>
      </c>
      <c r="Q50" s="40">
        <v>0</v>
      </c>
      <c r="R50" s="40">
        <v>0</v>
      </c>
      <c r="S50" s="40">
        <v>0</v>
      </c>
      <c r="T50" s="40">
        <v>0</v>
      </c>
      <c r="U50" s="40">
        <v>0</v>
      </c>
      <c r="V50" s="40">
        <v>0</v>
      </c>
      <c r="W50" s="40">
        <v>0</v>
      </c>
      <c r="X50" s="40">
        <v>0</v>
      </c>
      <c r="Y50" s="40">
        <v>0</v>
      </c>
      <c r="Z50" s="40">
        <v>0</v>
      </c>
      <c r="AA50" s="40">
        <v>0</v>
      </c>
      <c r="AB50" s="40">
        <v>0</v>
      </c>
      <c r="AC50" s="40">
        <v>0</v>
      </c>
      <c r="AD50" s="40">
        <v>1.95</v>
      </c>
      <c r="AE50" s="40">
        <v>0.98</v>
      </c>
      <c r="AF50" s="40">
        <v>0.96599999999999997</v>
      </c>
      <c r="AG50" s="40">
        <v>0.95199999999999996</v>
      </c>
      <c r="AH50" s="40">
        <v>0.93799999999999994</v>
      </c>
      <c r="AI50" s="40">
        <v>0.92400000000000004</v>
      </c>
      <c r="AJ50" s="40">
        <v>0.91</v>
      </c>
      <c r="AK50" s="40">
        <v>0.89700000000000002</v>
      </c>
      <c r="AL50" s="40">
        <v>0.88400000000000001</v>
      </c>
      <c r="AM50" s="40">
        <v>0.871</v>
      </c>
      <c r="AN50" s="40">
        <v>0.85799999999999998</v>
      </c>
      <c r="AO50" s="40">
        <v>0.84499999999999997</v>
      </c>
      <c r="AP50" s="40">
        <v>0.83299999999999996</v>
      </c>
      <c r="AQ50" s="40">
        <v>0.82099999999999995</v>
      </c>
      <c r="AR50" s="40">
        <v>0.80900000000000005</v>
      </c>
    </row>
    <row r="51" spans="1:44" ht="15" customHeight="1">
      <c r="A51" t="s">
        <v>189</v>
      </c>
      <c r="B51" s="21" t="str">
        <f>IF('Sumário | Summary'!P1=1,"Demais contas a pagar","Other Accounts Payable")</f>
        <v>Demais contas a pagar</v>
      </c>
      <c r="C51" s="18">
        <v>42.57</v>
      </c>
      <c r="D51" s="18">
        <v>45.802999999999997</v>
      </c>
      <c r="E51" s="18">
        <v>28.122</v>
      </c>
      <c r="F51" s="18">
        <v>43.805999999999997</v>
      </c>
      <c r="G51" s="18">
        <v>52.238</v>
      </c>
      <c r="H51" s="18">
        <v>51.137</v>
      </c>
      <c r="I51" s="18">
        <v>37.868000000000002</v>
      </c>
      <c r="J51" s="18">
        <v>29.699000000000002</v>
      </c>
      <c r="K51" s="18">
        <v>22.003</v>
      </c>
      <c r="L51" s="18">
        <v>16.989000000000001</v>
      </c>
      <c r="M51" s="18">
        <v>39.909999999999997</v>
      </c>
      <c r="N51" s="18">
        <v>24.849</v>
      </c>
      <c r="O51" s="18">
        <v>24.434000000000001</v>
      </c>
      <c r="P51" s="18">
        <v>90.108000000000004</v>
      </c>
      <c r="Q51" s="18">
        <v>69.206000000000003</v>
      </c>
      <c r="R51" s="18">
        <v>66.251000000000005</v>
      </c>
      <c r="S51" s="18">
        <v>30.78</v>
      </c>
      <c r="T51" s="18">
        <v>22.058</v>
      </c>
      <c r="U51" s="18">
        <v>25.099</v>
      </c>
      <c r="V51" s="18">
        <v>24.591000000000001</v>
      </c>
      <c r="W51" s="40">
        <v>14.358000000000001</v>
      </c>
      <c r="X51" s="40">
        <v>12.872</v>
      </c>
      <c r="Y51" s="40">
        <v>16.327000000000002</v>
      </c>
      <c r="Z51" s="40">
        <v>38.567</v>
      </c>
      <c r="AA51" s="40">
        <v>26.532</v>
      </c>
      <c r="AB51" s="40">
        <v>49.978000000000002</v>
      </c>
      <c r="AC51" s="40">
        <v>27.048999999999999</v>
      </c>
      <c r="AD51" s="40">
        <v>25.585999999999999</v>
      </c>
      <c r="AE51" s="40">
        <v>16.975999999999999</v>
      </c>
      <c r="AF51" s="40">
        <v>24.058</v>
      </c>
      <c r="AG51" s="40">
        <v>33.936999999999998</v>
      </c>
      <c r="AH51" s="40">
        <v>29.853000000000002</v>
      </c>
      <c r="AI51" s="40">
        <v>24.215</v>
      </c>
      <c r="AJ51" s="40">
        <v>31.402999999999999</v>
      </c>
      <c r="AK51" s="40">
        <v>127.995</v>
      </c>
      <c r="AL51" s="40">
        <v>36.578000000000003</v>
      </c>
      <c r="AM51" s="40">
        <v>38.402000000000001</v>
      </c>
      <c r="AN51" s="40">
        <v>35.595999999999997</v>
      </c>
      <c r="AO51" s="40">
        <v>39.811</v>
      </c>
      <c r="AP51" s="40">
        <v>29.533999999999999</v>
      </c>
      <c r="AQ51" s="40">
        <v>31.155000000000001</v>
      </c>
      <c r="AR51" s="40">
        <v>26.4</v>
      </c>
    </row>
    <row r="52" spans="1:44" ht="15" customHeight="1">
      <c r="A52" t="s">
        <v>120</v>
      </c>
      <c r="B52" s="11" t="str">
        <f>IF('Sumário | Summary'!P1=1,"Exigível a longo prazo","Long-term liabilities")</f>
        <v>Exigível a longo prazo</v>
      </c>
      <c r="C52" s="6">
        <v>2049.7829999999999</v>
      </c>
      <c r="D52" s="6">
        <v>1879.5033999999998</v>
      </c>
      <c r="E52" s="6">
        <v>1962.3346000000001</v>
      </c>
      <c r="F52" s="6">
        <v>2135.1492000000003</v>
      </c>
      <c r="G52" s="6">
        <v>2080.8506000000002</v>
      </c>
      <c r="H52" s="6">
        <v>2012.1790000000001</v>
      </c>
      <c r="I52" s="6">
        <v>1459.9469999999999</v>
      </c>
      <c r="J52" s="6">
        <v>1328.25</v>
      </c>
      <c r="K52" s="6">
        <v>1462.3130000000001</v>
      </c>
      <c r="L52" s="6">
        <v>1420.9459999999999</v>
      </c>
      <c r="M52" s="6">
        <v>1308.4580000000001</v>
      </c>
      <c r="N52" s="6">
        <v>1317.576</v>
      </c>
      <c r="O52" s="127">
        <f t="shared" ref="O52:AF52" si="6">SUM(O53:O63)</f>
        <v>1262.8579999999997</v>
      </c>
      <c r="P52" s="127">
        <f t="shared" si="6"/>
        <v>1524.4889999999998</v>
      </c>
      <c r="Q52" s="127">
        <f t="shared" si="6"/>
        <v>1404.5949999999998</v>
      </c>
      <c r="R52" s="127">
        <f t="shared" si="6"/>
        <v>1491.4209999999998</v>
      </c>
      <c r="S52" s="127">
        <f t="shared" si="6"/>
        <v>1437.0739999999998</v>
      </c>
      <c r="T52" s="127">
        <f t="shared" si="6"/>
        <v>1441.5890000000002</v>
      </c>
      <c r="U52" s="127">
        <f t="shared" si="6"/>
        <v>1391.1539999999998</v>
      </c>
      <c r="V52" s="127">
        <f t="shared" si="6"/>
        <v>1388.671</v>
      </c>
      <c r="W52" s="127">
        <f t="shared" si="6"/>
        <v>1325.2700000000002</v>
      </c>
      <c r="X52" s="127">
        <f t="shared" si="6"/>
        <v>1514.1029999999998</v>
      </c>
      <c r="Y52" s="127">
        <f t="shared" si="6"/>
        <v>1473.4119999999998</v>
      </c>
      <c r="Z52" s="127">
        <f t="shared" si="6"/>
        <v>1420.635</v>
      </c>
      <c r="AA52" s="127">
        <f t="shared" si="6"/>
        <v>1351.1950000000002</v>
      </c>
      <c r="AB52" s="127">
        <f t="shared" si="6"/>
        <v>1201.7380000000001</v>
      </c>
      <c r="AC52" s="127">
        <f t="shared" si="6"/>
        <v>1111.337</v>
      </c>
      <c r="AD52" s="127">
        <f t="shared" si="6"/>
        <v>1089.4399999999998</v>
      </c>
      <c r="AE52" s="127">
        <f t="shared" si="6"/>
        <v>1097.7279999999998</v>
      </c>
      <c r="AF52" s="127">
        <f t="shared" si="6"/>
        <v>1047.6390000000001</v>
      </c>
      <c r="AG52" s="127">
        <v>1050.3030000000001</v>
      </c>
      <c r="AH52" s="127">
        <v>1051.22</v>
      </c>
      <c r="AI52" s="127">
        <f>SUM(AI53:AI63)</f>
        <v>959.26600000000008</v>
      </c>
      <c r="AJ52" s="127">
        <v>896.43100000000004</v>
      </c>
      <c r="AK52" s="127">
        <v>859.91499999999996</v>
      </c>
      <c r="AL52" s="127">
        <v>741.92200000000014</v>
      </c>
      <c r="AM52" s="127">
        <v>749.81299999999999</v>
      </c>
      <c r="AN52" s="127">
        <v>506.56900000000007</v>
      </c>
      <c r="AO52" s="127">
        <v>492.76100000000002</v>
      </c>
      <c r="AP52" s="127">
        <v>489.59099999999995</v>
      </c>
      <c r="AQ52" s="127">
        <v>494.07500000000005</v>
      </c>
      <c r="AR52" s="127">
        <f>SUM(AR53:AR63)</f>
        <v>483.15399999999994</v>
      </c>
    </row>
    <row r="53" spans="1:44" ht="15" customHeight="1">
      <c r="A53" t="s">
        <v>191</v>
      </c>
      <c r="B53" s="21" t="str">
        <f>IF('Sumário | Summary'!P1=1,"Empréstimos e financiamentos","Loans and Financing")</f>
        <v>Empréstimos e financiamentos</v>
      </c>
      <c r="C53" s="18">
        <v>1399.104</v>
      </c>
      <c r="D53" s="18">
        <v>1251.203</v>
      </c>
      <c r="E53" s="18">
        <v>1224.5419999999999</v>
      </c>
      <c r="F53" s="18">
        <v>1199.443</v>
      </c>
      <c r="G53" s="18">
        <v>1193.7950000000001</v>
      </c>
      <c r="H53" s="18">
        <v>1128.961</v>
      </c>
      <c r="I53" s="18">
        <v>811.38599999999997</v>
      </c>
      <c r="J53" s="18">
        <v>795.53599999999994</v>
      </c>
      <c r="K53" s="18">
        <v>759.10799999999995</v>
      </c>
      <c r="L53" s="18">
        <v>730.29899999999998</v>
      </c>
      <c r="M53" s="18">
        <v>725.51400000000001</v>
      </c>
      <c r="N53" s="18">
        <v>505.15600000000001</v>
      </c>
      <c r="O53" s="18">
        <v>500.07299999999998</v>
      </c>
      <c r="P53" s="18">
        <v>467.79899999999998</v>
      </c>
      <c r="Q53" s="18">
        <v>465.77800000000002</v>
      </c>
      <c r="R53" s="18">
        <v>179.077</v>
      </c>
      <c r="S53" s="18">
        <v>57.521999999999998</v>
      </c>
      <c r="T53" s="18">
        <v>56.441000000000003</v>
      </c>
      <c r="U53" s="18">
        <v>55.337000000000003</v>
      </c>
      <c r="V53" s="18">
        <v>54.209000000000003</v>
      </c>
      <c r="W53" s="40">
        <v>53.055999999999997</v>
      </c>
      <c r="X53" s="40">
        <v>51.878999999999998</v>
      </c>
      <c r="Y53" s="40">
        <v>50.677</v>
      </c>
      <c r="Z53" s="40">
        <v>0</v>
      </c>
      <c r="AA53" s="40">
        <v>0</v>
      </c>
      <c r="AB53" s="40">
        <v>0</v>
      </c>
      <c r="AC53" s="40">
        <v>0</v>
      </c>
      <c r="AD53" s="40">
        <v>0</v>
      </c>
      <c r="AE53" s="40">
        <v>0</v>
      </c>
      <c r="AF53" s="40">
        <v>0</v>
      </c>
      <c r="AG53" s="40">
        <v>0</v>
      </c>
      <c r="AH53" s="40">
        <v>0</v>
      </c>
      <c r="AI53" s="40">
        <v>0</v>
      </c>
      <c r="AJ53" s="40">
        <v>0</v>
      </c>
      <c r="AK53" s="40">
        <v>0</v>
      </c>
      <c r="AL53" s="40">
        <v>0</v>
      </c>
      <c r="AM53" s="40">
        <v>0</v>
      </c>
      <c r="AN53" s="40">
        <v>0</v>
      </c>
      <c r="AO53" s="40">
        <v>0</v>
      </c>
      <c r="AP53" s="40">
        <v>0</v>
      </c>
      <c r="AQ53" s="40">
        <v>0</v>
      </c>
      <c r="AR53" s="40">
        <v>0</v>
      </c>
    </row>
    <row r="54" spans="1:44" ht="15" customHeight="1">
      <c r="A54" t="s">
        <v>192</v>
      </c>
      <c r="B54" s="21" t="str">
        <f>IF('Sumário | Summary'!P1=1,"Debêntures","Debentures")</f>
        <v>Debêntures</v>
      </c>
      <c r="C54" s="18">
        <v>479.839</v>
      </c>
      <c r="D54" s="18">
        <v>462.55200000000002</v>
      </c>
      <c r="E54" s="18">
        <v>439.70400000000001</v>
      </c>
      <c r="F54" s="18">
        <v>643.06600000000003</v>
      </c>
      <c r="G54" s="18">
        <v>606.89400000000001</v>
      </c>
      <c r="H54" s="18">
        <v>606.06600000000003</v>
      </c>
      <c r="I54" s="18">
        <v>490.238</v>
      </c>
      <c r="J54" s="18">
        <v>376.51299999999998</v>
      </c>
      <c r="K54" s="18">
        <v>670.27099999999996</v>
      </c>
      <c r="L54" s="18">
        <v>664.39400000000001</v>
      </c>
      <c r="M54" s="18">
        <v>560.81700000000001</v>
      </c>
      <c r="N54" s="18">
        <v>792.5</v>
      </c>
      <c r="O54" s="18">
        <v>744.61199999999997</v>
      </c>
      <c r="P54" s="18">
        <v>1046.002</v>
      </c>
      <c r="Q54" s="18">
        <v>929.00699999999995</v>
      </c>
      <c r="R54" s="18">
        <v>1299.21</v>
      </c>
      <c r="S54" s="18">
        <v>1247.047</v>
      </c>
      <c r="T54" s="18">
        <v>1254.1020000000001</v>
      </c>
      <c r="U54" s="18">
        <v>1205.1869999999999</v>
      </c>
      <c r="V54" s="18">
        <v>1201.873</v>
      </c>
      <c r="W54" s="40">
        <v>1135.1959999999999</v>
      </c>
      <c r="X54" s="40">
        <v>1325.079</v>
      </c>
      <c r="Y54" s="40">
        <v>1286.627</v>
      </c>
      <c r="Z54" s="40">
        <v>1287.8679999999999</v>
      </c>
      <c r="AA54" s="40">
        <v>1217.1010000000001</v>
      </c>
      <c r="AB54" s="40">
        <v>1068.4929999999999</v>
      </c>
      <c r="AC54" s="40">
        <v>978.05200000000002</v>
      </c>
      <c r="AD54" s="40">
        <v>953.70100000000002</v>
      </c>
      <c r="AE54" s="40">
        <v>961.68799999999999</v>
      </c>
      <c r="AF54" s="40">
        <v>915.36099999999999</v>
      </c>
      <c r="AG54" s="40">
        <v>917.59199999999998</v>
      </c>
      <c r="AH54" s="40">
        <v>918.524</v>
      </c>
      <c r="AI54" s="40">
        <v>827.81200000000001</v>
      </c>
      <c r="AJ54" s="40">
        <v>842.01800000000003</v>
      </c>
      <c r="AK54" s="40">
        <v>801.56600000000003</v>
      </c>
      <c r="AL54" s="40">
        <v>684.83</v>
      </c>
      <c r="AM54" s="40">
        <v>691.399</v>
      </c>
      <c r="AN54" s="40">
        <v>452.76100000000002</v>
      </c>
      <c r="AO54" s="40">
        <v>450.25900000000001</v>
      </c>
      <c r="AP54" s="40">
        <v>450.71</v>
      </c>
      <c r="AQ54" s="40">
        <v>454.411</v>
      </c>
      <c r="AR54" s="40">
        <v>460.11500000000001</v>
      </c>
    </row>
    <row r="55" spans="1:44" ht="15" customHeight="1">
      <c r="A55" t="s">
        <v>199</v>
      </c>
      <c r="B55" s="39" t="str">
        <f>IF('Sumário | Summary'!P1=1,"Notas Promissórias","Promissory Notes")</f>
        <v>Notas Promissórias</v>
      </c>
      <c r="C55" s="18">
        <v>0</v>
      </c>
      <c r="D55" s="18">
        <v>0</v>
      </c>
      <c r="E55" s="18">
        <v>135</v>
      </c>
      <c r="F55" s="18">
        <v>135</v>
      </c>
      <c r="G55" s="18">
        <v>127.5</v>
      </c>
      <c r="H55" s="18">
        <v>127.5</v>
      </c>
      <c r="I55" s="18">
        <v>120</v>
      </c>
      <c r="J55" s="18">
        <v>120</v>
      </c>
      <c r="K55" s="18">
        <v>0</v>
      </c>
      <c r="L55" s="18">
        <v>0</v>
      </c>
      <c r="M55" s="18">
        <v>0</v>
      </c>
      <c r="N55" s="18">
        <v>0</v>
      </c>
      <c r="O55" s="18">
        <v>0</v>
      </c>
      <c r="P55" s="18">
        <v>0</v>
      </c>
      <c r="Q55" s="18">
        <v>0</v>
      </c>
      <c r="R55" s="18">
        <v>0</v>
      </c>
      <c r="S55" s="18">
        <v>0</v>
      </c>
      <c r="T55" s="18">
        <v>0</v>
      </c>
      <c r="U55" s="18">
        <v>0</v>
      </c>
      <c r="V55" s="18">
        <v>0</v>
      </c>
      <c r="W55" s="40">
        <v>0</v>
      </c>
      <c r="X55" s="40">
        <v>0</v>
      </c>
      <c r="Y55" s="40">
        <v>0</v>
      </c>
      <c r="Z55" s="40">
        <v>0</v>
      </c>
      <c r="AA55" s="40">
        <v>0</v>
      </c>
      <c r="AB55" s="40">
        <v>0</v>
      </c>
      <c r="AC55" s="40">
        <v>0</v>
      </c>
      <c r="AD55" s="40">
        <v>0</v>
      </c>
      <c r="AE55" s="40">
        <v>0</v>
      </c>
      <c r="AF55" s="40">
        <v>0</v>
      </c>
      <c r="AG55" s="40">
        <v>0</v>
      </c>
      <c r="AH55" s="40">
        <v>0</v>
      </c>
      <c r="AI55" s="40">
        <v>0</v>
      </c>
      <c r="AJ55" s="40">
        <v>0</v>
      </c>
      <c r="AK55" s="40">
        <v>0</v>
      </c>
      <c r="AL55" s="40">
        <v>0</v>
      </c>
      <c r="AM55" s="40">
        <v>0</v>
      </c>
      <c r="AN55" s="40">
        <v>0</v>
      </c>
      <c r="AO55" s="40">
        <v>0</v>
      </c>
      <c r="AP55" s="40">
        <v>0</v>
      </c>
      <c r="AQ55" s="40">
        <v>0</v>
      </c>
      <c r="AR55" s="40">
        <v>0</v>
      </c>
    </row>
    <row r="56" spans="1:44" ht="15" customHeight="1">
      <c r="A56" t="s">
        <v>194</v>
      </c>
      <c r="B56" s="21" t="str">
        <f>IF('Sumário | Summary'!P1=1,"Impostos e contribuições diferidos","Tax and Contributions - Deferred")</f>
        <v>Impostos e contribuições diferidos</v>
      </c>
      <c r="C56" s="18">
        <v>11.08</v>
      </c>
      <c r="D56" s="18">
        <v>10.6</v>
      </c>
      <c r="E56" s="18">
        <v>10.260999999999999</v>
      </c>
      <c r="F56" s="18">
        <v>9.6660000000000004</v>
      </c>
      <c r="G56" s="18">
        <v>9.1180000000000003</v>
      </c>
      <c r="H56" s="18">
        <v>8.76</v>
      </c>
      <c r="I56" s="18">
        <v>8.4369999999999994</v>
      </c>
      <c r="J56" s="18">
        <v>8.1349999999999998</v>
      </c>
      <c r="K56" s="18">
        <v>7.5890000000000004</v>
      </c>
      <c r="L56" s="18">
        <v>4.4080000000000004</v>
      </c>
      <c r="M56" s="18">
        <v>3.6110000000000002</v>
      </c>
      <c r="N56" s="18">
        <v>3.2</v>
      </c>
      <c r="O56" s="18">
        <v>2.8889999999999998</v>
      </c>
      <c r="P56" s="18">
        <v>2.524</v>
      </c>
      <c r="Q56" s="18">
        <v>2.1309999999999998</v>
      </c>
      <c r="R56" s="18">
        <v>1.8979999999999999</v>
      </c>
      <c r="S56" s="18">
        <v>1.6379999999999999</v>
      </c>
      <c r="T56" s="18">
        <v>1.502</v>
      </c>
      <c r="U56" s="18">
        <v>1.417</v>
      </c>
      <c r="V56" s="18">
        <v>1.3540000000000001</v>
      </c>
      <c r="W56" s="40">
        <v>1.381</v>
      </c>
      <c r="X56" s="40">
        <v>1.262</v>
      </c>
      <c r="Y56" s="40">
        <v>1.3480000000000001</v>
      </c>
      <c r="Z56" s="40">
        <v>1.258</v>
      </c>
      <c r="AA56" s="40">
        <v>1.3280000000000001</v>
      </c>
      <c r="AB56" s="40">
        <v>1.218</v>
      </c>
      <c r="AC56" s="40">
        <v>1.1819999999999999</v>
      </c>
      <c r="AD56" s="40">
        <v>1.125</v>
      </c>
      <c r="AE56" s="40">
        <v>1.052</v>
      </c>
      <c r="AF56" s="40">
        <v>1.071</v>
      </c>
      <c r="AG56" s="40">
        <v>1.1499999999999999</v>
      </c>
      <c r="AH56" s="40">
        <v>1.1499999999999999</v>
      </c>
      <c r="AI56" s="40">
        <v>1.099</v>
      </c>
      <c r="AJ56" s="40">
        <v>0.63300000000000001</v>
      </c>
      <c r="AK56" s="40">
        <v>0.63300000000000001</v>
      </c>
      <c r="AL56" s="40">
        <v>0.59399999999999997</v>
      </c>
      <c r="AM56" s="40">
        <v>0.63400000000000001</v>
      </c>
      <c r="AN56" s="40">
        <v>0.59799999999999998</v>
      </c>
      <c r="AO56" s="40">
        <v>0.60299999999999998</v>
      </c>
      <c r="AP56" s="40">
        <v>0.59</v>
      </c>
      <c r="AQ56" s="40">
        <v>0.58599999999999997</v>
      </c>
      <c r="AR56" s="40">
        <v>0.55300000000000005</v>
      </c>
    </row>
    <row r="57" spans="1:44">
      <c r="A57" t="s">
        <v>195</v>
      </c>
      <c r="B57" s="28" t="str">
        <f>IF('Sumário | Summary'!P1=1,"Receita res-sperata a apropriar","Key Money to be Recognized")</f>
        <v>Receita res-sperata a apropriar</v>
      </c>
      <c r="C57" s="18">
        <v>46.64</v>
      </c>
      <c r="D57" s="18">
        <v>43.638400000000004</v>
      </c>
      <c r="E57" s="18">
        <v>41.061599999999999</v>
      </c>
      <c r="F57" s="18">
        <v>37.199199999999998</v>
      </c>
      <c r="G57" s="18">
        <v>33.1496</v>
      </c>
      <c r="H57" s="18">
        <v>30.571999999999999</v>
      </c>
      <c r="I57" s="18">
        <v>28.216000000000001</v>
      </c>
      <c r="J57" s="18">
        <v>26.24</v>
      </c>
      <c r="K57" s="18">
        <v>23.045000000000002</v>
      </c>
      <c r="L57" s="18">
        <v>20.576000000000001</v>
      </c>
      <c r="M57" s="18">
        <v>16.457999999999998</v>
      </c>
      <c r="N57" s="18">
        <v>14.824</v>
      </c>
      <c r="O57" s="18">
        <v>13.388</v>
      </c>
      <c r="P57" s="18">
        <v>6.2939999999999996</v>
      </c>
      <c r="Q57" s="18">
        <v>5.6180000000000003</v>
      </c>
      <c r="R57" s="18">
        <v>5.0679999999999996</v>
      </c>
      <c r="S57" s="18">
        <v>5.8209999999999997</v>
      </c>
      <c r="T57" s="18">
        <v>5.3810000000000002</v>
      </c>
      <c r="U57" s="18">
        <v>5.1029999999999998</v>
      </c>
      <c r="V57" s="18">
        <v>4.9269999999999996</v>
      </c>
      <c r="W57" s="40">
        <v>4.9480000000000004</v>
      </c>
      <c r="X57" s="40">
        <v>4.4880000000000004</v>
      </c>
      <c r="Y57" s="40">
        <v>5.5490000000000004</v>
      </c>
      <c r="Z57" s="40">
        <v>4.8339999999999996</v>
      </c>
      <c r="AA57" s="40">
        <v>5.0529999999999999</v>
      </c>
      <c r="AB57" s="40">
        <v>4.6929999999999996</v>
      </c>
      <c r="AC57" s="40">
        <v>4.7290000000000001</v>
      </c>
      <c r="AD57" s="40">
        <v>5.7119999999999997</v>
      </c>
      <c r="AE57" s="40">
        <v>5.6689999999999996</v>
      </c>
      <c r="AF57" s="40">
        <v>4.4610000000000003</v>
      </c>
      <c r="AG57" s="40">
        <v>5.0430000000000001</v>
      </c>
      <c r="AH57" s="40">
        <v>5.0019999999999998</v>
      </c>
      <c r="AI57" s="40">
        <v>4.4770000000000003</v>
      </c>
      <c r="AJ57" s="40">
        <v>7.22</v>
      </c>
      <c r="AK57" s="40">
        <v>11.521000000000001</v>
      </c>
      <c r="AL57" s="40">
        <v>11.571</v>
      </c>
      <c r="AM57" s="40">
        <v>13.204000000000001</v>
      </c>
      <c r="AN57" s="40">
        <v>8.7899999999999991</v>
      </c>
      <c r="AO57" s="40">
        <v>13.747</v>
      </c>
      <c r="AP57" s="40">
        <v>10.249000000000001</v>
      </c>
      <c r="AQ57" s="40">
        <v>11.201000000000001</v>
      </c>
      <c r="AR57" s="40">
        <v>7.9240000000000004</v>
      </c>
    </row>
    <row r="58" spans="1:44">
      <c r="A58" t="s">
        <v>196</v>
      </c>
      <c r="B58" s="28" t="str">
        <f>IF('Sumário | Summary'!P1=1,"Demais contas a pagar","Other accounts payable")</f>
        <v>Demais contas a pagar</v>
      </c>
      <c r="C58" s="18">
        <v>1.504</v>
      </c>
      <c r="D58" s="18">
        <v>0</v>
      </c>
      <c r="E58" s="18">
        <v>0.33400000000000002</v>
      </c>
      <c r="F58" s="18">
        <v>0.32100000000000001</v>
      </c>
      <c r="G58" s="18">
        <v>0</v>
      </c>
      <c r="H58" s="18">
        <v>0</v>
      </c>
      <c r="I58" s="18">
        <v>0</v>
      </c>
      <c r="J58" s="18">
        <v>0</v>
      </c>
      <c r="K58" s="18">
        <v>0</v>
      </c>
      <c r="L58" s="18">
        <v>4.0000000000000001E-3</v>
      </c>
      <c r="M58" s="18">
        <v>0</v>
      </c>
      <c r="N58" s="18">
        <v>0</v>
      </c>
      <c r="O58" s="18">
        <v>0</v>
      </c>
      <c r="P58" s="18">
        <v>0</v>
      </c>
      <c r="Q58" s="18">
        <v>0</v>
      </c>
      <c r="R58" s="18">
        <v>2E-3</v>
      </c>
      <c r="S58" s="18">
        <v>1E-3</v>
      </c>
      <c r="T58" s="18">
        <v>1E-3</v>
      </c>
      <c r="U58" s="18">
        <v>2E-3</v>
      </c>
      <c r="V58" s="18">
        <v>0</v>
      </c>
      <c r="W58" s="40">
        <v>3.992</v>
      </c>
      <c r="X58" s="40">
        <v>3.847</v>
      </c>
      <c r="Y58" s="40">
        <v>4.468</v>
      </c>
      <c r="Z58" s="40">
        <v>4.2130000000000001</v>
      </c>
      <c r="AA58" s="40">
        <v>4.2119999999999997</v>
      </c>
      <c r="AB58" s="40">
        <v>3.7069999999999999</v>
      </c>
      <c r="AC58" s="40">
        <v>3.4609999999999999</v>
      </c>
      <c r="AD58" s="40">
        <v>3.2170000000000001</v>
      </c>
      <c r="AE58" s="40">
        <v>2.98</v>
      </c>
      <c r="AF58" s="40">
        <v>0</v>
      </c>
      <c r="AG58" s="40">
        <v>0.01</v>
      </c>
      <c r="AH58" s="40">
        <v>1.7999999999999999E-2</v>
      </c>
      <c r="AI58" s="40">
        <v>0.02</v>
      </c>
      <c r="AJ58" s="40">
        <v>0.122</v>
      </c>
      <c r="AK58" s="40">
        <v>0</v>
      </c>
      <c r="AL58" s="40">
        <v>0</v>
      </c>
      <c r="AM58" s="40">
        <v>0</v>
      </c>
      <c r="AN58" s="40">
        <v>0</v>
      </c>
      <c r="AO58" s="40">
        <v>0</v>
      </c>
      <c r="AP58" s="40">
        <v>0</v>
      </c>
      <c r="AQ58" s="40">
        <v>0</v>
      </c>
      <c r="AR58" s="40">
        <v>0</v>
      </c>
    </row>
    <row r="59" spans="1:44" ht="15" customHeight="1">
      <c r="A59" t="s">
        <v>193</v>
      </c>
      <c r="B59" s="28" t="str">
        <f>IF('Sumário | Summary'!P1=1,"Contas a pagar por aquisição de imóveis","Accounts payable due to real estate acquisition")</f>
        <v>Contas a pagar por aquisição de imóveis</v>
      </c>
      <c r="C59" s="18" t="s">
        <v>18</v>
      </c>
      <c r="D59" s="18" t="s">
        <v>18</v>
      </c>
      <c r="E59" s="18" t="s">
        <v>18</v>
      </c>
      <c r="F59" s="18" t="s">
        <v>18</v>
      </c>
      <c r="G59" s="18" t="s">
        <v>18</v>
      </c>
      <c r="H59" s="18" t="s">
        <v>18</v>
      </c>
      <c r="I59" s="18" t="s">
        <v>18</v>
      </c>
      <c r="J59" s="18" t="s">
        <v>18</v>
      </c>
      <c r="K59" s="18" t="s">
        <v>18</v>
      </c>
      <c r="L59" s="18" t="s">
        <v>18</v>
      </c>
      <c r="M59" s="18" t="s">
        <v>18</v>
      </c>
      <c r="N59" s="18" t="s">
        <v>18</v>
      </c>
      <c r="O59" s="18">
        <v>0</v>
      </c>
      <c r="P59" s="18" t="s">
        <v>18</v>
      </c>
      <c r="Q59" s="18">
        <v>0</v>
      </c>
      <c r="R59" s="18">
        <v>0</v>
      </c>
      <c r="S59" s="18">
        <v>118.825</v>
      </c>
      <c r="T59" s="18">
        <v>118.78100000000001</v>
      </c>
      <c r="U59" s="18">
        <v>118.733</v>
      </c>
      <c r="V59" s="18">
        <v>118.77800000000001</v>
      </c>
      <c r="W59" s="40">
        <v>118.806</v>
      </c>
      <c r="X59" s="40">
        <v>118.809</v>
      </c>
      <c r="Y59" s="40">
        <v>118.83499999999999</v>
      </c>
      <c r="Z59" s="40">
        <v>118.922</v>
      </c>
      <c r="AA59" s="40">
        <v>118.965</v>
      </c>
      <c r="AB59" s="40">
        <v>118.926</v>
      </c>
      <c r="AC59" s="40">
        <v>118.999</v>
      </c>
      <c r="AD59" s="40">
        <v>118.999</v>
      </c>
      <c r="AE59" s="40">
        <v>118.999</v>
      </c>
      <c r="AF59" s="40">
        <v>118.999</v>
      </c>
      <c r="AG59" s="40">
        <v>118.982</v>
      </c>
      <c r="AH59" s="40">
        <v>118.907</v>
      </c>
      <c r="AI59" s="40">
        <v>118.89400000000001</v>
      </c>
      <c r="AJ59" s="40">
        <v>39.630000000000003</v>
      </c>
      <c r="AK59" s="40">
        <v>39.631</v>
      </c>
      <c r="AL59" s="40">
        <v>39.637999999999998</v>
      </c>
      <c r="AM59" s="40">
        <v>39.668999999999997</v>
      </c>
      <c r="AN59" s="40">
        <v>39.649000000000001</v>
      </c>
      <c r="AO59" s="40">
        <v>26.385000000000002</v>
      </c>
      <c r="AP59" s="40">
        <v>26.385000000000002</v>
      </c>
      <c r="AQ59" s="40">
        <v>26.385000000000002</v>
      </c>
      <c r="AR59" s="40">
        <v>13.193</v>
      </c>
    </row>
    <row r="60" spans="1:44" ht="15" customHeight="1">
      <c r="A60" t="s">
        <v>197</v>
      </c>
      <c r="B60" s="21" t="str">
        <f>IF('Sumário | Summary'!P1=1,"Provisões para riscos trabalhistas, fiscais e cíveis","Provisions for labor, tax and civil contingencies")</f>
        <v>Provisões para riscos trabalhistas, fiscais e cíveis</v>
      </c>
      <c r="C60" s="18">
        <v>3.1030000000000002</v>
      </c>
      <c r="D60" s="18">
        <v>2.9969999999999999</v>
      </c>
      <c r="E60" s="18">
        <v>2.919</v>
      </c>
      <c r="F60" s="18">
        <v>1.9410000000000001</v>
      </c>
      <c r="G60" s="18">
        <v>1.881</v>
      </c>
      <c r="H60" s="18">
        <v>1.8069999999999999</v>
      </c>
      <c r="I60" s="18">
        <v>1.67</v>
      </c>
      <c r="J60" s="18">
        <v>1.8260000000000001</v>
      </c>
      <c r="K60" s="18">
        <v>2.2999999999999998</v>
      </c>
      <c r="L60" s="18">
        <v>1.2649999999999999</v>
      </c>
      <c r="M60" s="18">
        <v>2.0579999999999998</v>
      </c>
      <c r="N60" s="18">
        <v>1.8959999999999999</v>
      </c>
      <c r="O60" s="18">
        <v>1.8959999999999999</v>
      </c>
      <c r="P60" s="18">
        <v>1.87</v>
      </c>
      <c r="Q60" s="18">
        <v>2.0609999999999999</v>
      </c>
      <c r="R60" s="18">
        <v>6.1660000000000004</v>
      </c>
      <c r="S60" s="18">
        <v>6.22</v>
      </c>
      <c r="T60" s="18">
        <v>5.3810000000000002</v>
      </c>
      <c r="U60" s="18">
        <v>5.375</v>
      </c>
      <c r="V60" s="18">
        <v>7.53</v>
      </c>
      <c r="W60" s="40">
        <v>7.891</v>
      </c>
      <c r="X60" s="40">
        <v>8.7390000000000008</v>
      </c>
      <c r="Y60" s="40">
        <v>5.9080000000000004</v>
      </c>
      <c r="Z60" s="40">
        <v>3.54</v>
      </c>
      <c r="AA60" s="40">
        <v>4.5359999999999996</v>
      </c>
      <c r="AB60" s="40">
        <v>4.7009999999999996</v>
      </c>
      <c r="AC60" s="40">
        <v>4.9139999999999997</v>
      </c>
      <c r="AD60" s="40">
        <v>4.4269999999999996</v>
      </c>
      <c r="AE60" s="40">
        <v>4.3650000000000002</v>
      </c>
      <c r="AF60" s="40">
        <v>5.008</v>
      </c>
      <c r="AG60" s="40">
        <v>5.0199999999999996</v>
      </c>
      <c r="AH60" s="40">
        <v>5.3419999999999996</v>
      </c>
      <c r="AI60" s="40">
        <v>4.9130000000000003</v>
      </c>
      <c r="AJ60" s="40">
        <v>4.9790000000000001</v>
      </c>
      <c r="AK60" s="40">
        <v>4.9539999999999997</v>
      </c>
      <c r="AL60" s="40">
        <v>3.895</v>
      </c>
      <c r="AM60" s="40">
        <v>3.726</v>
      </c>
      <c r="AN60" s="40">
        <v>3.8</v>
      </c>
      <c r="AO60" s="40">
        <v>1.0029999999999999</v>
      </c>
      <c r="AP60" s="40">
        <v>1.0960000000000001</v>
      </c>
      <c r="AQ60" s="40">
        <v>1.1319999999999999</v>
      </c>
      <c r="AR60" s="40">
        <v>1.2070000000000001</v>
      </c>
    </row>
    <row r="61" spans="1:44">
      <c r="A61" t="s">
        <v>198</v>
      </c>
      <c r="B61" s="28" t="str">
        <f>IF('Sumário | Summary'!P1=1,"Adiantamentos de clientes - permuta","Advances from customers - exchange")</f>
        <v>Adiantamentos de clientes - permuta</v>
      </c>
      <c r="C61" s="18">
        <v>108.51300000000001</v>
      </c>
      <c r="D61" s="18">
        <v>108.51300000000001</v>
      </c>
      <c r="E61" s="18">
        <v>108.51300000000001</v>
      </c>
      <c r="F61" s="18">
        <v>108.51300000000001</v>
      </c>
      <c r="G61" s="18">
        <v>108.51300000000001</v>
      </c>
      <c r="H61" s="18">
        <v>108.51300000000001</v>
      </c>
      <c r="I61" s="18" t="s">
        <v>18</v>
      </c>
      <c r="J61" s="18" t="s">
        <v>18</v>
      </c>
      <c r="K61" s="18" t="s">
        <v>18</v>
      </c>
      <c r="L61" s="18" t="s">
        <v>18</v>
      </c>
      <c r="M61" s="18" t="s">
        <v>18</v>
      </c>
      <c r="N61" s="18" t="s">
        <v>18</v>
      </c>
      <c r="O61" s="120">
        <v>0</v>
      </c>
      <c r="P61" s="18">
        <v>0</v>
      </c>
      <c r="Q61" s="18">
        <v>0</v>
      </c>
      <c r="R61" s="18">
        <v>0</v>
      </c>
      <c r="S61" s="120">
        <v>0</v>
      </c>
      <c r="T61" s="120">
        <v>0</v>
      </c>
      <c r="U61" s="120">
        <v>0</v>
      </c>
      <c r="V61" s="120">
        <v>0</v>
      </c>
      <c r="W61" s="40">
        <v>0</v>
      </c>
      <c r="X61" s="40">
        <v>0</v>
      </c>
      <c r="Y61" s="40">
        <v>0</v>
      </c>
      <c r="Z61" s="40">
        <v>0</v>
      </c>
      <c r="AA61" s="40">
        <v>0</v>
      </c>
      <c r="AB61" s="40">
        <v>0</v>
      </c>
      <c r="AC61" s="40">
        <v>0</v>
      </c>
      <c r="AD61" s="40">
        <v>0</v>
      </c>
      <c r="AE61" s="40">
        <v>0</v>
      </c>
      <c r="AF61" s="40">
        <v>0</v>
      </c>
      <c r="AG61" s="40">
        <v>0</v>
      </c>
      <c r="AH61" s="40">
        <v>0</v>
      </c>
      <c r="AI61" s="40">
        <v>0</v>
      </c>
      <c r="AJ61" s="40">
        <v>0</v>
      </c>
      <c r="AK61" s="40">
        <v>0</v>
      </c>
      <c r="AL61" s="40">
        <v>0</v>
      </c>
      <c r="AM61" s="40">
        <v>0</v>
      </c>
      <c r="AN61" s="40">
        <v>0</v>
      </c>
      <c r="AO61" s="40">
        <v>0</v>
      </c>
      <c r="AP61" s="40">
        <v>0</v>
      </c>
      <c r="AQ61" s="40">
        <v>0</v>
      </c>
      <c r="AR61" s="40">
        <v>0</v>
      </c>
    </row>
    <row r="62" spans="1:44" ht="15.75" customHeight="1">
      <c r="A62" t="s">
        <v>119</v>
      </c>
      <c r="B62" s="28" t="str">
        <f>IF('Sumário | Summary'!P1=1,"CDU a apropriar","Key Money to Recognize ")</f>
        <v>CDU a apropriar</v>
      </c>
      <c r="C62" s="18" t="s">
        <v>18</v>
      </c>
      <c r="D62" s="18" t="s">
        <v>18</v>
      </c>
      <c r="E62" s="18" t="s">
        <v>18</v>
      </c>
      <c r="F62" s="18" t="s">
        <v>18</v>
      </c>
      <c r="G62" s="18" t="s">
        <v>18</v>
      </c>
      <c r="H62" s="18" t="s">
        <v>18</v>
      </c>
      <c r="I62" s="18" t="s">
        <v>18</v>
      </c>
      <c r="J62" s="18" t="s">
        <v>18</v>
      </c>
      <c r="K62" s="18" t="s">
        <v>18</v>
      </c>
      <c r="L62" s="18" t="s">
        <v>18</v>
      </c>
      <c r="M62" s="18" t="s">
        <v>18</v>
      </c>
      <c r="N62" s="18" t="s">
        <v>18</v>
      </c>
      <c r="O62" s="120">
        <v>0</v>
      </c>
      <c r="P62" s="18">
        <v>0</v>
      </c>
      <c r="Q62" s="18">
        <v>0</v>
      </c>
      <c r="R62" s="18">
        <v>0</v>
      </c>
      <c r="S62" s="120">
        <v>0</v>
      </c>
      <c r="T62" s="120">
        <v>0</v>
      </c>
      <c r="U62" s="120">
        <v>0</v>
      </c>
      <c r="V62" s="120">
        <v>0</v>
      </c>
      <c r="W62" s="122">
        <v>0</v>
      </c>
      <c r="X62" s="122">
        <v>0</v>
      </c>
      <c r="Y62" s="122">
        <v>0</v>
      </c>
      <c r="Z62" s="122">
        <v>0</v>
      </c>
      <c r="AA62" s="122">
        <v>0</v>
      </c>
      <c r="AB62" s="122">
        <v>0</v>
      </c>
      <c r="AC62" s="122">
        <v>0</v>
      </c>
      <c r="AD62" s="122">
        <v>0</v>
      </c>
      <c r="AE62" s="122">
        <v>0</v>
      </c>
      <c r="AF62" s="122">
        <v>0</v>
      </c>
      <c r="AG62" s="122">
        <v>0</v>
      </c>
      <c r="AH62" s="122">
        <v>0</v>
      </c>
      <c r="AI62" s="122">
        <v>0</v>
      </c>
      <c r="AJ62" s="122">
        <v>0</v>
      </c>
      <c r="AK62" s="122">
        <v>0</v>
      </c>
      <c r="AL62" s="122">
        <v>0</v>
      </c>
      <c r="AM62" s="122">
        <v>0</v>
      </c>
      <c r="AN62" s="122">
        <v>0</v>
      </c>
      <c r="AO62" s="122">
        <v>0</v>
      </c>
      <c r="AP62" s="122">
        <v>0</v>
      </c>
      <c r="AQ62" s="122">
        <v>0</v>
      </c>
      <c r="AR62" s="122">
        <v>0</v>
      </c>
    </row>
    <row r="63" spans="1:44" ht="15" customHeight="1">
      <c r="A63" t="s">
        <v>276</v>
      </c>
      <c r="B63" s="21" t="str">
        <f>IF('Sumário | Summary'!P1=1,"Passivo de arrendamento","Lease liability")</f>
        <v>Passivo de arrendamento</v>
      </c>
      <c r="C63" s="40">
        <v>0</v>
      </c>
      <c r="D63" s="40">
        <v>0</v>
      </c>
      <c r="E63" s="40">
        <v>0</v>
      </c>
      <c r="F63" s="40">
        <v>0</v>
      </c>
      <c r="G63" s="40">
        <v>0</v>
      </c>
      <c r="H63" s="40">
        <v>0</v>
      </c>
      <c r="I63" s="40">
        <v>0</v>
      </c>
      <c r="J63" s="40">
        <v>0</v>
      </c>
      <c r="K63" s="40">
        <v>0</v>
      </c>
      <c r="L63" s="40">
        <v>0</v>
      </c>
      <c r="M63" s="40">
        <v>0</v>
      </c>
      <c r="N63" s="40">
        <v>0</v>
      </c>
      <c r="O63" s="40">
        <v>0</v>
      </c>
      <c r="P63" s="40">
        <v>0</v>
      </c>
      <c r="Q63" s="40">
        <v>0</v>
      </c>
      <c r="R63" s="40">
        <v>0</v>
      </c>
      <c r="S63" s="40">
        <v>0</v>
      </c>
      <c r="T63" s="40">
        <v>0</v>
      </c>
      <c r="U63" s="40">
        <v>0</v>
      </c>
      <c r="V63" s="40">
        <v>0</v>
      </c>
      <c r="W63" s="40">
        <v>0</v>
      </c>
      <c r="X63" s="40">
        <v>0</v>
      </c>
      <c r="Y63" s="40">
        <v>0</v>
      </c>
      <c r="Z63" s="40">
        <v>0</v>
      </c>
      <c r="AA63" s="40">
        <v>0</v>
      </c>
      <c r="AB63" s="40">
        <v>0</v>
      </c>
      <c r="AC63" s="40">
        <v>0</v>
      </c>
      <c r="AD63" s="40">
        <v>2.2589999999999999</v>
      </c>
      <c r="AE63" s="40">
        <v>2.9750000000000001</v>
      </c>
      <c r="AF63" s="40">
        <v>2.7389999999999999</v>
      </c>
      <c r="AG63" s="40">
        <v>2.5059999999999998</v>
      </c>
      <c r="AH63" s="40">
        <v>2.2770000000000001</v>
      </c>
      <c r="AI63" s="40">
        <v>2.0510000000000002</v>
      </c>
      <c r="AJ63" s="40">
        <v>1.829</v>
      </c>
      <c r="AK63" s="40">
        <v>1.61</v>
      </c>
      <c r="AL63" s="40">
        <v>1.3939999999999999</v>
      </c>
      <c r="AM63" s="40">
        <v>1.181</v>
      </c>
      <c r="AN63" s="40">
        <v>0.97099999999999997</v>
      </c>
      <c r="AO63" s="40">
        <v>0.76400000000000001</v>
      </c>
      <c r="AP63" s="40">
        <v>0.56100000000000005</v>
      </c>
      <c r="AQ63" s="40">
        <v>0.36</v>
      </c>
      <c r="AR63" s="40">
        <v>0.16200000000000001</v>
      </c>
    </row>
    <row r="64" spans="1:44" s="30" customFormat="1">
      <c r="A64" t="s">
        <v>121</v>
      </c>
      <c r="B64" s="11" t="str">
        <f>IF('Sumário | Summary'!P1=1,"Participação de não controladores","Minority Shareholders")</f>
        <v>Participação de não controladores</v>
      </c>
      <c r="C64" s="6">
        <v>185.74199999999999</v>
      </c>
      <c r="D64" s="6">
        <v>184.822</v>
      </c>
      <c r="E64" s="6">
        <v>185.685</v>
      </c>
      <c r="F64" s="6">
        <v>183.59</v>
      </c>
      <c r="G64" s="6">
        <v>1.9E-2</v>
      </c>
      <c r="H64" s="6">
        <v>2.1999999999999999E-2</v>
      </c>
      <c r="I64" s="6">
        <v>8.0000000000000002E-3</v>
      </c>
      <c r="J64" s="6">
        <v>2.4E-2</v>
      </c>
      <c r="K64" s="6">
        <v>3.3000000000000002E-2</v>
      </c>
      <c r="L64" s="6">
        <v>4.2000000000000003E-2</v>
      </c>
      <c r="M64" s="6">
        <v>4.7E-2</v>
      </c>
      <c r="N64" s="6">
        <v>0.05</v>
      </c>
      <c r="O64" s="6">
        <v>5.5E-2</v>
      </c>
      <c r="P64" s="6">
        <v>6.0999999999999999E-2</v>
      </c>
      <c r="Q64" s="6">
        <v>6.7000000000000004E-2</v>
      </c>
      <c r="R64" s="6">
        <v>7.1999999999999995E-2</v>
      </c>
      <c r="S64" s="6">
        <v>-0.45100000000000001</v>
      </c>
      <c r="T64" s="6">
        <v>-0.753</v>
      </c>
      <c r="U64" s="6">
        <v>0.311</v>
      </c>
      <c r="V64" s="6">
        <v>-1.956</v>
      </c>
      <c r="W64" s="127">
        <v>0.29499999999999998</v>
      </c>
      <c r="X64" s="127">
        <v>0.249</v>
      </c>
      <c r="Y64" s="127">
        <v>-1.3260000000000001</v>
      </c>
      <c r="Z64" s="127">
        <v>0.11600000000000001</v>
      </c>
      <c r="AA64" s="127">
        <v>0.01</v>
      </c>
      <c r="AB64" s="127">
        <v>-4.3999999999999997E-2</v>
      </c>
      <c r="AC64" s="127">
        <v>-0.36299999999999999</v>
      </c>
      <c r="AD64" s="127">
        <v>2.2330000000000001</v>
      </c>
      <c r="AE64" s="127">
        <v>0.113</v>
      </c>
      <c r="AF64" s="127">
        <v>1.196</v>
      </c>
      <c r="AG64" s="127">
        <v>1.7889999999999999</v>
      </c>
      <c r="AH64" s="127">
        <v>0.48799999999999999</v>
      </c>
      <c r="AI64" s="127">
        <v>0.50600000000000001</v>
      </c>
      <c r="AJ64" s="127">
        <v>8.2289999999999992</v>
      </c>
      <c r="AK64" s="127">
        <v>0.34499999999999997</v>
      </c>
      <c r="AL64" s="127">
        <v>3.2530000000000001</v>
      </c>
      <c r="AM64" s="127">
        <v>0</v>
      </c>
      <c r="AN64" s="127">
        <v>0</v>
      </c>
      <c r="AO64" s="127">
        <v>0</v>
      </c>
      <c r="AP64" s="127">
        <v>0</v>
      </c>
      <c r="AQ64" s="127">
        <v>0</v>
      </c>
      <c r="AR64" s="127">
        <v>0</v>
      </c>
    </row>
    <row r="65" spans="1:44">
      <c r="A65" t="s">
        <v>122</v>
      </c>
      <c r="B65" s="11" t="str">
        <f>IF('Sumário | Summary'!P1=1,"Patrimônio Líquido","Shareholders' Equity")</f>
        <v>Patrimônio Líquido</v>
      </c>
      <c r="C65" s="6">
        <v>1203.087</v>
      </c>
      <c r="D65" s="6">
        <v>1190.171</v>
      </c>
      <c r="E65" s="6">
        <v>1173.2329999999999</v>
      </c>
      <c r="F65" s="6">
        <v>1175.68</v>
      </c>
      <c r="G65" s="6">
        <v>1155.4390000000001</v>
      </c>
      <c r="H65" s="6">
        <v>1139.2460000000001</v>
      </c>
      <c r="I65" s="6">
        <v>1168.068</v>
      </c>
      <c r="J65" s="6">
        <v>1161.008</v>
      </c>
      <c r="K65" s="6">
        <v>1168.5550000000001</v>
      </c>
      <c r="L65" s="6">
        <v>1194.58</v>
      </c>
      <c r="M65" s="6">
        <v>1179.202</v>
      </c>
      <c r="N65" s="6">
        <v>1045.423</v>
      </c>
      <c r="O65" s="127">
        <f t="shared" ref="O65:AF65" si="7">O6-O34-O64</f>
        <v>1048.6220000000001</v>
      </c>
      <c r="P65" s="127">
        <f t="shared" si="7"/>
        <v>1031.3540000000005</v>
      </c>
      <c r="Q65" s="127">
        <f t="shared" si="7"/>
        <v>1040.7510000000007</v>
      </c>
      <c r="R65" s="127">
        <f t="shared" si="7"/>
        <v>1904.0260000000005</v>
      </c>
      <c r="S65" s="127">
        <f t="shared" si="7"/>
        <v>1907.0539999999999</v>
      </c>
      <c r="T65" s="127">
        <f t="shared" si="7"/>
        <v>1830.5299999999995</v>
      </c>
      <c r="U65" s="127">
        <f t="shared" si="7"/>
        <v>1790.0300000000002</v>
      </c>
      <c r="V65" s="127">
        <f t="shared" si="7"/>
        <v>1627.6470000000002</v>
      </c>
      <c r="W65" s="127">
        <f t="shared" si="7"/>
        <v>1636.1069999999997</v>
      </c>
      <c r="X65" s="127">
        <f t="shared" si="7"/>
        <v>1641.2260000000001</v>
      </c>
      <c r="Y65" s="127">
        <f t="shared" si="7"/>
        <v>1651.6640000000007</v>
      </c>
      <c r="Z65" s="127">
        <f t="shared" si="7"/>
        <v>1665.2889999999998</v>
      </c>
      <c r="AA65" s="127">
        <f t="shared" si="7"/>
        <v>1652.1439999999996</v>
      </c>
      <c r="AB65" s="127">
        <f t="shared" si="7"/>
        <v>1543.3449999999998</v>
      </c>
      <c r="AC65" s="127">
        <f t="shared" si="7"/>
        <v>1550.4640000000002</v>
      </c>
      <c r="AD65" s="127">
        <f t="shared" si="7"/>
        <v>1526.454283</v>
      </c>
      <c r="AE65" s="127">
        <f t="shared" si="7"/>
        <v>1511.4000000000003</v>
      </c>
      <c r="AF65" s="127">
        <f t="shared" si="7"/>
        <v>1507.0659999999998</v>
      </c>
      <c r="AG65" s="127">
        <v>1510.731</v>
      </c>
      <c r="AH65" s="127">
        <v>1516.277</v>
      </c>
      <c r="AI65" s="127">
        <f>AI6-AI34-AI64</f>
        <v>1523.124</v>
      </c>
      <c r="AJ65" s="127">
        <v>2005.9419999999993</v>
      </c>
      <c r="AK65" s="127">
        <v>1573.3039999999996</v>
      </c>
      <c r="AL65" s="127">
        <v>1073.7880000000002</v>
      </c>
      <c r="AM65" s="127">
        <v>1091.9450000000002</v>
      </c>
      <c r="AN65" s="127">
        <v>1038.1729999999998</v>
      </c>
      <c r="AO65" s="127">
        <v>731.11099999999988</v>
      </c>
      <c r="AP65" s="127">
        <v>673.61699999999996</v>
      </c>
      <c r="AQ65" s="127">
        <v>692.81699999999989</v>
      </c>
      <c r="AR65" s="127">
        <f>AR6-AR34-AR64</f>
        <v>698.17600000000016</v>
      </c>
    </row>
  </sheetData>
  <phoneticPr fontId="158" type="noConversion"/>
  <pageMargins left="0.511811024" right="0.511811024" top="0.78740157499999996" bottom="0.78740157499999996" header="0.31496062000000002" footer="0.31496062000000002"/>
  <pageSetup paperSize="9" orientation="portrait" r:id="rId1"/>
  <ignoredErrors>
    <ignoredError sqref="AI18"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2DDC9-2F36-42FA-ABB1-BC84060FC581}">
  <sheetPr codeName="Planilha7"/>
  <dimension ref="A1:WVB197"/>
  <sheetViews>
    <sheetView showGridLines="0" showRowColHeaders="0" zoomScaleNormal="100" workbookViewId="0">
      <pane xSplit="2" ySplit="5" topLeftCell="BO6" activePane="bottomRight" state="frozen"/>
      <selection activeCell="B1" sqref="B1"/>
      <selection pane="topRight" activeCell="B1" sqref="B1"/>
      <selection pane="bottomLeft" activeCell="B1" sqref="B1"/>
      <selection pane="bottomRight" activeCell="B1" sqref="B1"/>
    </sheetView>
  </sheetViews>
  <sheetFormatPr defaultRowHeight="14.4" outlineLevelRow="1" outlineLevelCol="1"/>
  <cols>
    <col min="1" max="1" width="23.44140625" hidden="1" customWidth="1"/>
    <col min="2" max="2" width="43.21875" customWidth="1"/>
    <col min="3" max="37" width="14.33203125" style="2" hidden="1" customWidth="1" outlineLevel="1"/>
    <col min="38" max="38" width="14.33203125" style="2" customWidth="1" collapsed="1"/>
    <col min="39" max="46" width="14.33203125" style="2" customWidth="1"/>
    <col min="47" max="47" width="14.6640625" style="2" bestFit="1" customWidth="1"/>
    <col min="48" max="60" width="14.6640625" bestFit="1" customWidth="1"/>
    <col min="61" max="76" width="15.33203125" bestFit="1" customWidth="1"/>
  </cols>
  <sheetData>
    <row r="1" spans="1:76">
      <c r="B1" s="108" t="s">
        <v>42</v>
      </c>
      <c r="AM1" s="2" t="s">
        <v>26</v>
      </c>
      <c r="AN1" s="2" t="s">
        <v>26</v>
      </c>
      <c r="AO1" s="2" t="s">
        <v>26</v>
      </c>
      <c r="BG1" s="221"/>
      <c r="BH1" s="221"/>
      <c r="BI1" s="221"/>
      <c r="BJ1" s="221"/>
      <c r="BK1" s="221"/>
      <c r="BL1" s="221"/>
      <c r="BM1" s="221"/>
      <c r="BN1" s="221"/>
      <c r="BO1" s="221"/>
      <c r="BP1" s="221"/>
      <c r="BQ1" s="221"/>
      <c r="BR1" s="221"/>
      <c r="BS1" s="221"/>
      <c r="BT1" s="221"/>
      <c r="BU1" s="221"/>
      <c r="BV1" s="221"/>
      <c r="BW1" s="221"/>
      <c r="BX1" s="221"/>
    </row>
    <row r="2" spans="1:76">
      <c r="B2" s="108" t="s">
        <v>41</v>
      </c>
      <c r="BD2" s="226"/>
      <c r="BG2" s="221"/>
      <c r="BH2" s="221"/>
      <c r="BI2" s="221"/>
      <c r="BJ2" s="221"/>
      <c r="BK2" s="221"/>
      <c r="BL2" s="221"/>
      <c r="BM2" s="221"/>
      <c r="BN2" s="221"/>
      <c r="BO2" s="221"/>
      <c r="BP2" s="221"/>
      <c r="BQ2" s="221"/>
      <c r="BR2" s="221"/>
      <c r="BS2" s="221"/>
      <c r="BT2" s="221"/>
      <c r="BU2" s="221"/>
      <c r="BV2" s="221"/>
      <c r="BW2" s="221"/>
      <c r="BX2" s="221"/>
    </row>
    <row r="3" spans="1:76" s="223" customFormat="1">
      <c r="B3" s="224">
        <v>1</v>
      </c>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row>
    <row r="4" spans="1:76" ht="6.75" customHeight="1">
      <c r="B4" s="12"/>
      <c r="W4" s="16"/>
      <c r="X4" s="16"/>
      <c r="Y4" s="16"/>
      <c r="Z4" s="16"/>
      <c r="AA4" s="16"/>
      <c r="AB4" s="16"/>
      <c r="AC4" s="16"/>
      <c r="AD4" s="16"/>
      <c r="AE4" s="16"/>
      <c r="AF4" s="16"/>
      <c r="AG4" s="16"/>
      <c r="AH4" s="16"/>
      <c r="AI4" s="16"/>
      <c r="AJ4" s="16"/>
      <c r="AK4" s="16"/>
      <c r="AL4" s="16"/>
      <c r="AM4" s="16"/>
      <c r="AN4" s="16"/>
      <c r="AO4" s="16"/>
      <c r="AP4" s="16"/>
      <c r="AQ4" s="16"/>
      <c r="AR4" s="16"/>
      <c r="AS4" s="16"/>
      <c r="AT4" s="16"/>
      <c r="AU4" s="16"/>
      <c r="BN4" s="152"/>
      <c r="BO4" s="152"/>
      <c r="BP4" s="152"/>
      <c r="BQ4" s="152"/>
      <c r="BR4" s="152"/>
      <c r="BS4" s="152"/>
      <c r="BT4" s="152"/>
      <c r="BU4" s="152"/>
      <c r="BV4" s="152"/>
      <c r="BW4" s="152"/>
      <c r="BX4" s="152"/>
    </row>
    <row r="5" spans="1:76" s="7" customFormat="1" ht="18.75" customHeight="1">
      <c r="B5" s="188" t="str">
        <f>IF('Sumário | Summary'!P1=1,"Portfólio em Operação","Portfolio in Operation")</f>
        <v>Portfólio em Operação</v>
      </c>
      <c r="C5" s="189">
        <v>39508</v>
      </c>
      <c r="D5" s="189">
        <v>39600</v>
      </c>
      <c r="E5" s="189">
        <v>39692</v>
      </c>
      <c r="F5" s="189">
        <v>39783</v>
      </c>
      <c r="G5" s="189">
        <v>39873</v>
      </c>
      <c r="H5" s="189">
        <v>39965</v>
      </c>
      <c r="I5" s="189">
        <v>40057</v>
      </c>
      <c r="J5" s="189">
        <v>40148</v>
      </c>
      <c r="K5" s="189">
        <v>40238</v>
      </c>
      <c r="L5" s="189">
        <v>40330</v>
      </c>
      <c r="M5" s="189">
        <v>40422</v>
      </c>
      <c r="N5" s="189">
        <v>40513</v>
      </c>
      <c r="O5" s="189">
        <v>40603</v>
      </c>
      <c r="P5" s="189">
        <v>40695</v>
      </c>
      <c r="Q5" s="189">
        <v>40787</v>
      </c>
      <c r="R5" s="189">
        <v>40878</v>
      </c>
      <c r="S5" s="189">
        <v>40969</v>
      </c>
      <c r="T5" s="189">
        <v>41061</v>
      </c>
      <c r="U5" s="189">
        <v>41153</v>
      </c>
      <c r="V5" s="189">
        <v>41244</v>
      </c>
      <c r="W5" s="189">
        <v>41334</v>
      </c>
      <c r="X5" s="189">
        <v>41426</v>
      </c>
      <c r="Y5" s="189">
        <v>41518</v>
      </c>
      <c r="Z5" s="189">
        <v>41609</v>
      </c>
      <c r="AA5" s="189">
        <v>41699</v>
      </c>
      <c r="AB5" s="189">
        <v>41791</v>
      </c>
      <c r="AC5" s="189">
        <v>41883</v>
      </c>
      <c r="AD5" s="189">
        <v>41974</v>
      </c>
      <c r="AE5" s="189">
        <v>42064</v>
      </c>
      <c r="AF5" s="189">
        <v>42156</v>
      </c>
      <c r="AG5" s="189">
        <v>42248</v>
      </c>
      <c r="AH5" s="189">
        <v>42339</v>
      </c>
      <c r="AI5" s="189">
        <v>42430</v>
      </c>
      <c r="AJ5" s="189">
        <v>42522</v>
      </c>
      <c r="AK5" s="189">
        <v>42614</v>
      </c>
      <c r="AL5" s="189">
        <v>42705</v>
      </c>
      <c r="AM5" s="189">
        <v>42795</v>
      </c>
      <c r="AN5" s="189">
        <v>42887</v>
      </c>
      <c r="AO5" s="189">
        <v>42979</v>
      </c>
      <c r="AP5" s="189">
        <v>43070</v>
      </c>
      <c r="AQ5" s="189">
        <v>43160</v>
      </c>
      <c r="AR5" s="189">
        <v>43252</v>
      </c>
      <c r="AS5" s="189">
        <v>43344</v>
      </c>
      <c r="AT5" s="189">
        <v>43435</v>
      </c>
      <c r="AU5" s="189">
        <v>43525</v>
      </c>
      <c r="AV5" s="189">
        <v>43618</v>
      </c>
      <c r="AW5" s="189">
        <v>43710</v>
      </c>
      <c r="AX5" s="189">
        <v>43800</v>
      </c>
      <c r="AY5" s="189">
        <v>43891</v>
      </c>
      <c r="AZ5" s="189">
        <v>43983</v>
      </c>
      <c r="BA5" s="189">
        <v>44075</v>
      </c>
      <c r="BB5" s="189">
        <v>44166</v>
      </c>
      <c r="BC5" s="189">
        <v>44256</v>
      </c>
      <c r="BD5" s="189">
        <v>44348</v>
      </c>
      <c r="BE5" s="189">
        <v>44440</v>
      </c>
      <c r="BF5" s="189">
        <v>44561</v>
      </c>
      <c r="BG5" s="189">
        <v>44651</v>
      </c>
      <c r="BH5" s="189">
        <v>44742</v>
      </c>
      <c r="BI5" s="189">
        <v>44834</v>
      </c>
      <c r="BJ5" s="189">
        <v>44926</v>
      </c>
      <c r="BK5" s="189">
        <v>45016</v>
      </c>
      <c r="BL5" s="189">
        <v>45107</v>
      </c>
      <c r="BM5" s="189">
        <v>45199</v>
      </c>
      <c r="BN5" s="189">
        <v>45291</v>
      </c>
      <c r="BO5" s="189">
        <v>45382</v>
      </c>
      <c r="BP5" s="189">
        <v>45473</v>
      </c>
      <c r="BQ5" s="189">
        <v>45565</v>
      </c>
      <c r="BR5" s="189">
        <v>45657</v>
      </c>
      <c r="BS5" s="189">
        <v>45747</v>
      </c>
      <c r="BT5" s="189">
        <v>45838</v>
      </c>
      <c r="BU5" s="189">
        <v>45930</v>
      </c>
      <c r="BV5" s="189">
        <v>46022</v>
      </c>
      <c r="BW5" s="189">
        <v>46112</v>
      </c>
      <c r="BX5" s="189">
        <v>46203</v>
      </c>
    </row>
    <row r="6" spans="1:76" s="7" customFormat="1" ht="18.75" customHeight="1">
      <c r="B6" s="190" t="str">
        <f>IF('Sumário | Summary'!P1=1,"ABL Total do Empreendimento (m²)","Total building GLA (sqm)")</f>
        <v>ABL Total do Empreendimento (m²)</v>
      </c>
      <c r="C6" s="191" t="s">
        <v>82</v>
      </c>
      <c r="D6" s="191" t="s">
        <v>83</v>
      </c>
      <c r="E6" s="191" t="s">
        <v>84</v>
      </c>
      <c r="F6" s="191" t="s">
        <v>85</v>
      </c>
      <c r="G6" s="191" t="s">
        <v>86</v>
      </c>
      <c r="H6" s="191" t="s">
        <v>87</v>
      </c>
      <c r="I6" s="191" t="s">
        <v>88</v>
      </c>
      <c r="J6" s="191" t="s">
        <v>89</v>
      </c>
      <c r="K6" s="191" t="s">
        <v>90</v>
      </c>
      <c r="L6" s="191" t="s">
        <v>91</v>
      </c>
      <c r="M6" s="191" t="s">
        <v>92</v>
      </c>
      <c r="N6" s="191" t="s">
        <v>93</v>
      </c>
      <c r="O6" s="191" t="s">
        <v>94</v>
      </c>
      <c r="P6" s="191" t="s">
        <v>95</v>
      </c>
      <c r="Q6" s="191" t="s">
        <v>96</v>
      </c>
      <c r="R6" s="191" t="s">
        <v>97</v>
      </c>
      <c r="S6" s="191" t="s">
        <v>78</v>
      </c>
      <c r="T6" s="191" t="s">
        <v>79</v>
      </c>
      <c r="U6" s="191" t="s">
        <v>80</v>
      </c>
      <c r="V6" s="191" t="s">
        <v>81</v>
      </c>
      <c r="W6" s="191" t="s">
        <v>77</v>
      </c>
      <c r="X6" s="191" t="s">
        <v>76</v>
      </c>
      <c r="Y6" s="191" t="s">
        <v>75</v>
      </c>
      <c r="Z6" s="191" t="s">
        <v>74</v>
      </c>
      <c r="AA6" s="191" t="s">
        <v>73</v>
      </c>
      <c r="AB6" s="191" t="s">
        <v>72</v>
      </c>
      <c r="AC6" s="191" t="s">
        <v>71</v>
      </c>
      <c r="AD6" s="191" t="s">
        <v>70</v>
      </c>
      <c r="AE6" s="191" t="s">
        <v>69</v>
      </c>
      <c r="AF6" s="191" t="s">
        <v>68</v>
      </c>
      <c r="AG6" s="191" t="s">
        <v>67</v>
      </c>
      <c r="AH6" s="191" t="s">
        <v>66</v>
      </c>
      <c r="AI6" s="191" t="s">
        <v>59</v>
      </c>
      <c r="AJ6" s="191" t="s">
        <v>60</v>
      </c>
      <c r="AK6" s="191" t="s">
        <v>61</v>
      </c>
      <c r="AL6" s="191" t="s">
        <v>62</v>
      </c>
      <c r="AM6" s="191" t="s">
        <v>55</v>
      </c>
      <c r="AN6" s="191" t="s">
        <v>56</v>
      </c>
      <c r="AO6" s="191" t="s">
        <v>57</v>
      </c>
      <c r="AP6" s="191" t="s">
        <v>58</v>
      </c>
      <c r="AQ6" s="191" t="s">
        <v>54</v>
      </c>
      <c r="AR6" s="191" t="s">
        <v>53</v>
      </c>
      <c r="AS6" s="191" t="s">
        <v>52</v>
      </c>
      <c r="AT6" s="191" t="s">
        <v>51</v>
      </c>
      <c r="AU6" s="191" t="s">
        <v>43</v>
      </c>
      <c r="AV6" s="191" t="s">
        <v>44</v>
      </c>
      <c r="AW6" s="191" t="s">
        <v>46</v>
      </c>
      <c r="AX6" s="191" t="s">
        <v>47</v>
      </c>
      <c r="AY6" s="191" t="s">
        <v>50</v>
      </c>
      <c r="AZ6" s="191" t="s">
        <v>63</v>
      </c>
      <c r="BA6" s="191" t="s">
        <v>64</v>
      </c>
      <c r="BB6" s="191" t="s">
        <v>65</v>
      </c>
      <c r="BC6" s="191" t="s">
        <v>98</v>
      </c>
      <c r="BD6" s="191" t="s">
        <v>99</v>
      </c>
      <c r="BE6" s="191" t="s">
        <v>113</v>
      </c>
      <c r="BF6" s="191" t="s">
        <v>114</v>
      </c>
      <c r="BG6" s="191" t="s">
        <v>125</v>
      </c>
      <c r="BH6" s="191" t="s">
        <v>264</v>
      </c>
      <c r="BI6" s="191" t="s">
        <v>265</v>
      </c>
      <c r="BJ6" s="191" t="s">
        <v>271</v>
      </c>
      <c r="BK6" s="191" t="s">
        <v>283</v>
      </c>
      <c r="BL6" s="191" t="s">
        <v>286</v>
      </c>
      <c r="BM6" s="191" t="s">
        <v>288</v>
      </c>
      <c r="BN6" s="191" t="s">
        <v>312</v>
      </c>
      <c r="BO6" s="191" t="s">
        <v>318</v>
      </c>
      <c r="BP6" s="191" t="s">
        <v>320</v>
      </c>
      <c r="BQ6" s="191" t="s">
        <v>328</v>
      </c>
      <c r="BR6" s="191" t="s">
        <v>330</v>
      </c>
      <c r="BS6" s="191" t="s">
        <v>332</v>
      </c>
      <c r="BT6" s="191" t="s">
        <v>333</v>
      </c>
      <c r="BU6" s="191" t="s">
        <v>334</v>
      </c>
      <c r="BV6" s="191" t="s">
        <v>335</v>
      </c>
      <c r="BW6" s="191" t="s">
        <v>336</v>
      </c>
      <c r="BX6" s="191" t="s">
        <v>337</v>
      </c>
    </row>
    <row r="7" spans="1:76" s="15" customFormat="1" ht="15" customHeight="1">
      <c r="B7" s="136" t="str">
        <f>IF('Sumário | Summary'!P1=1,"Escritórios","Offices")</f>
        <v>Escritórios</v>
      </c>
      <c r="C7" s="128">
        <f t="shared" ref="C7:BN7" si="0">C8+C20</f>
        <v>66302.016000000003</v>
      </c>
      <c r="D7" s="128">
        <f t="shared" si="0"/>
        <v>81328.579999999987</v>
      </c>
      <c r="E7" s="128">
        <f t="shared" si="0"/>
        <v>81328.579999999987</v>
      </c>
      <c r="F7" s="128">
        <f t="shared" si="0"/>
        <v>81328.579999999987</v>
      </c>
      <c r="G7" s="128">
        <f t="shared" si="0"/>
        <v>88634.579999999987</v>
      </c>
      <c r="H7" s="128">
        <f t="shared" si="0"/>
        <v>88379.579999999987</v>
      </c>
      <c r="I7" s="128">
        <f t="shared" si="0"/>
        <v>88379.579999999987</v>
      </c>
      <c r="J7" s="128">
        <f t="shared" si="0"/>
        <v>87608.579999999987</v>
      </c>
      <c r="K7" s="128">
        <f t="shared" si="0"/>
        <v>85809.579999999987</v>
      </c>
      <c r="L7" s="128">
        <f t="shared" si="0"/>
        <v>83094.579999999987</v>
      </c>
      <c r="M7" s="128">
        <f t="shared" si="0"/>
        <v>83094.579999999987</v>
      </c>
      <c r="N7" s="128">
        <f t="shared" si="0"/>
        <v>83094.579999999987</v>
      </c>
      <c r="O7" s="128">
        <f t="shared" si="0"/>
        <v>83094.579999999987</v>
      </c>
      <c r="P7" s="128">
        <f t="shared" si="0"/>
        <v>81328.579999999987</v>
      </c>
      <c r="Q7" s="128">
        <f t="shared" si="0"/>
        <v>81328.579999999987</v>
      </c>
      <c r="R7" s="128">
        <f t="shared" si="0"/>
        <v>81328.579999999987</v>
      </c>
      <c r="S7" s="128">
        <f t="shared" si="0"/>
        <v>81328.579999999987</v>
      </c>
      <c r="T7" s="128">
        <f t="shared" si="0"/>
        <v>81328.579999999987</v>
      </c>
      <c r="U7" s="128">
        <f t="shared" si="0"/>
        <v>81328.579999999987</v>
      </c>
      <c r="V7" s="128">
        <f t="shared" si="0"/>
        <v>81328.579999999987</v>
      </c>
      <c r="W7" s="128">
        <f t="shared" si="0"/>
        <v>81328.579999999987</v>
      </c>
      <c r="X7" s="128">
        <f t="shared" si="0"/>
        <v>81328.62999999999</v>
      </c>
      <c r="Y7" s="128">
        <f t="shared" si="0"/>
        <v>92213.93</v>
      </c>
      <c r="Z7" s="128">
        <f t="shared" si="0"/>
        <v>92213.93</v>
      </c>
      <c r="AA7" s="128">
        <f t="shared" si="0"/>
        <v>92213.93</v>
      </c>
      <c r="AB7" s="128">
        <f t="shared" si="0"/>
        <v>92213.93</v>
      </c>
      <c r="AC7" s="128">
        <f t="shared" si="0"/>
        <v>111216.1949087</v>
      </c>
      <c r="AD7" s="128">
        <f t="shared" si="0"/>
        <v>111216.14490869999</v>
      </c>
      <c r="AE7" s="128">
        <f t="shared" si="0"/>
        <v>111216.14490869999</v>
      </c>
      <c r="AF7" s="128">
        <f t="shared" si="0"/>
        <v>108372.50490870001</v>
      </c>
      <c r="AG7" s="128">
        <f t="shared" si="0"/>
        <v>108371.81999999999</v>
      </c>
      <c r="AH7" s="128">
        <f t="shared" si="0"/>
        <v>108371.81999999999</v>
      </c>
      <c r="AI7" s="128">
        <f t="shared" si="0"/>
        <v>89370.239999999991</v>
      </c>
      <c r="AJ7" s="128">
        <f t="shared" si="0"/>
        <v>89370.239999999991</v>
      </c>
      <c r="AK7" s="128">
        <f t="shared" si="0"/>
        <v>89370</v>
      </c>
      <c r="AL7" s="128">
        <f t="shared" si="0"/>
        <v>107391.45999999999</v>
      </c>
      <c r="AM7" s="128">
        <f t="shared" si="0"/>
        <v>105807.416</v>
      </c>
      <c r="AN7" s="128">
        <f t="shared" si="0"/>
        <v>122096.05600000001</v>
      </c>
      <c r="AO7" s="128">
        <f t="shared" si="0"/>
        <v>122096.416</v>
      </c>
      <c r="AP7" s="128">
        <f t="shared" si="0"/>
        <v>122096.416</v>
      </c>
      <c r="AQ7" s="128">
        <f t="shared" si="0"/>
        <v>122096.416</v>
      </c>
      <c r="AR7" s="128">
        <f t="shared" si="0"/>
        <v>122096.416</v>
      </c>
      <c r="AS7" s="128">
        <f t="shared" si="0"/>
        <v>122096.416</v>
      </c>
      <c r="AT7" s="128">
        <f t="shared" si="0"/>
        <v>122924.546</v>
      </c>
      <c r="AU7" s="128">
        <f t="shared" si="0"/>
        <v>197869.7</v>
      </c>
      <c r="AV7" s="128">
        <f t="shared" si="0"/>
        <v>209451.83</v>
      </c>
      <c r="AW7" s="128">
        <f t="shared" si="0"/>
        <v>209451.83</v>
      </c>
      <c r="AX7" s="128">
        <f t="shared" si="0"/>
        <v>224861.83000000002</v>
      </c>
      <c r="AY7" s="128">
        <f t="shared" si="0"/>
        <v>224862</v>
      </c>
      <c r="AZ7" s="128">
        <f t="shared" si="0"/>
        <v>224860.66</v>
      </c>
      <c r="BA7" s="128">
        <f t="shared" si="0"/>
        <v>207641.66</v>
      </c>
      <c r="BB7" s="128">
        <f t="shared" si="0"/>
        <v>207641.66</v>
      </c>
      <c r="BC7" s="128">
        <f t="shared" si="0"/>
        <v>207641.66</v>
      </c>
      <c r="BD7" s="128">
        <f t="shared" si="0"/>
        <v>207641.66</v>
      </c>
      <c r="BE7" s="128">
        <f t="shared" si="0"/>
        <v>209403.51921237414</v>
      </c>
      <c r="BF7" s="128">
        <f t="shared" si="0"/>
        <v>112886.68921237416</v>
      </c>
      <c r="BG7" s="128">
        <f t="shared" si="0"/>
        <v>112713.92921237416</v>
      </c>
      <c r="BH7" s="128">
        <f t="shared" si="0"/>
        <v>112713.97921237415</v>
      </c>
      <c r="BI7" s="128">
        <f t="shared" si="0"/>
        <v>112713.97921237415</v>
      </c>
      <c r="BJ7" s="128">
        <f t="shared" si="0"/>
        <v>112713.97921237415</v>
      </c>
      <c r="BK7" s="128">
        <f t="shared" si="0"/>
        <v>112713.97921237415</v>
      </c>
      <c r="BL7" s="128">
        <f t="shared" si="0"/>
        <v>112713.97921237415</v>
      </c>
      <c r="BM7" s="128">
        <f t="shared" si="0"/>
        <v>112713.97931237414</v>
      </c>
      <c r="BN7" s="128">
        <f t="shared" si="0"/>
        <v>93189.97931237414</v>
      </c>
      <c r="BO7" s="128">
        <f t="shared" ref="BO7" si="1">BO8+BO20</f>
        <v>93189.97931237414</v>
      </c>
      <c r="BP7" s="128">
        <v>93189.97931237414</v>
      </c>
      <c r="BQ7" s="128">
        <v>93189.97931237414</v>
      </c>
      <c r="BR7" s="128">
        <v>94028.589312374155</v>
      </c>
      <c r="BS7" s="128">
        <v>94028.589312374155</v>
      </c>
      <c r="BT7" s="128">
        <v>94028.589312374155</v>
      </c>
      <c r="BU7" s="128">
        <v>94028.589312374155</v>
      </c>
      <c r="BV7" s="128">
        <v>84023.529312374158</v>
      </c>
      <c r="BW7" s="128">
        <v>84023.529312374158</v>
      </c>
      <c r="BX7" s="128">
        <f>BX8+BX20</f>
        <v>84023.529312374158</v>
      </c>
    </row>
    <row r="8" spans="1:76" s="15" customFormat="1" ht="15" customHeight="1">
      <c r="B8" s="81" t="str">
        <f>IF('Sumário | Summary'!P1=1,"Escritórios AAA","Triple A Offices")</f>
        <v>Escritórios AAA</v>
      </c>
      <c r="C8" s="128">
        <f t="shared" ref="C8:BN8" si="2">SUM(C9:C19)</f>
        <v>39315.885999999999</v>
      </c>
      <c r="D8" s="128">
        <f t="shared" si="2"/>
        <v>50492.45</v>
      </c>
      <c r="E8" s="128">
        <f t="shared" si="2"/>
        <v>50492.45</v>
      </c>
      <c r="F8" s="128">
        <f t="shared" si="2"/>
        <v>50492.45</v>
      </c>
      <c r="G8" s="128">
        <f t="shared" si="2"/>
        <v>57798.45</v>
      </c>
      <c r="H8" s="128">
        <f t="shared" si="2"/>
        <v>57543.45</v>
      </c>
      <c r="I8" s="128">
        <f t="shared" si="2"/>
        <v>57543.45</v>
      </c>
      <c r="J8" s="128">
        <f t="shared" si="2"/>
        <v>56772.45</v>
      </c>
      <c r="K8" s="128">
        <f t="shared" si="2"/>
        <v>54973.45</v>
      </c>
      <c r="L8" s="128">
        <f t="shared" si="2"/>
        <v>52258.45</v>
      </c>
      <c r="M8" s="128">
        <f t="shared" si="2"/>
        <v>52258.45</v>
      </c>
      <c r="N8" s="128">
        <f t="shared" si="2"/>
        <v>52258.45</v>
      </c>
      <c r="O8" s="128">
        <f t="shared" si="2"/>
        <v>52258.45</v>
      </c>
      <c r="P8" s="128">
        <f t="shared" si="2"/>
        <v>50492.45</v>
      </c>
      <c r="Q8" s="128">
        <f t="shared" si="2"/>
        <v>50492.45</v>
      </c>
      <c r="R8" s="128">
        <f t="shared" si="2"/>
        <v>50492.45</v>
      </c>
      <c r="S8" s="128">
        <f t="shared" si="2"/>
        <v>50492.45</v>
      </c>
      <c r="T8" s="128">
        <f t="shared" si="2"/>
        <v>50492.45</v>
      </c>
      <c r="U8" s="128">
        <f t="shared" si="2"/>
        <v>50492.45</v>
      </c>
      <c r="V8" s="128">
        <f t="shared" si="2"/>
        <v>50492.45</v>
      </c>
      <c r="W8" s="128">
        <f t="shared" si="2"/>
        <v>50492.45</v>
      </c>
      <c r="X8" s="128">
        <f t="shared" si="2"/>
        <v>50492.45</v>
      </c>
      <c r="Y8" s="128">
        <f t="shared" si="2"/>
        <v>61377.75</v>
      </c>
      <c r="Z8" s="128">
        <f t="shared" si="2"/>
        <v>61377.75</v>
      </c>
      <c r="AA8" s="128">
        <f t="shared" si="2"/>
        <v>61377.75</v>
      </c>
      <c r="AB8" s="128">
        <f t="shared" si="2"/>
        <v>61377.75</v>
      </c>
      <c r="AC8" s="128">
        <f t="shared" si="2"/>
        <v>80380.014908700003</v>
      </c>
      <c r="AD8" s="128">
        <f t="shared" si="2"/>
        <v>80380.014908700003</v>
      </c>
      <c r="AE8" s="128">
        <f t="shared" si="2"/>
        <v>80380.014908700003</v>
      </c>
      <c r="AF8" s="128">
        <f t="shared" si="2"/>
        <v>80380.014908700003</v>
      </c>
      <c r="AG8" s="128">
        <f t="shared" si="2"/>
        <v>80379.75</v>
      </c>
      <c r="AH8" s="128">
        <f t="shared" si="2"/>
        <v>80379.75</v>
      </c>
      <c r="AI8" s="128">
        <f t="shared" si="2"/>
        <v>61377.75</v>
      </c>
      <c r="AJ8" s="128">
        <f t="shared" si="2"/>
        <v>61377.75</v>
      </c>
      <c r="AK8" s="128">
        <f t="shared" si="2"/>
        <v>61377.75</v>
      </c>
      <c r="AL8" s="128">
        <f t="shared" si="2"/>
        <v>65460.15</v>
      </c>
      <c r="AM8" s="128">
        <f t="shared" si="2"/>
        <v>63875.926000000007</v>
      </c>
      <c r="AN8" s="128">
        <f t="shared" si="2"/>
        <v>80164.926000000007</v>
      </c>
      <c r="AO8" s="128">
        <f t="shared" si="2"/>
        <v>80164.926000000007</v>
      </c>
      <c r="AP8" s="128">
        <f t="shared" si="2"/>
        <v>80164.926000000007</v>
      </c>
      <c r="AQ8" s="128">
        <f t="shared" si="2"/>
        <v>80164.926000000007</v>
      </c>
      <c r="AR8" s="128">
        <f t="shared" si="2"/>
        <v>80164.926000000007</v>
      </c>
      <c r="AS8" s="128">
        <f t="shared" si="2"/>
        <v>80164.926000000007</v>
      </c>
      <c r="AT8" s="128">
        <f t="shared" si="2"/>
        <v>80993.056000000011</v>
      </c>
      <c r="AU8" s="128">
        <f t="shared" si="2"/>
        <v>128704.7</v>
      </c>
      <c r="AV8" s="128">
        <f t="shared" si="2"/>
        <v>128704.7</v>
      </c>
      <c r="AW8" s="128">
        <f t="shared" si="2"/>
        <v>128704.7</v>
      </c>
      <c r="AX8" s="128">
        <f t="shared" si="2"/>
        <v>158597.70000000001</v>
      </c>
      <c r="AY8" s="128">
        <f t="shared" si="2"/>
        <v>158598</v>
      </c>
      <c r="AZ8" s="128">
        <f t="shared" si="2"/>
        <v>158596.53</v>
      </c>
      <c r="BA8" s="128">
        <f t="shared" si="2"/>
        <v>141377.53</v>
      </c>
      <c r="BB8" s="128">
        <f t="shared" si="2"/>
        <v>141377.53</v>
      </c>
      <c r="BC8" s="128">
        <f t="shared" si="2"/>
        <v>141377.53</v>
      </c>
      <c r="BD8" s="128">
        <f t="shared" si="2"/>
        <v>141377.53</v>
      </c>
      <c r="BE8" s="128">
        <f t="shared" si="2"/>
        <v>143139.38921237414</v>
      </c>
      <c r="BF8" s="128">
        <f t="shared" si="2"/>
        <v>46622.559212374152</v>
      </c>
      <c r="BG8" s="128">
        <f t="shared" si="2"/>
        <v>46449.799212374157</v>
      </c>
      <c r="BH8" s="128">
        <f t="shared" si="2"/>
        <v>46449.799212374157</v>
      </c>
      <c r="BI8" s="128">
        <f t="shared" si="2"/>
        <v>46449.799212374157</v>
      </c>
      <c r="BJ8" s="128">
        <f t="shared" si="2"/>
        <v>46449.799212374157</v>
      </c>
      <c r="BK8" s="128">
        <f t="shared" si="2"/>
        <v>46449.799212374157</v>
      </c>
      <c r="BL8" s="128">
        <f t="shared" si="2"/>
        <v>46449.799212374157</v>
      </c>
      <c r="BM8" s="128">
        <f t="shared" si="2"/>
        <v>46449.799312374154</v>
      </c>
      <c r="BN8" s="128">
        <f t="shared" si="2"/>
        <v>46449.799312374154</v>
      </c>
      <c r="BO8" s="128">
        <f t="shared" ref="BO8" si="3">SUM(BO9:BO19)</f>
        <v>46449.799312374154</v>
      </c>
      <c r="BP8" s="128">
        <v>46449.799312374147</v>
      </c>
      <c r="BQ8" s="128">
        <v>46449.799312374147</v>
      </c>
      <c r="BR8" s="128">
        <v>46622.679312374152</v>
      </c>
      <c r="BS8" s="128">
        <v>46622.679312374152</v>
      </c>
      <c r="BT8" s="128">
        <v>46622.679312374152</v>
      </c>
      <c r="BU8" s="128">
        <v>46622.679312374152</v>
      </c>
      <c r="BV8" s="128">
        <v>46622.679312374152</v>
      </c>
      <c r="BW8" s="128">
        <v>46622.679312374152</v>
      </c>
      <c r="BX8" s="128">
        <f>SUM(BX9:BX19)</f>
        <v>46622.679312374152</v>
      </c>
    </row>
    <row r="9" spans="1:76" ht="15" hidden="1" customHeight="1" outlineLevel="1">
      <c r="A9" t="s">
        <v>18</v>
      </c>
      <c r="B9" s="38" t="s">
        <v>2</v>
      </c>
      <c r="C9" s="61">
        <v>4466.7</v>
      </c>
      <c r="D9" s="61">
        <v>4466.7</v>
      </c>
      <c r="E9" s="61">
        <v>4466.7</v>
      </c>
      <c r="F9" s="61">
        <v>4466.7</v>
      </c>
      <c r="G9" s="61">
        <v>4466.7</v>
      </c>
      <c r="H9" s="61">
        <v>4466.7</v>
      </c>
      <c r="I9" s="61">
        <v>4466.7</v>
      </c>
      <c r="J9" s="61">
        <v>4466.7</v>
      </c>
      <c r="K9" s="61">
        <v>4466.7</v>
      </c>
      <c r="L9" s="61">
        <v>4466.7</v>
      </c>
      <c r="M9" s="61">
        <v>4466.7</v>
      </c>
      <c r="N9" s="61">
        <v>4466.7</v>
      </c>
      <c r="O9" s="61">
        <v>4466.7</v>
      </c>
      <c r="P9" s="61">
        <v>4466.7</v>
      </c>
      <c r="Q9" s="61">
        <v>4466.7</v>
      </c>
      <c r="R9" s="61">
        <v>4466.7</v>
      </c>
      <c r="S9" s="61">
        <v>4466.7</v>
      </c>
      <c r="T9" s="61">
        <v>4466.7</v>
      </c>
      <c r="U9" s="61">
        <v>4466.7</v>
      </c>
      <c r="V9" s="61">
        <v>4466.7</v>
      </c>
      <c r="W9" s="61">
        <v>4466.7</v>
      </c>
      <c r="X9" s="61">
        <v>4466.7</v>
      </c>
      <c r="Y9" s="61">
        <v>4466.7</v>
      </c>
      <c r="Z9" s="61">
        <v>4466.7</v>
      </c>
      <c r="AA9" s="61">
        <v>4466.7</v>
      </c>
      <c r="AB9" s="61">
        <v>4466.7</v>
      </c>
      <c r="AC9" s="61">
        <v>4466.7</v>
      </c>
      <c r="AD9" s="61">
        <v>4466.7</v>
      </c>
      <c r="AE9" s="61">
        <v>4466.7</v>
      </c>
      <c r="AF9" s="61">
        <v>4466.7</v>
      </c>
      <c r="AG9" s="61">
        <v>4466.7</v>
      </c>
      <c r="AH9" s="61">
        <v>4466.7</v>
      </c>
      <c r="AI9" s="61">
        <v>4466.7</v>
      </c>
      <c r="AJ9" s="62">
        <v>4466.7</v>
      </c>
      <c r="AK9" s="62">
        <v>4466.7</v>
      </c>
      <c r="AL9" s="137">
        <v>4466.7</v>
      </c>
      <c r="AM9" s="137">
        <v>4466.7</v>
      </c>
      <c r="AN9" s="137">
        <v>4466.7</v>
      </c>
      <c r="AO9" s="137">
        <v>4466.7</v>
      </c>
      <c r="AP9" s="137">
        <v>4466.7</v>
      </c>
      <c r="AQ9" s="137">
        <v>4466.7</v>
      </c>
      <c r="AR9" s="137">
        <v>4466.7</v>
      </c>
      <c r="AS9" s="137">
        <v>4466.7</v>
      </c>
      <c r="AT9" s="137">
        <v>4466.7</v>
      </c>
      <c r="AU9" s="137">
        <v>13144</v>
      </c>
      <c r="AV9" s="137">
        <v>13144</v>
      </c>
      <c r="AW9" s="137">
        <v>13144</v>
      </c>
      <c r="AX9" s="137">
        <v>13144</v>
      </c>
      <c r="AY9" s="137">
        <v>13144</v>
      </c>
      <c r="AZ9" s="137">
        <v>13143.65</v>
      </c>
      <c r="BA9" s="137">
        <v>13143.65</v>
      </c>
      <c r="BB9" s="137">
        <v>13143.65</v>
      </c>
      <c r="BC9" s="137">
        <v>13143.65</v>
      </c>
      <c r="BD9" s="137">
        <v>13143.65</v>
      </c>
      <c r="BE9" s="137">
        <v>13143.65</v>
      </c>
      <c r="BF9" s="137">
        <v>0</v>
      </c>
      <c r="BG9" s="137">
        <v>0</v>
      </c>
      <c r="BH9" s="137">
        <v>0</v>
      </c>
      <c r="BI9" s="137">
        <v>0</v>
      </c>
      <c r="BJ9" s="137">
        <v>0</v>
      </c>
      <c r="BK9" s="137">
        <v>0</v>
      </c>
      <c r="BL9" s="137">
        <v>0</v>
      </c>
      <c r="BM9" s="137">
        <v>0</v>
      </c>
      <c r="BN9" s="137">
        <v>0</v>
      </c>
      <c r="BO9" s="137">
        <v>0</v>
      </c>
      <c r="BP9" s="137">
        <v>0</v>
      </c>
      <c r="BQ9" s="137">
        <v>0</v>
      </c>
      <c r="BR9" s="137">
        <v>0</v>
      </c>
      <c r="BS9" s="137">
        <v>0</v>
      </c>
      <c r="BT9" s="137">
        <v>0</v>
      </c>
      <c r="BU9" s="137">
        <v>0</v>
      </c>
      <c r="BV9" s="137">
        <v>0</v>
      </c>
      <c r="BW9" s="137">
        <v>0</v>
      </c>
      <c r="BX9" s="137">
        <v>0</v>
      </c>
    </row>
    <row r="10" spans="1:76" ht="15" hidden="1" customHeight="1" outlineLevel="1">
      <c r="A10" t="s">
        <v>18</v>
      </c>
      <c r="B10" s="38" t="s">
        <v>3</v>
      </c>
      <c r="C10" s="61">
        <v>3168.46</v>
      </c>
      <c r="D10" s="61">
        <v>3168.46</v>
      </c>
      <c r="E10" s="61">
        <v>3168.46</v>
      </c>
      <c r="F10" s="61">
        <v>3168.46</v>
      </c>
      <c r="G10" s="61">
        <v>3168.46</v>
      </c>
      <c r="H10" s="61">
        <v>3168.46</v>
      </c>
      <c r="I10" s="61">
        <v>3168.46</v>
      </c>
      <c r="J10" s="61">
        <v>3168.46</v>
      </c>
      <c r="K10" s="61">
        <v>3168.46</v>
      </c>
      <c r="L10" s="61">
        <v>3168.46</v>
      </c>
      <c r="M10" s="61">
        <v>3168.46</v>
      </c>
      <c r="N10" s="61">
        <v>3168.46</v>
      </c>
      <c r="O10" s="61">
        <v>3168.46</v>
      </c>
      <c r="P10" s="61">
        <v>3168.46</v>
      </c>
      <c r="Q10" s="61">
        <v>3168.46</v>
      </c>
      <c r="R10" s="61">
        <v>3168.46</v>
      </c>
      <c r="S10" s="61">
        <v>3168.46</v>
      </c>
      <c r="T10" s="61">
        <v>3168.46</v>
      </c>
      <c r="U10" s="61">
        <v>3168.46</v>
      </c>
      <c r="V10" s="61">
        <v>3168.46</v>
      </c>
      <c r="W10" s="61">
        <v>3168.46</v>
      </c>
      <c r="X10" s="61">
        <v>3168.46</v>
      </c>
      <c r="Y10" s="61">
        <v>3168.46</v>
      </c>
      <c r="Z10" s="61">
        <v>3168.46</v>
      </c>
      <c r="AA10" s="61">
        <v>3168.46</v>
      </c>
      <c r="AB10" s="61">
        <v>3168.46</v>
      </c>
      <c r="AC10" s="61">
        <v>3168.46</v>
      </c>
      <c r="AD10" s="61">
        <v>3168.46</v>
      </c>
      <c r="AE10" s="61">
        <v>3168.46</v>
      </c>
      <c r="AF10" s="61">
        <v>3168.46</v>
      </c>
      <c r="AG10" s="61">
        <v>3168.46</v>
      </c>
      <c r="AH10" s="61">
        <v>3168.46</v>
      </c>
      <c r="AI10" s="61">
        <v>3168.46</v>
      </c>
      <c r="AJ10" s="62">
        <v>3168.46</v>
      </c>
      <c r="AK10" s="62">
        <v>3168.46</v>
      </c>
      <c r="AL10" s="62">
        <v>3168.46</v>
      </c>
      <c r="AM10" s="62">
        <v>1584.23</v>
      </c>
      <c r="AN10" s="62">
        <v>1584.23</v>
      </c>
      <c r="AO10" s="62">
        <v>1584.23</v>
      </c>
      <c r="AP10" s="62">
        <v>1584.23</v>
      </c>
      <c r="AQ10" s="62">
        <v>1584.23</v>
      </c>
      <c r="AR10" s="62">
        <v>1584.23</v>
      </c>
      <c r="AS10" s="62">
        <v>1584.23</v>
      </c>
      <c r="AT10" s="62">
        <v>1584.23</v>
      </c>
      <c r="AU10" s="137">
        <v>17219</v>
      </c>
      <c r="AV10" s="137">
        <v>17219</v>
      </c>
      <c r="AW10" s="137">
        <v>17219</v>
      </c>
      <c r="AX10" s="137">
        <v>17219</v>
      </c>
      <c r="AY10" s="137">
        <v>17219</v>
      </c>
      <c r="AZ10" s="137">
        <v>17219</v>
      </c>
      <c r="BA10" s="137">
        <v>0</v>
      </c>
      <c r="BB10" s="62">
        <v>0</v>
      </c>
      <c r="BC10" s="137">
        <v>0</v>
      </c>
      <c r="BD10" s="62">
        <v>0</v>
      </c>
      <c r="BE10" s="62">
        <v>0</v>
      </c>
      <c r="BF10" s="137">
        <v>0</v>
      </c>
      <c r="BG10" s="137">
        <v>0</v>
      </c>
      <c r="BH10" s="137">
        <v>0</v>
      </c>
      <c r="BI10" s="137">
        <v>0</v>
      </c>
      <c r="BJ10" s="137">
        <v>0</v>
      </c>
      <c r="BK10" s="137">
        <v>0</v>
      </c>
      <c r="BL10" s="137">
        <v>0</v>
      </c>
      <c r="BM10" s="137">
        <v>0</v>
      </c>
      <c r="BN10" s="137">
        <v>0</v>
      </c>
      <c r="BO10" s="137">
        <v>0</v>
      </c>
      <c r="BP10" s="137">
        <v>0</v>
      </c>
      <c r="BQ10" s="137">
        <v>0</v>
      </c>
      <c r="BR10" s="137">
        <v>0</v>
      </c>
      <c r="BS10" s="137">
        <v>0</v>
      </c>
      <c r="BT10" s="137">
        <v>0</v>
      </c>
      <c r="BU10" s="137">
        <v>0</v>
      </c>
      <c r="BV10" s="137">
        <v>0</v>
      </c>
      <c r="BW10" s="137">
        <v>0</v>
      </c>
      <c r="BX10" s="137">
        <v>0</v>
      </c>
    </row>
    <row r="11" spans="1:76" ht="15" hidden="1" customHeight="1" outlineLevel="1">
      <c r="A11" t="s">
        <v>18</v>
      </c>
      <c r="B11" s="38" t="s">
        <v>0</v>
      </c>
      <c r="C11" s="61">
        <v>18705.61</v>
      </c>
      <c r="D11" s="61">
        <v>18705.61</v>
      </c>
      <c r="E11" s="61">
        <v>18705.61</v>
      </c>
      <c r="F11" s="61">
        <v>18705.61</v>
      </c>
      <c r="G11" s="61">
        <v>18705.61</v>
      </c>
      <c r="H11" s="61">
        <v>18705.61</v>
      </c>
      <c r="I11" s="61">
        <v>18705.61</v>
      </c>
      <c r="J11" s="61">
        <v>18705.61</v>
      </c>
      <c r="K11" s="61">
        <v>18705.61</v>
      </c>
      <c r="L11" s="61">
        <v>18705.61</v>
      </c>
      <c r="M11" s="61">
        <v>18705.61</v>
      </c>
      <c r="N11" s="61">
        <v>18705.61</v>
      </c>
      <c r="O11" s="61">
        <v>18705.61</v>
      </c>
      <c r="P11" s="61">
        <v>18705.61</v>
      </c>
      <c r="Q11" s="61">
        <v>18705.61</v>
      </c>
      <c r="R11" s="61">
        <v>18705.61</v>
      </c>
      <c r="S11" s="61">
        <v>18705.61</v>
      </c>
      <c r="T11" s="61">
        <v>18705.61</v>
      </c>
      <c r="U11" s="61">
        <v>18705.61</v>
      </c>
      <c r="V11" s="61">
        <v>18705.61</v>
      </c>
      <c r="W11" s="61">
        <v>18705.61</v>
      </c>
      <c r="X11" s="61">
        <v>18705.61</v>
      </c>
      <c r="Y11" s="61">
        <v>18705.61</v>
      </c>
      <c r="Z11" s="61">
        <v>18705.61</v>
      </c>
      <c r="AA11" s="61">
        <v>18705.61</v>
      </c>
      <c r="AB11" s="61">
        <v>18705.61</v>
      </c>
      <c r="AC11" s="61">
        <v>18705.61</v>
      </c>
      <c r="AD11" s="61">
        <v>18705.61</v>
      </c>
      <c r="AE11" s="61">
        <v>18705.61</v>
      </c>
      <c r="AF11" s="61">
        <v>18705.61</v>
      </c>
      <c r="AG11" s="61">
        <v>18705.61</v>
      </c>
      <c r="AH11" s="61">
        <v>18705.61</v>
      </c>
      <c r="AI11" s="61">
        <v>18705.61</v>
      </c>
      <c r="AJ11" s="62">
        <v>18705.61</v>
      </c>
      <c r="AK11" s="62">
        <v>18705.61</v>
      </c>
      <c r="AL11" s="62">
        <v>18705.61</v>
      </c>
      <c r="AM11" s="62">
        <v>18705.61</v>
      </c>
      <c r="AN11" s="62">
        <v>18705.61</v>
      </c>
      <c r="AO11" s="62">
        <v>18705.61</v>
      </c>
      <c r="AP11" s="62">
        <v>18705.61</v>
      </c>
      <c r="AQ11" s="62">
        <v>18705.61</v>
      </c>
      <c r="AR11" s="62">
        <v>18705.61</v>
      </c>
      <c r="AS11" s="62">
        <v>18705.61</v>
      </c>
      <c r="AT11" s="62">
        <v>18705.61</v>
      </c>
      <c r="AU11" s="137">
        <v>26693</v>
      </c>
      <c r="AV11" s="137">
        <v>26693</v>
      </c>
      <c r="AW11" s="137">
        <v>26693</v>
      </c>
      <c r="AX11" s="137">
        <v>26693</v>
      </c>
      <c r="AY11" s="137">
        <v>26693</v>
      </c>
      <c r="AZ11" s="137">
        <v>26692.6</v>
      </c>
      <c r="BA11" s="137">
        <v>26692.6</v>
      </c>
      <c r="BB11" s="62">
        <v>26692.6</v>
      </c>
      <c r="BC11" s="137">
        <v>26692.6</v>
      </c>
      <c r="BD11" s="137">
        <v>26692.6</v>
      </c>
      <c r="BE11" s="137">
        <v>26692.6</v>
      </c>
      <c r="BF11" s="137">
        <v>0</v>
      </c>
      <c r="BG11" s="137">
        <v>0</v>
      </c>
      <c r="BH11" s="137">
        <v>0</v>
      </c>
      <c r="BI11" s="137">
        <v>0</v>
      </c>
      <c r="BJ11" s="137">
        <v>0</v>
      </c>
      <c r="BK11" s="137">
        <v>0</v>
      </c>
      <c r="BL11" s="137">
        <v>0</v>
      </c>
      <c r="BM11" s="137">
        <v>0</v>
      </c>
      <c r="BN11" s="137">
        <v>0</v>
      </c>
      <c r="BO11" s="137">
        <v>0</v>
      </c>
      <c r="BP11" s="137">
        <v>0</v>
      </c>
      <c r="BQ11" s="137">
        <v>0</v>
      </c>
      <c r="BR11" s="137">
        <v>0</v>
      </c>
      <c r="BS11" s="137">
        <v>0</v>
      </c>
      <c r="BT11" s="137">
        <v>0</v>
      </c>
      <c r="BU11" s="137">
        <v>0</v>
      </c>
      <c r="BV11" s="137">
        <v>0</v>
      </c>
      <c r="BW11" s="137">
        <v>0</v>
      </c>
      <c r="BX11" s="137">
        <v>0</v>
      </c>
    </row>
    <row r="12" spans="1:76" ht="15" hidden="1" customHeight="1" outlineLevel="1">
      <c r="A12" t="s">
        <v>18</v>
      </c>
      <c r="B12" s="38" t="s">
        <v>1</v>
      </c>
      <c r="C12" s="61">
        <v>12975.116000000002</v>
      </c>
      <c r="D12" s="61">
        <v>12975.116000000002</v>
      </c>
      <c r="E12" s="61">
        <v>12975.116000000002</v>
      </c>
      <c r="F12" s="61">
        <v>12975.116000000002</v>
      </c>
      <c r="G12" s="61">
        <v>12975.116000000002</v>
      </c>
      <c r="H12" s="61">
        <v>12975.116000000002</v>
      </c>
      <c r="I12" s="61">
        <v>12975.116000000002</v>
      </c>
      <c r="J12" s="61">
        <v>12975.116000000002</v>
      </c>
      <c r="K12" s="61">
        <v>12975.116000000002</v>
      </c>
      <c r="L12" s="61">
        <v>12975.116000000002</v>
      </c>
      <c r="M12" s="61">
        <v>12975.116000000002</v>
      </c>
      <c r="N12" s="61">
        <v>12975.116000000002</v>
      </c>
      <c r="O12" s="61">
        <v>12975.116000000002</v>
      </c>
      <c r="P12" s="61">
        <v>12975.116000000002</v>
      </c>
      <c r="Q12" s="61">
        <v>12975.116000000002</v>
      </c>
      <c r="R12" s="61">
        <v>12975.116000000002</v>
      </c>
      <c r="S12" s="61">
        <v>12975.116000000002</v>
      </c>
      <c r="T12" s="61">
        <v>12975.116000000002</v>
      </c>
      <c r="U12" s="61">
        <v>12975.116000000002</v>
      </c>
      <c r="V12" s="61">
        <v>12975.116000000002</v>
      </c>
      <c r="W12" s="61">
        <v>12975.116000000002</v>
      </c>
      <c r="X12" s="61">
        <v>12975.116000000002</v>
      </c>
      <c r="Y12" s="61">
        <v>12975.116000000002</v>
      </c>
      <c r="Z12" s="61">
        <v>12975.116000000002</v>
      </c>
      <c r="AA12" s="61">
        <v>12975.116000000002</v>
      </c>
      <c r="AB12" s="61">
        <v>12975.116000000002</v>
      </c>
      <c r="AC12" s="61">
        <v>12975.116000000002</v>
      </c>
      <c r="AD12" s="61">
        <v>12975.116000000002</v>
      </c>
      <c r="AE12" s="61">
        <v>12975.116000000002</v>
      </c>
      <c r="AF12" s="61">
        <v>12975.116000000002</v>
      </c>
      <c r="AG12" s="61">
        <v>12975.116000000002</v>
      </c>
      <c r="AH12" s="61">
        <v>12975.116000000002</v>
      </c>
      <c r="AI12" s="61">
        <v>12975.116000000002</v>
      </c>
      <c r="AJ12" s="62">
        <v>12975.116000000002</v>
      </c>
      <c r="AK12" s="62">
        <v>12975.116000000002</v>
      </c>
      <c r="AL12" s="62">
        <v>12975.116000000002</v>
      </c>
      <c r="AM12" s="62">
        <v>12975.116000000002</v>
      </c>
      <c r="AN12" s="62">
        <v>12975.116000000002</v>
      </c>
      <c r="AO12" s="62">
        <v>12975.116000000002</v>
      </c>
      <c r="AP12" s="62">
        <v>12975.116000000002</v>
      </c>
      <c r="AQ12" s="62">
        <v>12975.116000000002</v>
      </c>
      <c r="AR12" s="62">
        <v>12975.116000000002</v>
      </c>
      <c r="AS12" s="62">
        <v>12975.116000000002</v>
      </c>
      <c r="AT12" s="62">
        <v>12975.116000000002</v>
      </c>
      <c r="AU12" s="137">
        <v>18244</v>
      </c>
      <c r="AV12" s="137">
        <v>18244</v>
      </c>
      <c r="AW12" s="137">
        <v>18244</v>
      </c>
      <c r="AX12" s="137">
        <v>18244</v>
      </c>
      <c r="AY12" s="137">
        <v>18244</v>
      </c>
      <c r="AZ12" s="137">
        <v>18244</v>
      </c>
      <c r="BA12" s="137">
        <v>18244</v>
      </c>
      <c r="BB12" s="62">
        <v>18244</v>
      </c>
      <c r="BC12" s="137">
        <v>18244</v>
      </c>
      <c r="BD12" s="137">
        <v>18244</v>
      </c>
      <c r="BE12" s="137">
        <v>18244</v>
      </c>
      <c r="BF12" s="137">
        <v>0</v>
      </c>
      <c r="BG12" s="137">
        <v>0</v>
      </c>
      <c r="BH12" s="137">
        <v>0</v>
      </c>
      <c r="BI12" s="137">
        <v>0</v>
      </c>
      <c r="BJ12" s="137">
        <v>0</v>
      </c>
      <c r="BK12" s="137">
        <v>0</v>
      </c>
      <c r="BL12" s="137">
        <v>0</v>
      </c>
      <c r="BM12" s="137">
        <v>0</v>
      </c>
      <c r="BN12" s="137">
        <v>0</v>
      </c>
      <c r="BO12" s="137">
        <v>0</v>
      </c>
      <c r="BP12" s="137">
        <v>0</v>
      </c>
      <c r="BQ12" s="137">
        <v>0</v>
      </c>
      <c r="BR12" s="137">
        <v>0</v>
      </c>
      <c r="BS12" s="137">
        <v>0</v>
      </c>
      <c r="BT12" s="137">
        <v>0</v>
      </c>
      <c r="BU12" s="137">
        <v>0</v>
      </c>
      <c r="BV12" s="137">
        <v>0</v>
      </c>
      <c r="BW12" s="137">
        <v>0</v>
      </c>
      <c r="BX12" s="137">
        <v>0</v>
      </c>
    </row>
    <row r="13" spans="1:76" ht="15" hidden="1" customHeight="1" outlineLevel="1">
      <c r="A13" t="s">
        <v>18</v>
      </c>
      <c r="B13" s="38" t="s">
        <v>4</v>
      </c>
      <c r="C13" s="61">
        <v>0</v>
      </c>
      <c r="D13" s="61">
        <v>11176.564</v>
      </c>
      <c r="E13" s="61">
        <v>11176.564</v>
      </c>
      <c r="F13" s="61">
        <v>11176.564</v>
      </c>
      <c r="G13" s="61">
        <v>11176.564</v>
      </c>
      <c r="H13" s="61">
        <v>11176.564</v>
      </c>
      <c r="I13" s="61">
        <v>11176.564</v>
      </c>
      <c r="J13" s="61">
        <v>11176.564</v>
      </c>
      <c r="K13" s="61">
        <v>11176.564</v>
      </c>
      <c r="L13" s="61">
        <v>11176.564</v>
      </c>
      <c r="M13" s="61">
        <v>11176.564</v>
      </c>
      <c r="N13" s="61">
        <v>11176.564</v>
      </c>
      <c r="O13" s="61">
        <v>11176.564</v>
      </c>
      <c r="P13" s="61">
        <v>11176.564</v>
      </c>
      <c r="Q13" s="61">
        <v>11176.564</v>
      </c>
      <c r="R13" s="61">
        <v>11176.564</v>
      </c>
      <c r="S13" s="61">
        <v>11176.564</v>
      </c>
      <c r="T13" s="61">
        <v>11176.564</v>
      </c>
      <c r="U13" s="61">
        <v>11176.564</v>
      </c>
      <c r="V13" s="61">
        <v>11176.564</v>
      </c>
      <c r="W13" s="61">
        <v>11176.564</v>
      </c>
      <c r="X13" s="61">
        <v>11176.564</v>
      </c>
      <c r="Y13" s="61">
        <v>11176.564</v>
      </c>
      <c r="Z13" s="61">
        <v>11176.564</v>
      </c>
      <c r="AA13" s="61">
        <v>11176.564</v>
      </c>
      <c r="AB13" s="61">
        <v>11176.564</v>
      </c>
      <c r="AC13" s="61">
        <v>11176.564</v>
      </c>
      <c r="AD13" s="61">
        <v>11176.564</v>
      </c>
      <c r="AE13" s="61">
        <v>11176.564</v>
      </c>
      <c r="AF13" s="61">
        <v>11176.564</v>
      </c>
      <c r="AG13" s="61">
        <v>11176.564</v>
      </c>
      <c r="AH13" s="61">
        <v>11176.564</v>
      </c>
      <c r="AI13" s="61">
        <v>11176.564</v>
      </c>
      <c r="AJ13" s="62">
        <v>11176.564</v>
      </c>
      <c r="AK13" s="62">
        <v>11176.564</v>
      </c>
      <c r="AL13" s="62">
        <v>11176.564</v>
      </c>
      <c r="AM13" s="62">
        <v>11176.57</v>
      </c>
      <c r="AN13" s="62">
        <v>11176.57</v>
      </c>
      <c r="AO13" s="62">
        <v>11176.57</v>
      </c>
      <c r="AP13" s="62">
        <v>11176.57</v>
      </c>
      <c r="AQ13" s="62">
        <v>11176.57</v>
      </c>
      <c r="AR13" s="62">
        <v>11176.57</v>
      </c>
      <c r="AS13" s="62">
        <v>11176.57</v>
      </c>
      <c r="AT13" s="62">
        <v>12004.699999999999</v>
      </c>
      <c r="AU13" s="137">
        <v>22148</v>
      </c>
      <c r="AV13" s="137">
        <v>22148</v>
      </c>
      <c r="AW13" s="137">
        <v>22148</v>
      </c>
      <c r="AX13" s="137">
        <v>22148</v>
      </c>
      <c r="AY13" s="137">
        <v>22148</v>
      </c>
      <c r="AZ13" s="137">
        <v>22147.579999999998</v>
      </c>
      <c r="BA13" s="137">
        <v>22147.579999999998</v>
      </c>
      <c r="BB13" s="62">
        <v>22147.579999999998</v>
      </c>
      <c r="BC13" s="137">
        <v>22147.579999999998</v>
      </c>
      <c r="BD13" s="137">
        <v>22147.579999999998</v>
      </c>
      <c r="BE13" s="137">
        <v>22147.579999999998</v>
      </c>
      <c r="BF13" s="137">
        <v>0</v>
      </c>
      <c r="BG13" s="137">
        <v>0</v>
      </c>
      <c r="BH13" s="137">
        <v>0</v>
      </c>
      <c r="BI13" s="137">
        <v>0</v>
      </c>
      <c r="BJ13" s="137">
        <v>0</v>
      </c>
      <c r="BK13" s="137">
        <v>0</v>
      </c>
      <c r="BL13" s="137">
        <v>0</v>
      </c>
      <c r="BM13" s="137">
        <v>0</v>
      </c>
      <c r="BN13" s="137">
        <v>0</v>
      </c>
      <c r="BO13" s="137">
        <v>0</v>
      </c>
      <c r="BP13" s="137">
        <v>0</v>
      </c>
      <c r="BQ13" s="137">
        <v>0</v>
      </c>
      <c r="BR13" s="137">
        <v>0</v>
      </c>
      <c r="BS13" s="137">
        <v>0</v>
      </c>
      <c r="BT13" s="137">
        <v>0</v>
      </c>
      <c r="BU13" s="137">
        <v>0</v>
      </c>
      <c r="BV13" s="137">
        <v>0</v>
      </c>
      <c r="BW13" s="137">
        <v>0</v>
      </c>
      <c r="BX13" s="137">
        <v>0</v>
      </c>
    </row>
    <row r="14" spans="1:76" ht="15" hidden="1" customHeight="1" outlineLevel="1">
      <c r="A14" t="s">
        <v>200</v>
      </c>
      <c r="B14" s="38" t="s">
        <v>28</v>
      </c>
      <c r="C14" s="61">
        <v>0</v>
      </c>
      <c r="D14" s="61">
        <v>0</v>
      </c>
      <c r="E14" s="61">
        <v>0</v>
      </c>
      <c r="F14" s="61">
        <v>0</v>
      </c>
      <c r="G14" s="61">
        <v>0</v>
      </c>
      <c r="H14" s="61">
        <v>0</v>
      </c>
      <c r="I14" s="61">
        <v>0</v>
      </c>
      <c r="J14" s="61">
        <v>0</v>
      </c>
      <c r="K14" s="61">
        <v>0</v>
      </c>
      <c r="L14" s="61">
        <v>0</v>
      </c>
      <c r="M14" s="61">
        <v>0</v>
      </c>
      <c r="N14" s="61">
        <v>0</v>
      </c>
      <c r="O14" s="61">
        <v>0</v>
      </c>
      <c r="P14" s="61">
        <v>0</v>
      </c>
      <c r="Q14" s="61">
        <v>0</v>
      </c>
      <c r="R14" s="61">
        <v>0</v>
      </c>
      <c r="S14" s="61">
        <v>0</v>
      </c>
      <c r="T14" s="61">
        <v>0</v>
      </c>
      <c r="U14" s="61">
        <v>0</v>
      </c>
      <c r="V14" s="61">
        <v>0</v>
      </c>
      <c r="W14" s="61">
        <v>0</v>
      </c>
      <c r="X14" s="61">
        <v>0</v>
      </c>
      <c r="Y14" s="61">
        <v>10885.3</v>
      </c>
      <c r="Z14" s="61">
        <v>10885.3</v>
      </c>
      <c r="AA14" s="61">
        <v>10885.3</v>
      </c>
      <c r="AB14" s="61">
        <v>10885.3</v>
      </c>
      <c r="AC14" s="61">
        <v>10885.3</v>
      </c>
      <c r="AD14" s="61">
        <v>10885.3</v>
      </c>
      <c r="AE14" s="61">
        <v>10885.3</v>
      </c>
      <c r="AF14" s="61">
        <v>10885.3</v>
      </c>
      <c r="AG14" s="61">
        <v>10885.3</v>
      </c>
      <c r="AH14" s="61">
        <v>10885.3</v>
      </c>
      <c r="AI14" s="61">
        <v>10885.3</v>
      </c>
      <c r="AJ14" s="62">
        <v>10885.3</v>
      </c>
      <c r="AK14" s="62">
        <v>10885.3</v>
      </c>
      <c r="AL14" s="137">
        <v>14967.700000000003</v>
      </c>
      <c r="AM14" s="137">
        <v>14967.700000000003</v>
      </c>
      <c r="AN14" s="137">
        <v>14967.700000000003</v>
      </c>
      <c r="AO14" s="137">
        <v>14967.700000000003</v>
      </c>
      <c r="AP14" s="137">
        <v>14967.700000000003</v>
      </c>
      <c r="AQ14" s="137">
        <v>14967.700000000003</v>
      </c>
      <c r="AR14" s="137">
        <v>14967.700000000003</v>
      </c>
      <c r="AS14" s="137">
        <v>14967.700000000003</v>
      </c>
      <c r="AT14" s="137">
        <v>14967.700000000003</v>
      </c>
      <c r="AU14" s="137">
        <v>14967.700000000003</v>
      </c>
      <c r="AV14" s="137">
        <v>14967.700000000003</v>
      </c>
      <c r="AW14" s="137">
        <v>14967.700000000003</v>
      </c>
      <c r="AX14" s="137">
        <v>14967.700000000003</v>
      </c>
      <c r="AY14" s="137">
        <v>14968</v>
      </c>
      <c r="AZ14" s="137">
        <v>14967.700000000003</v>
      </c>
      <c r="BA14" s="137">
        <v>14967.700000000003</v>
      </c>
      <c r="BB14" s="137">
        <v>14967.700000000003</v>
      </c>
      <c r="BC14" s="137">
        <v>14967.700000000003</v>
      </c>
      <c r="BD14" s="137">
        <v>14967.700000000003</v>
      </c>
      <c r="BE14" s="137">
        <v>14967.700000000003</v>
      </c>
      <c r="BF14" s="137">
        <v>14967.700000000003</v>
      </c>
      <c r="BG14" s="137">
        <v>14967.700000000003</v>
      </c>
      <c r="BH14" s="137">
        <v>14967.700000000003</v>
      </c>
      <c r="BI14" s="137">
        <v>14967.700000000003</v>
      </c>
      <c r="BJ14" s="137">
        <v>14967.700000000003</v>
      </c>
      <c r="BK14" s="137">
        <v>14967.700000000003</v>
      </c>
      <c r="BL14" s="137">
        <v>14967.700000000003</v>
      </c>
      <c r="BM14" s="137">
        <v>14967.700000000003</v>
      </c>
      <c r="BN14" s="137">
        <v>14967.700000000003</v>
      </c>
      <c r="BO14" s="137">
        <v>14967.700000000003</v>
      </c>
      <c r="BP14" s="137">
        <v>14967.7</v>
      </c>
      <c r="BQ14" s="137">
        <v>14967.7</v>
      </c>
      <c r="BR14" s="137">
        <v>14967.7</v>
      </c>
      <c r="BS14" s="137">
        <v>14967.7</v>
      </c>
      <c r="BT14" s="137">
        <v>14967.7</v>
      </c>
      <c r="BU14" s="137">
        <v>14967.7</v>
      </c>
      <c r="BV14" s="137">
        <v>14967.7</v>
      </c>
      <c r="BW14" s="137">
        <v>14967.7</v>
      </c>
      <c r="BX14" s="137">
        <v>14967.7</v>
      </c>
    </row>
    <row r="15" spans="1:76" ht="15" hidden="1" customHeight="1" outlineLevel="1">
      <c r="A15" t="s">
        <v>18</v>
      </c>
      <c r="B15" s="38" t="s">
        <v>27</v>
      </c>
      <c r="C15" s="61">
        <v>0</v>
      </c>
      <c r="D15" s="61">
        <v>0</v>
      </c>
      <c r="E15" s="61">
        <v>0</v>
      </c>
      <c r="F15" s="61">
        <v>0</v>
      </c>
      <c r="G15" s="61">
        <v>0</v>
      </c>
      <c r="H15" s="61">
        <v>0</v>
      </c>
      <c r="I15" s="61">
        <v>0</v>
      </c>
      <c r="J15" s="61">
        <v>0</v>
      </c>
      <c r="K15" s="61">
        <v>0</v>
      </c>
      <c r="L15" s="61">
        <v>0</v>
      </c>
      <c r="M15" s="61">
        <v>0</v>
      </c>
      <c r="N15" s="61">
        <v>0</v>
      </c>
      <c r="O15" s="61">
        <v>0</v>
      </c>
      <c r="P15" s="61">
        <v>0</v>
      </c>
      <c r="Q15" s="61">
        <v>0</v>
      </c>
      <c r="R15" s="61">
        <v>0</v>
      </c>
      <c r="S15" s="61">
        <v>0</v>
      </c>
      <c r="T15" s="61">
        <v>0</v>
      </c>
      <c r="U15" s="61">
        <v>0</v>
      </c>
      <c r="V15" s="61">
        <v>0</v>
      </c>
      <c r="W15" s="61">
        <v>0</v>
      </c>
      <c r="X15" s="61">
        <v>0</v>
      </c>
      <c r="Y15" s="61">
        <v>0</v>
      </c>
      <c r="Z15" s="61">
        <v>0</v>
      </c>
      <c r="AA15" s="61">
        <v>0</v>
      </c>
      <c r="AB15" s="61">
        <v>0</v>
      </c>
      <c r="AC15" s="61">
        <v>0</v>
      </c>
      <c r="AD15" s="61">
        <v>0</v>
      </c>
      <c r="AE15" s="61">
        <v>0</v>
      </c>
      <c r="AF15" s="61">
        <v>0</v>
      </c>
      <c r="AG15" s="61">
        <v>0</v>
      </c>
      <c r="AH15" s="61">
        <v>0</v>
      </c>
      <c r="AI15" s="61">
        <v>0</v>
      </c>
      <c r="AJ15" s="61">
        <v>0</v>
      </c>
      <c r="AK15" s="61">
        <v>0</v>
      </c>
      <c r="AL15" s="61">
        <v>0</v>
      </c>
      <c r="AM15" s="61">
        <v>0</v>
      </c>
      <c r="AN15" s="62">
        <v>16289</v>
      </c>
      <c r="AO15" s="62">
        <v>16289</v>
      </c>
      <c r="AP15" s="62">
        <v>16289</v>
      </c>
      <c r="AQ15" s="62">
        <v>16289</v>
      </c>
      <c r="AR15" s="62">
        <v>16289</v>
      </c>
      <c r="AS15" s="62">
        <v>16289</v>
      </c>
      <c r="AT15" s="62">
        <v>16289</v>
      </c>
      <c r="AU15" s="62">
        <v>16289</v>
      </c>
      <c r="AV15" s="62">
        <v>16289</v>
      </c>
      <c r="AW15" s="62">
        <v>16289</v>
      </c>
      <c r="AX15" s="62">
        <v>16289</v>
      </c>
      <c r="AY15" s="137">
        <v>16289</v>
      </c>
      <c r="AZ15" s="137">
        <v>16289</v>
      </c>
      <c r="BA15" s="137">
        <v>16289</v>
      </c>
      <c r="BB15" s="62">
        <v>16289</v>
      </c>
      <c r="BC15" s="137">
        <v>16289</v>
      </c>
      <c r="BD15" s="62">
        <v>16289</v>
      </c>
      <c r="BE15" s="62">
        <v>16289</v>
      </c>
      <c r="BF15" s="137">
        <v>0</v>
      </c>
      <c r="BG15" s="137">
        <v>0</v>
      </c>
      <c r="BH15" s="137">
        <v>0</v>
      </c>
      <c r="BI15" s="137">
        <v>0</v>
      </c>
      <c r="BJ15" s="137">
        <v>0</v>
      </c>
      <c r="BK15" s="137">
        <v>0</v>
      </c>
      <c r="BL15" s="137">
        <v>0</v>
      </c>
      <c r="BM15" s="137">
        <v>0</v>
      </c>
      <c r="BN15" s="137">
        <v>0</v>
      </c>
      <c r="BO15" s="137">
        <v>0</v>
      </c>
      <c r="BP15" s="137">
        <v>0</v>
      </c>
      <c r="BQ15" s="137">
        <v>0</v>
      </c>
      <c r="BR15" s="137">
        <v>0</v>
      </c>
      <c r="BS15" s="137">
        <v>0</v>
      </c>
      <c r="BT15" s="137">
        <v>0</v>
      </c>
      <c r="BU15" s="137">
        <v>0</v>
      </c>
      <c r="BV15" s="137">
        <v>0</v>
      </c>
      <c r="BW15" s="137">
        <v>0</v>
      </c>
      <c r="BX15" s="137">
        <v>0</v>
      </c>
    </row>
    <row r="16" spans="1:76" ht="15" hidden="1" customHeight="1" outlineLevel="1">
      <c r="A16" t="s">
        <v>18</v>
      </c>
      <c r="B16" s="38" t="s">
        <v>19</v>
      </c>
      <c r="C16" s="62">
        <v>0</v>
      </c>
      <c r="D16" s="62">
        <v>0</v>
      </c>
      <c r="E16" s="62">
        <v>0</v>
      </c>
      <c r="F16" s="62">
        <v>0</v>
      </c>
      <c r="G16" s="62">
        <v>0</v>
      </c>
      <c r="H16" s="62">
        <v>0</v>
      </c>
      <c r="I16" s="62">
        <v>0</v>
      </c>
      <c r="J16" s="62">
        <v>0</v>
      </c>
      <c r="K16" s="62">
        <v>0</v>
      </c>
      <c r="L16" s="62">
        <v>0</v>
      </c>
      <c r="M16" s="62">
        <v>0</v>
      </c>
      <c r="N16" s="62">
        <v>0</v>
      </c>
      <c r="O16" s="62">
        <v>0</v>
      </c>
      <c r="P16" s="62">
        <v>0</v>
      </c>
      <c r="Q16" s="62">
        <v>0</v>
      </c>
      <c r="R16" s="62">
        <v>0</v>
      </c>
      <c r="S16" s="62">
        <v>0</v>
      </c>
      <c r="T16" s="62">
        <v>0</v>
      </c>
      <c r="U16" s="62">
        <v>0</v>
      </c>
      <c r="V16" s="62">
        <v>0</v>
      </c>
      <c r="W16" s="62">
        <v>0</v>
      </c>
      <c r="X16" s="62">
        <v>0</v>
      </c>
      <c r="Y16" s="62">
        <v>0</v>
      </c>
      <c r="Z16" s="62">
        <v>0</v>
      </c>
      <c r="AA16" s="62">
        <v>0</v>
      </c>
      <c r="AB16" s="62">
        <v>0</v>
      </c>
      <c r="AC16" s="62">
        <v>19002.264908700003</v>
      </c>
      <c r="AD16" s="62">
        <v>19002.264908700003</v>
      </c>
      <c r="AE16" s="62">
        <v>19002.264908700003</v>
      </c>
      <c r="AF16" s="62">
        <v>19002.264908700003</v>
      </c>
      <c r="AG16" s="62">
        <v>19002</v>
      </c>
      <c r="AH16" s="62">
        <v>19002</v>
      </c>
      <c r="AI16" s="137">
        <v>0</v>
      </c>
      <c r="AJ16" s="137">
        <v>0</v>
      </c>
      <c r="AK16" s="137">
        <v>0</v>
      </c>
      <c r="AL16" s="137">
        <v>0</v>
      </c>
      <c r="AM16" s="137">
        <v>0</v>
      </c>
      <c r="AN16" s="137">
        <v>0</v>
      </c>
      <c r="AO16" s="137">
        <v>0</v>
      </c>
      <c r="AP16" s="137">
        <v>0</v>
      </c>
      <c r="AQ16" s="137">
        <v>0</v>
      </c>
      <c r="AR16" s="137">
        <v>0</v>
      </c>
      <c r="AS16" s="137">
        <v>0</v>
      </c>
      <c r="AT16" s="137">
        <v>0</v>
      </c>
      <c r="AU16" s="137">
        <v>0</v>
      </c>
      <c r="AV16" s="137">
        <v>0</v>
      </c>
      <c r="AW16" s="137">
        <v>0</v>
      </c>
      <c r="AX16" s="137">
        <v>0</v>
      </c>
      <c r="AY16" s="137">
        <v>0</v>
      </c>
      <c r="AZ16" s="137">
        <v>0</v>
      </c>
      <c r="BA16" s="137">
        <v>0</v>
      </c>
      <c r="BB16" s="137">
        <v>0</v>
      </c>
      <c r="BC16" s="137">
        <v>0</v>
      </c>
      <c r="BD16" s="62">
        <v>0</v>
      </c>
      <c r="BE16" s="62">
        <v>0</v>
      </c>
      <c r="BF16" s="137">
        <v>0</v>
      </c>
      <c r="BG16" s="137">
        <v>0</v>
      </c>
      <c r="BH16" s="137">
        <v>0</v>
      </c>
      <c r="BI16" s="137">
        <v>0</v>
      </c>
      <c r="BJ16" s="137">
        <v>0</v>
      </c>
      <c r="BK16" s="137">
        <v>0</v>
      </c>
      <c r="BL16" s="137">
        <v>0</v>
      </c>
      <c r="BM16" s="137">
        <v>0</v>
      </c>
      <c r="BN16" s="137">
        <v>0</v>
      </c>
      <c r="BO16" s="137">
        <v>0</v>
      </c>
      <c r="BP16" s="137">
        <v>0</v>
      </c>
      <c r="BQ16" s="137">
        <v>0</v>
      </c>
      <c r="BR16" s="137">
        <v>0</v>
      </c>
      <c r="BS16" s="137">
        <v>0</v>
      </c>
      <c r="BT16" s="137">
        <v>0</v>
      </c>
      <c r="BU16" s="137">
        <v>0</v>
      </c>
      <c r="BV16" s="137">
        <v>0</v>
      </c>
      <c r="BW16" s="137">
        <v>0</v>
      </c>
      <c r="BX16" s="137">
        <v>0</v>
      </c>
    </row>
    <row r="17" spans="1:76" ht="15" hidden="1" customHeight="1" outlineLevel="1">
      <c r="A17" t="s">
        <v>18</v>
      </c>
      <c r="B17" s="38" t="s">
        <v>5</v>
      </c>
      <c r="C17" s="62">
        <v>0</v>
      </c>
      <c r="D17" s="62">
        <v>0</v>
      </c>
      <c r="E17" s="62">
        <v>0</v>
      </c>
      <c r="F17" s="62">
        <v>0</v>
      </c>
      <c r="G17" s="62">
        <v>7306</v>
      </c>
      <c r="H17" s="62">
        <v>7051</v>
      </c>
      <c r="I17" s="62">
        <v>7051</v>
      </c>
      <c r="J17" s="62">
        <v>6280</v>
      </c>
      <c r="K17" s="62">
        <v>4481</v>
      </c>
      <c r="L17" s="62">
        <v>1766</v>
      </c>
      <c r="M17" s="62">
        <v>1766</v>
      </c>
      <c r="N17" s="62">
        <v>1766</v>
      </c>
      <c r="O17" s="62">
        <v>1766</v>
      </c>
      <c r="P17" s="62">
        <v>0</v>
      </c>
      <c r="Q17" s="62">
        <v>0</v>
      </c>
      <c r="R17" s="62">
        <v>0</v>
      </c>
      <c r="S17" s="62">
        <v>0</v>
      </c>
      <c r="T17" s="62">
        <v>0</v>
      </c>
      <c r="U17" s="62">
        <v>0</v>
      </c>
      <c r="V17" s="62">
        <v>0</v>
      </c>
      <c r="W17" s="62">
        <v>0</v>
      </c>
      <c r="X17" s="62">
        <v>0</v>
      </c>
      <c r="Y17" s="62">
        <v>0</v>
      </c>
      <c r="Z17" s="62">
        <v>0</v>
      </c>
      <c r="AA17" s="62">
        <v>0</v>
      </c>
      <c r="AB17" s="62">
        <v>0</v>
      </c>
      <c r="AC17" s="62">
        <v>0</v>
      </c>
      <c r="AD17" s="62">
        <v>0</v>
      </c>
      <c r="AE17" s="62">
        <v>0</v>
      </c>
      <c r="AF17" s="62">
        <v>0</v>
      </c>
      <c r="AG17" s="62">
        <v>0</v>
      </c>
      <c r="AH17" s="62">
        <v>0</v>
      </c>
      <c r="AI17" s="137">
        <v>0</v>
      </c>
      <c r="AJ17" s="137">
        <v>0</v>
      </c>
      <c r="AK17" s="137">
        <v>0</v>
      </c>
      <c r="AL17" s="137">
        <v>0</v>
      </c>
      <c r="AM17" s="137">
        <v>0</v>
      </c>
      <c r="AN17" s="137">
        <v>0</v>
      </c>
      <c r="AO17" s="137">
        <v>0</v>
      </c>
      <c r="AP17" s="137">
        <v>0</v>
      </c>
      <c r="AQ17" s="137">
        <v>0</v>
      </c>
      <c r="AR17" s="137">
        <v>0</v>
      </c>
      <c r="AS17" s="137">
        <v>0</v>
      </c>
      <c r="AT17" s="137">
        <v>0</v>
      </c>
      <c r="AU17" s="137">
        <v>0</v>
      </c>
      <c r="AV17" s="137">
        <v>0</v>
      </c>
      <c r="AW17" s="137">
        <v>0</v>
      </c>
      <c r="AX17" s="137">
        <v>0</v>
      </c>
      <c r="AY17" s="137">
        <v>0</v>
      </c>
      <c r="AZ17" s="137">
        <v>0</v>
      </c>
      <c r="BA17" s="137">
        <v>0</v>
      </c>
      <c r="BB17" s="137">
        <v>0</v>
      </c>
      <c r="BC17" s="137">
        <v>0</v>
      </c>
      <c r="BD17" s="62">
        <v>0</v>
      </c>
      <c r="BE17" s="62">
        <v>0</v>
      </c>
      <c r="BF17" s="137">
        <v>0</v>
      </c>
      <c r="BG17" s="137">
        <v>0</v>
      </c>
      <c r="BH17" s="137">
        <v>0</v>
      </c>
      <c r="BI17" s="137">
        <v>0</v>
      </c>
      <c r="BJ17" s="137">
        <v>0</v>
      </c>
      <c r="BK17" s="137">
        <v>0</v>
      </c>
      <c r="BL17" s="137">
        <v>0</v>
      </c>
      <c r="BM17" s="137">
        <v>0</v>
      </c>
      <c r="BN17" s="137">
        <v>0</v>
      </c>
      <c r="BO17" s="137">
        <v>0</v>
      </c>
      <c r="BP17" s="137">
        <v>0</v>
      </c>
      <c r="BQ17" s="137">
        <v>0</v>
      </c>
      <c r="BR17" s="137">
        <v>0</v>
      </c>
      <c r="BS17" s="137">
        <v>0</v>
      </c>
      <c r="BT17" s="137">
        <v>0</v>
      </c>
      <c r="BU17" s="137">
        <v>0</v>
      </c>
      <c r="BV17" s="137">
        <v>0</v>
      </c>
      <c r="BW17" s="137">
        <v>0</v>
      </c>
      <c r="BX17" s="137">
        <v>0</v>
      </c>
    </row>
    <row r="18" spans="1:76" ht="15" hidden="1" customHeight="1" outlineLevel="1">
      <c r="A18" t="s">
        <v>201</v>
      </c>
      <c r="B18" s="38" t="s">
        <v>48</v>
      </c>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v>0</v>
      </c>
      <c r="AM18" s="62">
        <v>0</v>
      </c>
      <c r="AN18" s="62">
        <v>0</v>
      </c>
      <c r="AO18" s="62">
        <v>0</v>
      </c>
      <c r="AP18" s="62">
        <v>0</v>
      </c>
      <c r="AQ18" s="62">
        <v>0</v>
      </c>
      <c r="AR18" s="62">
        <v>0</v>
      </c>
      <c r="AS18" s="62">
        <v>0</v>
      </c>
      <c r="AT18" s="62">
        <v>0</v>
      </c>
      <c r="AU18" s="62">
        <v>0</v>
      </c>
      <c r="AV18" s="62">
        <v>0</v>
      </c>
      <c r="AW18" s="62">
        <v>0</v>
      </c>
      <c r="AX18" s="137">
        <v>10475</v>
      </c>
      <c r="AY18" s="137">
        <v>10475</v>
      </c>
      <c r="AZ18" s="137">
        <v>10475</v>
      </c>
      <c r="BA18" s="137">
        <v>10475</v>
      </c>
      <c r="BB18" s="137">
        <v>10475</v>
      </c>
      <c r="BC18" s="137">
        <v>10475</v>
      </c>
      <c r="BD18" s="137">
        <v>10475</v>
      </c>
      <c r="BE18" s="137">
        <v>12237.020000000004</v>
      </c>
      <c r="BF18" s="137">
        <v>12237.020000000004</v>
      </c>
      <c r="BG18" s="137">
        <v>12064.260000000007</v>
      </c>
      <c r="BH18" s="137">
        <v>12064.260000000007</v>
      </c>
      <c r="BI18" s="137">
        <v>12064.260000000007</v>
      </c>
      <c r="BJ18" s="137">
        <v>12064.260000000007</v>
      </c>
      <c r="BK18" s="137">
        <v>12064.260000000007</v>
      </c>
      <c r="BL18" s="137">
        <v>12064.260000000007</v>
      </c>
      <c r="BM18" s="137">
        <v>12064.260100000007</v>
      </c>
      <c r="BN18" s="137">
        <v>12064.260100000007</v>
      </c>
      <c r="BO18" s="137">
        <v>12064.260100000007</v>
      </c>
      <c r="BP18" s="137">
        <v>12064.260100000007</v>
      </c>
      <c r="BQ18" s="137">
        <v>12064.260100000007</v>
      </c>
      <c r="BR18" s="137">
        <v>12237.140100000006</v>
      </c>
      <c r="BS18" s="137">
        <v>12237.140100000006</v>
      </c>
      <c r="BT18" s="137">
        <v>12237.140100000006</v>
      </c>
      <c r="BU18" s="137">
        <v>12237.140100000006</v>
      </c>
      <c r="BV18" s="137">
        <v>12237.140100000006</v>
      </c>
      <c r="BW18" s="137">
        <v>12237.140100000006</v>
      </c>
      <c r="BX18" s="137">
        <v>12237.140100000006</v>
      </c>
    </row>
    <row r="19" spans="1:76" ht="15" hidden="1" customHeight="1" outlineLevel="1">
      <c r="A19" t="s">
        <v>202</v>
      </c>
      <c r="B19" s="38" t="s">
        <v>49</v>
      </c>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v>0</v>
      </c>
      <c r="AM19" s="62">
        <v>0</v>
      </c>
      <c r="AN19" s="62">
        <v>0</v>
      </c>
      <c r="AO19" s="62">
        <v>0</v>
      </c>
      <c r="AP19" s="62">
        <v>0</v>
      </c>
      <c r="AQ19" s="62">
        <v>0</v>
      </c>
      <c r="AR19" s="62">
        <v>0</v>
      </c>
      <c r="AS19" s="62">
        <v>0</v>
      </c>
      <c r="AT19" s="62">
        <v>0</v>
      </c>
      <c r="AU19" s="62">
        <v>0</v>
      </c>
      <c r="AV19" s="62">
        <v>0</v>
      </c>
      <c r="AW19" s="62">
        <v>0</v>
      </c>
      <c r="AX19" s="62">
        <v>19418</v>
      </c>
      <c r="AY19" s="137">
        <v>19418</v>
      </c>
      <c r="AZ19" s="137">
        <v>19418</v>
      </c>
      <c r="BA19" s="137">
        <v>19418</v>
      </c>
      <c r="BB19" s="62">
        <v>19418</v>
      </c>
      <c r="BC19" s="137">
        <v>19418</v>
      </c>
      <c r="BD19" s="62">
        <v>19418</v>
      </c>
      <c r="BE19" s="62">
        <v>19417.839212374143</v>
      </c>
      <c r="BF19" s="137">
        <v>19417.839212374143</v>
      </c>
      <c r="BG19" s="137">
        <v>19417.839212374143</v>
      </c>
      <c r="BH19" s="137">
        <v>19417.839212374143</v>
      </c>
      <c r="BI19" s="137">
        <v>19417.839212374143</v>
      </c>
      <c r="BJ19" s="137">
        <v>19417.839212374143</v>
      </c>
      <c r="BK19" s="137">
        <v>19417.839212374143</v>
      </c>
      <c r="BL19" s="137">
        <v>19417.839212374143</v>
      </c>
      <c r="BM19" s="137">
        <v>19417.839212374143</v>
      </c>
      <c r="BN19" s="137">
        <v>19417.839212374143</v>
      </c>
      <c r="BO19" s="137">
        <v>19417.839212374143</v>
      </c>
      <c r="BP19" s="137">
        <v>19417.839212374143</v>
      </c>
      <c r="BQ19" s="137">
        <v>19417.839212374143</v>
      </c>
      <c r="BR19" s="137">
        <v>19417.839212374143</v>
      </c>
      <c r="BS19" s="137">
        <v>19417.839212374143</v>
      </c>
      <c r="BT19" s="137">
        <v>19417.839212374143</v>
      </c>
      <c r="BU19" s="137">
        <v>19417.839212374143</v>
      </c>
      <c r="BV19" s="137">
        <v>19417.839212374143</v>
      </c>
      <c r="BW19" s="137">
        <v>19417.839212374143</v>
      </c>
      <c r="BX19" s="137">
        <v>19417.839212374143</v>
      </c>
    </row>
    <row r="20" spans="1:76" ht="15" customHeight="1" collapsed="1">
      <c r="A20" s="30"/>
      <c r="B20" s="81" t="str">
        <f>IF('Sumário | Summary'!P1=1,"Escritórios Classe A","Class A Offices")</f>
        <v>Escritórios Classe A</v>
      </c>
      <c r="C20" s="102">
        <f t="shared" ref="C20:BN20" si="4">SUM(C21:C28)</f>
        <v>26986.129999999997</v>
      </c>
      <c r="D20" s="102">
        <f t="shared" si="4"/>
        <v>30836.129999999997</v>
      </c>
      <c r="E20" s="102">
        <f t="shared" si="4"/>
        <v>30836.129999999997</v>
      </c>
      <c r="F20" s="102">
        <f t="shared" si="4"/>
        <v>30836.129999999997</v>
      </c>
      <c r="G20" s="102">
        <f t="shared" si="4"/>
        <v>30836.129999999997</v>
      </c>
      <c r="H20" s="102">
        <f t="shared" si="4"/>
        <v>30836.129999999997</v>
      </c>
      <c r="I20" s="102">
        <f t="shared" si="4"/>
        <v>30836.129999999997</v>
      </c>
      <c r="J20" s="102">
        <f t="shared" si="4"/>
        <v>30836.129999999997</v>
      </c>
      <c r="K20" s="102">
        <f t="shared" si="4"/>
        <v>30836.129999999997</v>
      </c>
      <c r="L20" s="102">
        <f t="shared" si="4"/>
        <v>30836.129999999997</v>
      </c>
      <c r="M20" s="102">
        <f t="shared" si="4"/>
        <v>30836.129999999997</v>
      </c>
      <c r="N20" s="102">
        <f t="shared" si="4"/>
        <v>30836.129999999997</v>
      </c>
      <c r="O20" s="102">
        <f t="shared" si="4"/>
        <v>30836.129999999997</v>
      </c>
      <c r="P20" s="102">
        <f t="shared" si="4"/>
        <v>30836.129999999997</v>
      </c>
      <c r="Q20" s="102">
        <f t="shared" si="4"/>
        <v>30836.129999999997</v>
      </c>
      <c r="R20" s="102">
        <f t="shared" si="4"/>
        <v>30836.129999999997</v>
      </c>
      <c r="S20" s="102">
        <f t="shared" si="4"/>
        <v>30836.129999999997</v>
      </c>
      <c r="T20" s="102">
        <f t="shared" si="4"/>
        <v>30836.129999999997</v>
      </c>
      <c r="U20" s="102">
        <f t="shared" si="4"/>
        <v>30836.129999999997</v>
      </c>
      <c r="V20" s="102">
        <f t="shared" si="4"/>
        <v>30836.129999999997</v>
      </c>
      <c r="W20" s="102">
        <f t="shared" si="4"/>
        <v>30836.129999999997</v>
      </c>
      <c r="X20" s="102">
        <f t="shared" si="4"/>
        <v>30836.179999999997</v>
      </c>
      <c r="Y20" s="102">
        <f t="shared" si="4"/>
        <v>30836.179999999997</v>
      </c>
      <c r="Z20" s="102">
        <f t="shared" si="4"/>
        <v>30836.179999999997</v>
      </c>
      <c r="AA20" s="102">
        <f t="shared" si="4"/>
        <v>30836.179999999997</v>
      </c>
      <c r="AB20" s="102">
        <f t="shared" si="4"/>
        <v>30836.179999999997</v>
      </c>
      <c r="AC20" s="102">
        <f t="shared" si="4"/>
        <v>30836.179999999997</v>
      </c>
      <c r="AD20" s="102">
        <f t="shared" si="4"/>
        <v>30836.129999999997</v>
      </c>
      <c r="AE20" s="102">
        <f t="shared" si="4"/>
        <v>30836.129999999997</v>
      </c>
      <c r="AF20" s="102">
        <f t="shared" si="4"/>
        <v>27992.489999999998</v>
      </c>
      <c r="AG20" s="102">
        <f t="shared" si="4"/>
        <v>27992.069999999996</v>
      </c>
      <c r="AH20" s="102">
        <f t="shared" si="4"/>
        <v>27992.069999999996</v>
      </c>
      <c r="AI20" s="102">
        <f t="shared" si="4"/>
        <v>27992.489999999998</v>
      </c>
      <c r="AJ20" s="102">
        <f t="shared" si="4"/>
        <v>27992.489999999998</v>
      </c>
      <c r="AK20" s="102">
        <f t="shared" si="4"/>
        <v>27992.249999999996</v>
      </c>
      <c r="AL20" s="102">
        <f t="shared" si="4"/>
        <v>41931.31</v>
      </c>
      <c r="AM20" s="102">
        <f t="shared" si="4"/>
        <v>41931.49</v>
      </c>
      <c r="AN20" s="102">
        <f t="shared" si="4"/>
        <v>41931.129999999997</v>
      </c>
      <c r="AO20" s="102">
        <f t="shared" si="4"/>
        <v>41931.49</v>
      </c>
      <c r="AP20" s="102">
        <f t="shared" si="4"/>
        <v>41931.49</v>
      </c>
      <c r="AQ20" s="102">
        <f t="shared" si="4"/>
        <v>41931.49</v>
      </c>
      <c r="AR20" s="102">
        <f t="shared" si="4"/>
        <v>41931.49</v>
      </c>
      <c r="AS20" s="102">
        <f t="shared" si="4"/>
        <v>41931.49</v>
      </c>
      <c r="AT20" s="102">
        <f t="shared" si="4"/>
        <v>41931.49</v>
      </c>
      <c r="AU20" s="102">
        <f t="shared" si="4"/>
        <v>69165</v>
      </c>
      <c r="AV20" s="102">
        <f t="shared" si="4"/>
        <v>80747.12999999999</v>
      </c>
      <c r="AW20" s="102">
        <f t="shared" si="4"/>
        <v>80747.12999999999</v>
      </c>
      <c r="AX20" s="102">
        <f t="shared" si="4"/>
        <v>66264.13</v>
      </c>
      <c r="AY20" s="102">
        <f t="shared" si="4"/>
        <v>66264</v>
      </c>
      <c r="AZ20" s="102">
        <f t="shared" si="4"/>
        <v>66264.13</v>
      </c>
      <c r="BA20" s="102">
        <f t="shared" si="4"/>
        <v>66264.13</v>
      </c>
      <c r="BB20" s="102">
        <f t="shared" si="4"/>
        <v>66264.13</v>
      </c>
      <c r="BC20" s="102">
        <f t="shared" si="4"/>
        <v>66264.13</v>
      </c>
      <c r="BD20" s="102">
        <f t="shared" si="4"/>
        <v>66264.13</v>
      </c>
      <c r="BE20" s="102">
        <f t="shared" si="4"/>
        <v>66264.13</v>
      </c>
      <c r="BF20" s="102">
        <f t="shared" si="4"/>
        <v>66264.13</v>
      </c>
      <c r="BG20" s="102">
        <f t="shared" si="4"/>
        <v>66264.13</v>
      </c>
      <c r="BH20" s="102">
        <f t="shared" si="4"/>
        <v>66264.179999999993</v>
      </c>
      <c r="BI20" s="102">
        <f t="shared" si="4"/>
        <v>66264.179999999993</v>
      </c>
      <c r="BJ20" s="102">
        <f t="shared" si="4"/>
        <v>66264.179999999993</v>
      </c>
      <c r="BK20" s="102">
        <f t="shared" si="4"/>
        <v>66264.179999999993</v>
      </c>
      <c r="BL20" s="102">
        <f t="shared" si="4"/>
        <v>66264.179999999993</v>
      </c>
      <c r="BM20" s="102">
        <f t="shared" si="4"/>
        <v>66264.179999999993</v>
      </c>
      <c r="BN20" s="102">
        <f t="shared" si="4"/>
        <v>46740.179999999993</v>
      </c>
      <c r="BO20" s="102">
        <f t="shared" ref="BO20" si="5">SUM(BO21:BO28)</f>
        <v>46740.179999999993</v>
      </c>
      <c r="BP20" s="102">
        <v>46740.179999999993</v>
      </c>
      <c r="BQ20" s="102">
        <v>46740.179999999993</v>
      </c>
      <c r="BR20" s="102">
        <v>47405.91</v>
      </c>
      <c r="BS20" s="102">
        <v>47405.91</v>
      </c>
      <c r="BT20" s="102">
        <v>47405.91</v>
      </c>
      <c r="BU20" s="102">
        <v>47405.91</v>
      </c>
      <c r="BV20" s="102">
        <v>37400.85</v>
      </c>
      <c r="BW20" s="102">
        <v>37400.85</v>
      </c>
      <c r="BX20" s="102">
        <f>SUM(BX21:BX28)</f>
        <v>37400.85</v>
      </c>
    </row>
    <row r="21" spans="1:76" ht="15" hidden="1" customHeight="1" outlineLevel="1">
      <c r="A21" t="s">
        <v>203</v>
      </c>
      <c r="B21" s="38" t="s">
        <v>6</v>
      </c>
      <c r="C21" s="61">
        <v>11987.249999999996</v>
      </c>
      <c r="D21" s="61">
        <v>11987.249999999996</v>
      </c>
      <c r="E21" s="61">
        <v>11987.249999999996</v>
      </c>
      <c r="F21" s="61">
        <v>11987.249999999996</v>
      </c>
      <c r="G21" s="61">
        <v>11987.249999999996</v>
      </c>
      <c r="H21" s="61">
        <v>11987.249999999996</v>
      </c>
      <c r="I21" s="61">
        <v>11987.249999999996</v>
      </c>
      <c r="J21" s="61">
        <v>11987.249999999996</v>
      </c>
      <c r="K21" s="61">
        <v>11987.249999999996</v>
      </c>
      <c r="L21" s="61">
        <v>11987.249999999996</v>
      </c>
      <c r="M21" s="61">
        <v>11987.249999999996</v>
      </c>
      <c r="N21" s="61">
        <v>11987.249999999996</v>
      </c>
      <c r="O21" s="61">
        <v>11987.249999999996</v>
      </c>
      <c r="P21" s="61">
        <v>11987.249999999996</v>
      </c>
      <c r="Q21" s="61">
        <v>11987.249999999996</v>
      </c>
      <c r="R21" s="61">
        <v>11987.249999999996</v>
      </c>
      <c r="S21" s="61">
        <v>11987.249999999996</v>
      </c>
      <c r="T21" s="61">
        <v>11987.249999999996</v>
      </c>
      <c r="U21" s="61">
        <v>11987.249999999996</v>
      </c>
      <c r="V21" s="61">
        <v>11987.249999999996</v>
      </c>
      <c r="W21" s="61">
        <v>11987.249999999996</v>
      </c>
      <c r="X21" s="61">
        <v>11987.249999999996</v>
      </c>
      <c r="Y21" s="61">
        <v>11987.249999999996</v>
      </c>
      <c r="Z21" s="61">
        <v>11987.249999999996</v>
      </c>
      <c r="AA21" s="61">
        <v>11987.249999999996</v>
      </c>
      <c r="AB21" s="61">
        <v>11987.249999999996</v>
      </c>
      <c r="AC21" s="61">
        <v>11987.249999999996</v>
      </c>
      <c r="AD21" s="61">
        <v>11987.249999999996</v>
      </c>
      <c r="AE21" s="61">
        <v>11987.249999999996</v>
      </c>
      <c r="AF21" s="61">
        <v>11987.249999999996</v>
      </c>
      <c r="AG21" s="61">
        <v>11987.249999999996</v>
      </c>
      <c r="AH21" s="61">
        <v>11987.249999999996</v>
      </c>
      <c r="AI21" s="61">
        <v>11987.249999999996</v>
      </c>
      <c r="AJ21" s="62">
        <v>11987.249999999996</v>
      </c>
      <c r="AK21" s="62">
        <v>11987.249999999996</v>
      </c>
      <c r="AL21" s="62">
        <v>11987.249999999996</v>
      </c>
      <c r="AM21" s="62">
        <v>11987.249999999996</v>
      </c>
      <c r="AN21" s="62">
        <v>11987.249999999996</v>
      </c>
      <c r="AO21" s="62">
        <v>11987.249999999996</v>
      </c>
      <c r="AP21" s="62">
        <v>11987.249999999996</v>
      </c>
      <c r="AQ21" s="62">
        <v>11987.249999999996</v>
      </c>
      <c r="AR21" s="62">
        <v>11987.249999999996</v>
      </c>
      <c r="AS21" s="62">
        <v>11987.249999999996</v>
      </c>
      <c r="AT21" s="62">
        <v>11987.249999999996</v>
      </c>
      <c r="AU21" s="137">
        <v>11987</v>
      </c>
      <c r="AV21" s="62">
        <v>11987.249999999996</v>
      </c>
      <c r="AW21" s="62">
        <v>11987.249999999996</v>
      </c>
      <c r="AX21" s="62">
        <v>11987.249999999996</v>
      </c>
      <c r="AY21" s="137">
        <v>11987</v>
      </c>
      <c r="AZ21" s="62">
        <v>11987.249999999996</v>
      </c>
      <c r="BA21" s="62">
        <v>11987.249999999996</v>
      </c>
      <c r="BB21" s="62">
        <v>11987.249999999996</v>
      </c>
      <c r="BC21" s="62">
        <v>11987.249999999996</v>
      </c>
      <c r="BD21" s="62">
        <v>11987.249999999996</v>
      </c>
      <c r="BE21" s="62">
        <v>11987.249999999996</v>
      </c>
      <c r="BF21" s="137">
        <v>11987.249999999996</v>
      </c>
      <c r="BG21" s="137">
        <v>11987.249999999996</v>
      </c>
      <c r="BH21" s="137">
        <v>11987.249999999996</v>
      </c>
      <c r="BI21" s="137">
        <v>11987.249999999996</v>
      </c>
      <c r="BJ21" s="137">
        <v>11987.249999999996</v>
      </c>
      <c r="BK21" s="137">
        <v>11987.249999999996</v>
      </c>
      <c r="BL21" s="137">
        <v>11987.249999999996</v>
      </c>
      <c r="BM21" s="137">
        <v>11987.249999999996</v>
      </c>
      <c r="BN21" s="137">
        <v>11987.249999999996</v>
      </c>
      <c r="BO21" s="137">
        <v>11987.249999999996</v>
      </c>
      <c r="BP21" s="137">
        <v>11987.249999999996</v>
      </c>
      <c r="BQ21" s="137">
        <v>11987.249999999996</v>
      </c>
      <c r="BR21" s="137">
        <v>11987.249999999996</v>
      </c>
      <c r="BS21" s="137">
        <v>11987.249999999996</v>
      </c>
      <c r="BT21" s="137">
        <v>11987.249999999996</v>
      </c>
      <c r="BU21" s="137">
        <v>11987.249999999996</v>
      </c>
      <c r="BV21" s="137">
        <v>11987.249999999996</v>
      </c>
      <c r="BW21" s="137">
        <v>11987.249999999996</v>
      </c>
      <c r="BX21" s="137">
        <v>11987.249999999996</v>
      </c>
    </row>
    <row r="22" spans="1:76" ht="15" hidden="1" customHeight="1" outlineLevel="1">
      <c r="A22" t="s">
        <v>204</v>
      </c>
      <c r="B22" s="38" t="s">
        <v>7</v>
      </c>
      <c r="C22" s="61">
        <v>8385.82</v>
      </c>
      <c r="D22" s="61">
        <v>8385.82</v>
      </c>
      <c r="E22" s="61">
        <v>8385.82</v>
      </c>
      <c r="F22" s="61">
        <v>8385.82</v>
      </c>
      <c r="G22" s="61">
        <v>8385.82</v>
      </c>
      <c r="H22" s="61">
        <v>8385.82</v>
      </c>
      <c r="I22" s="61">
        <v>8385.82</v>
      </c>
      <c r="J22" s="61">
        <v>8385.82</v>
      </c>
      <c r="K22" s="61">
        <v>8385.82</v>
      </c>
      <c r="L22" s="61">
        <v>8385.82</v>
      </c>
      <c r="M22" s="61">
        <v>8385.82</v>
      </c>
      <c r="N22" s="61">
        <v>8385.82</v>
      </c>
      <c r="O22" s="61">
        <v>8385.82</v>
      </c>
      <c r="P22" s="61">
        <v>8385.82</v>
      </c>
      <c r="Q22" s="61">
        <v>8385.82</v>
      </c>
      <c r="R22" s="61">
        <v>8385.82</v>
      </c>
      <c r="S22" s="61">
        <v>8385.82</v>
      </c>
      <c r="T22" s="61">
        <v>8385.82</v>
      </c>
      <c r="U22" s="61">
        <v>8385.82</v>
      </c>
      <c r="V22" s="61">
        <v>8385.82</v>
      </c>
      <c r="W22" s="61">
        <v>8385.82</v>
      </c>
      <c r="X22" s="61">
        <v>8385.82</v>
      </c>
      <c r="Y22" s="61">
        <v>8385.82</v>
      </c>
      <c r="Z22" s="61">
        <v>8385.82</v>
      </c>
      <c r="AA22" s="61">
        <v>8385.82</v>
      </c>
      <c r="AB22" s="61">
        <v>8385.82</v>
      </c>
      <c r="AC22" s="61">
        <v>8385.82</v>
      </c>
      <c r="AD22" s="61">
        <v>8385.82</v>
      </c>
      <c r="AE22" s="61">
        <v>8385.82</v>
      </c>
      <c r="AF22" s="61">
        <v>8385.82</v>
      </c>
      <c r="AG22" s="61">
        <v>8385.82</v>
      </c>
      <c r="AH22" s="61">
        <v>8385.82</v>
      </c>
      <c r="AI22" s="61">
        <v>8385.82</v>
      </c>
      <c r="AJ22" s="62">
        <v>8385.82</v>
      </c>
      <c r="AK22" s="62">
        <v>8386</v>
      </c>
      <c r="AL22" s="62">
        <v>8386</v>
      </c>
      <c r="AM22" s="62">
        <v>8385.82</v>
      </c>
      <c r="AN22" s="62">
        <v>8385.82</v>
      </c>
      <c r="AO22" s="62">
        <v>8385.82</v>
      </c>
      <c r="AP22" s="62">
        <v>8385.82</v>
      </c>
      <c r="AQ22" s="62">
        <v>8385.82</v>
      </c>
      <c r="AR22" s="62">
        <v>8385.82</v>
      </c>
      <c r="AS22" s="62">
        <v>8385.82</v>
      </c>
      <c r="AT22" s="62">
        <v>8385.82</v>
      </c>
      <c r="AU22" s="137">
        <v>8386</v>
      </c>
      <c r="AV22" s="62">
        <v>8385.82</v>
      </c>
      <c r="AW22" s="62">
        <v>8385.82</v>
      </c>
      <c r="AX22" s="62">
        <v>8385.82</v>
      </c>
      <c r="AY22" s="137">
        <v>8386</v>
      </c>
      <c r="AZ22" s="62">
        <v>8385.82</v>
      </c>
      <c r="BA22" s="62">
        <v>8385.82</v>
      </c>
      <c r="BB22" s="62">
        <v>8385.82</v>
      </c>
      <c r="BC22" s="62">
        <v>8385.82</v>
      </c>
      <c r="BD22" s="62">
        <v>8385.82</v>
      </c>
      <c r="BE22" s="62">
        <v>8385.82</v>
      </c>
      <c r="BF22" s="137">
        <v>8385.82</v>
      </c>
      <c r="BG22" s="137">
        <v>8385.82</v>
      </c>
      <c r="BH22" s="137">
        <v>8385.82</v>
      </c>
      <c r="BI22" s="137">
        <v>8385.82</v>
      </c>
      <c r="BJ22" s="137">
        <v>8385.82</v>
      </c>
      <c r="BK22" s="137">
        <v>8385.82</v>
      </c>
      <c r="BL22" s="137">
        <v>8385.82</v>
      </c>
      <c r="BM22" s="137">
        <v>8385.82</v>
      </c>
      <c r="BN22" s="137">
        <v>8385.82</v>
      </c>
      <c r="BO22" s="137">
        <v>8385.82</v>
      </c>
      <c r="BP22" s="137">
        <v>8385.82</v>
      </c>
      <c r="BQ22" s="137">
        <v>8385.82</v>
      </c>
      <c r="BR22" s="137">
        <v>8385.82</v>
      </c>
      <c r="BS22" s="137">
        <v>8385.82</v>
      </c>
      <c r="BT22" s="137">
        <v>8385.82</v>
      </c>
      <c r="BU22" s="137">
        <v>8385.82</v>
      </c>
      <c r="BV22" s="137">
        <v>8385.82</v>
      </c>
      <c r="BW22" s="137">
        <v>8385.82</v>
      </c>
      <c r="BX22" s="137">
        <v>8385.82</v>
      </c>
    </row>
    <row r="23" spans="1:76" ht="15" hidden="1" customHeight="1" outlineLevel="1">
      <c r="A23" t="s">
        <v>18</v>
      </c>
      <c r="B23" s="38" t="s">
        <v>29</v>
      </c>
      <c r="C23" s="61">
        <v>2923</v>
      </c>
      <c r="D23" s="61">
        <v>2923</v>
      </c>
      <c r="E23" s="61">
        <v>2923</v>
      </c>
      <c r="F23" s="61">
        <v>2923</v>
      </c>
      <c r="G23" s="61">
        <v>2923</v>
      </c>
      <c r="H23" s="61">
        <v>2923</v>
      </c>
      <c r="I23" s="61">
        <v>2923</v>
      </c>
      <c r="J23" s="61">
        <v>2923</v>
      </c>
      <c r="K23" s="61">
        <v>2923</v>
      </c>
      <c r="L23" s="61">
        <v>2923</v>
      </c>
      <c r="M23" s="61">
        <v>2923</v>
      </c>
      <c r="N23" s="61">
        <v>2923</v>
      </c>
      <c r="O23" s="61">
        <v>2923</v>
      </c>
      <c r="P23" s="61">
        <v>2923</v>
      </c>
      <c r="Q23" s="61">
        <v>2923</v>
      </c>
      <c r="R23" s="61">
        <v>2923</v>
      </c>
      <c r="S23" s="61">
        <v>2923</v>
      </c>
      <c r="T23" s="61">
        <v>2923</v>
      </c>
      <c r="U23" s="61">
        <v>2923</v>
      </c>
      <c r="V23" s="61">
        <v>2923</v>
      </c>
      <c r="W23" s="61">
        <v>2923</v>
      </c>
      <c r="X23" s="61">
        <v>2923</v>
      </c>
      <c r="Y23" s="61">
        <v>2923</v>
      </c>
      <c r="Z23" s="61">
        <v>2923</v>
      </c>
      <c r="AA23" s="61">
        <v>2923</v>
      </c>
      <c r="AB23" s="61">
        <v>2923</v>
      </c>
      <c r="AC23" s="61">
        <v>2923</v>
      </c>
      <c r="AD23" s="61">
        <v>2923</v>
      </c>
      <c r="AE23" s="61">
        <v>2923</v>
      </c>
      <c r="AF23" s="61">
        <v>2923.36</v>
      </c>
      <c r="AG23" s="61">
        <v>2923</v>
      </c>
      <c r="AH23" s="61">
        <v>2923</v>
      </c>
      <c r="AI23" s="61">
        <v>2923.36</v>
      </c>
      <c r="AJ23" s="62">
        <v>2923.36</v>
      </c>
      <c r="AK23" s="62">
        <v>2923</v>
      </c>
      <c r="AL23" s="62">
        <v>2923</v>
      </c>
      <c r="AM23" s="62">
        <v>2923.36</v>
      </c>
      <c r="AN23" s="62">
        <v>2923</v>
      </c>
      <c r="AO23" s="62">
        <v>2923.36</v>
      </c>
      <c r="AP23" s="62">
        <v>2923.36</v>
      </c>
      <c r="AQ23" s="62">
        <v>2923.36</v>
      </c>
      <c r="AR23" s="62">
        <v>2923.36</v>
      </c>
      <c r="AS23" s="62">
        <v>2923.36</v>
      </c>
      <c r="AT23" s="62">
        <v>2923.36</v>
      </c>
      <c r="AU23" s="137">
        <v>14483</v>
      </c>
      <c r="AV23" s="137">
        <v>14483</v>
      </c>
      <c r="AW23" s="137">
        <v>14483</v>
      </c>
      <c r="AX23" s="62">
        <v>0</v>
      </c>
      <c r="AY23" s="137">
        <v>0</v>
      </c>
      <c r="AZ23" s="62">
        <v>0</v>
      </c>
      <c r="BA23" s="62">
        <v>0</v>
      </c>
      <c r="BB23" s="62">
        <v>0</v>
      </c>
      <c r="BC23" s="62">
        <v>0</v>
      </c>
      <c r="BD23" s="62">
        <v>0</v>
      </c>
      <c r="BE23" s="62">
        <v>0</v>
      </c>
      <c r="BF23" s="137">
        <v>0</v>
      </c>
      <c r="BG23" s="137">
        <v>0</v>
      </c>
      <c r="BH23" s="137">
        <v>0</v>
      </c>
      <c r="BI23" s="137">
        <v>0</v>
      </c>
      <c r="BJ23" s="137">
        <v>0</v>
      </c>
      <c r="BK23" s="137">
        <v>0</v>
      </c>
      <c r="BL23" s="137">
        <v>0</v>
      </c>
      <c r="BM23" s="137">
        <v>0</v>
      </c>
      <c r="BN23" s="137">
        <v>0</v>
      </c>
      <c r="BO23" s="137">
        <v>0</v>
      </c>
      <c r="BP23" s="137">
        <v>0</v>
      </c>
      <c r="BQ23" s="137">
        <v>0</v>
      </c>
      <c r="BR23" s="137">
        <v>0</v>
      </c>
      <c r="BS23" s="137">
        <v>0</v>
      </c>
      <c r="BT23" s="137">
        <v>0</v>
      </c>
      <c r="BU23" s="137">
        <v>0</v>
      </c>
      <c r="BV23" s="137">
        <v>0</v>
      </c>
      <c r="BW23" s="137">
        <v>0</v>
      </c>
      <c r="BX23" s="137">
        <v>0</v>
      </c>
    </row>
    <row r="24" spans="1:76" ht="15" hidden="1" customHeight="1" outlineLevel="1">
      <c r="A24" t="s">
        <v>206</v>
      </c>
      <c r="B24" s="38" t="s">
        <v>9</v>
      </c>
      <c r="C24" s="61">
        <v>0</v>
      </c>
      <c r="D24" s="61">
        <v>0</v>
      </c>
      <c r="E24" s="61">
        <v>0</v>
      </c>
      <c r="F24" s="61">
        <v>0</v>
      </c>
      <c r="G24" s="61">
        <v>0</v>
      </c>
      <c r="H24" s="61">
        <v>0</v>
      </c>
      <c r="I24" s="61">
        <v>0</v>
      </c>
      <c r="J24" s="61">
        <v>0</v>
      </c>
      <c r="K24" s="61">
        <v>0</v>
      </c>
      <c r="L24" s="61">
        <v>0</v>
      </c>
      <c r="M24" s="61">
        <v>0</v>
      </c>
      <c r="N24" s="61">
        <v>0</v>
      </c>
      <c r="O24" s="61">
        <v>0</v>
      </c>
      <c r="P24" s="61">
        <v>0</v>
      </c>
      <c r="Q24" s="61">
        <v>0</v>
      </c>
      <c r="R24" s="61">
        <v>0</v>
      </c>
      <c r="S24" s="61">
        <v>0</v>
      </c>
      <c r="T24" s="61">
        <v>0</v>
      </c>
      <c r="U24" s="61">
        <v>0</v>
      </c>
      <c r="V24" s="61">
        <v>0</v>
      </c>
      <c r="W24" s="61">
        <v>0</v>
      </c>
      <c r="X24" s="61">
        <v>0</v>
      </c>
      <c r="Y24" s="61">
        <v>0</v>
      </c>
      <c r="Z24" s="61">
        <v>0</v>
      </c>
      <c r="AA24" s="61">
        <v>0</v>
      </c>
      <c r="AB24" s="61">
        <v>0</v>
      </c>
      <c r="AC24" s="61">
        <v>0</v>
      </c>
      <c r="AD24" s="61">
        <v>0</v>
      </c>
      <c r="AE24" s="61">
        <v>0</v>
      </c>
      <c r="AF24" s="61">
        <v>0</v>
      </c>
      <c r="AG24" s="61">
        <v>0</v>
      </c>
      <c r="AH24" s="61">
        <v>0</v>
      </c>
      <c r="AI24" s="61">
        <v>0</v>
      </c>
      <c r="AJ24" s="61">
        <v>0</v>
      </c>
      <c r="AK24" s="61">
        <v>0</v>
      </c>
      <c r="AL24" s="62">
        <v>10585.060000000001</v>
      </c>
      <c r="AM24" s="62">
        <v>10585.060000000001</v>
      </c>
      <c r="AN24" s="62">
        <v>10585.060000000001</v>
      </c>
      <c r="AO24" s="62">
        <v>10585.060000000001</v>
      </c>
      <c r="AP24" s="62">
        <v>10585.060000000001</v>
      </c>
      <c r="AQ24" s="62">
        <v>10585.060000000001</v>
      </c>
      <c r="AR24" s="62">
        <v>10585.060000000001</v>
      </c>
      <c r="AS24" s="62">
        <v>10585.060000000001</v>
      </c>
      <c r="AT24" s="62">
        <v>10585.060000000001</v>
      </c>
      <c r="AU24" s="137">
        <v>10585</v>
      </c>
      <c r="AV24" s="62">
        <v>10005.06</v>
      </c>
      <c r="AW24" s="62">
        <v>10005.06</v>
      </c>
      <c r="AX24" s="62">
        <v>10005.06</v>
      </c>
      <c r="AY24" s="137">
        <v>10005</v>
      </c>
      <c r="AZ24" s="62">
        <v>10005.06</v>
      </c>
      <c r="BA24" s="62">
        <v>10005.06</v>
      </c>
      <c r="BB24" s="62">
        <v>10005.06</v>
      </c>
      <c r="BC24" s="62">
        <v>10005.06</v>
      </c>
      <c r="BD24" s="62">
        <v>10005.06</v>
      </c>
      <c r="BE24" s="62">
        <v>10005.06</v>
      </c>
      <c r="BF24" s="137">
        <v>10005.06</v>
      </c>
      <c r="BG24" s="137">
        <v>10005.06</v>
      </c>
      <c r="BH24" s="137">
        <v>10005.06</v>
      </c>
      <c r="BI24" s="137">
        <v>10005.06</v>
      </c>
      <c r="BJ24" s="137">
        <v>10005.06</v>
      </c>
      <c r="BK24" s="137">
        <v>10005.06</v>
      </c>
      <c r="BL24" s="137">
        <v>10005.06</v>
      </c>
      <c r="BM24" s="137">
        <v>10005.06</v>
      </c>
      <c r="BN24" s="137">
        <v>10005.06</v>
      </c>
      <c r="BO24" s="137">
        <v>10005.06</v>
      </c>
      <c r="BP24" s="137">
        <v>10005.06</v>
      </c>
      <c r="BQ24" s="137">
        <v>10005.06</v>
      </c>
      <c r="BR24" s="137">
        <v>10005.06</v>
      </c>
      <c r="BS24" s="137">
        <v>10005.06</v>
      </c>
      <c r="BT24" s="137">
        <v>10005.06</v>
      </c>
      <c r="BU24" s="137">
        <v>10005.06</v>
      </c>
      <c r="BV24" s="137" t="s">
        <v>321</v>
      </c>
      <c r="BW24" s="137">
        <v>0</v>
      </c>
      <c r="BX24" s="137" t="s">
        <v>321</v>
      </c>
    </row>
    <row r="25" spans="1:76" ht="15" hidden="1" customHeight="1" outlineLevel="1">
      <c r="A25" t="s">
        <v>207</v>
      </c>
      <c r="B25" s="38" t="s">
        <v>10</v>
      </c>
      <c r="C25" s="61">
        <v>846.06</v>
      </c>
      <c r="D25" s="61">
        <v>846.06</v>
      </c>
      <c r="E25" s="61">
        <v>846.06</v>
      </c>
      <c r="F25" s="61">
        <v>846.06</v>
      </c>
      <c r="G25" s="61">
        <v>846.06</v>
      </c>
      <c r="H25" s="61">
        <v>846.06</v>
      </c>
      <c r="I25" s="61">
        <v>846.06</v>
      </c>
      <c r="J25" s="61">
        <v>846.06</v>
      </c>
      <c r="K25" s="61">
        <v>846.06</v>
      </c>
      <c r="L25" s="61">
        <v>846.06</v>
      </c>
      <c r="M25" s="61">
        <v>846.06</v>
      </c>
      <c r="N25" s="61">
        <v>846.06</v>
      </c>
      <c r="O25" s="61">
        <v>846.06</v>
      </c>
      <c r="P25" s="61">
        <v>846.06</v>
      </c>
      <c r="Q25" s="61">
        <v>846.06</v>
      </c>
      <c r="R25" s="61">
        <v>846.06</v>
      </c>
      <c r="S25" s="61">
        <v>846.06</v>
      </c>
      <c r="T25" s="61">
        <v>846.06</v>
      </c>
      <c r="U25" s="61">
        <v>846.06</v>
      </c>
      <c r="V25" s="61">
        <v>846.06</v>
      </c>
      <c r="W25" s="61">
        <v>846.06</v>
      </c>
      <c r="X25" s="61">
        <v>846.06</v>
      </c>
      <c r="Y25" s="61">
        <v>846.06</v>
      </c>
      <c r="Z25" s="61">
        <v>846.06</v>
      </c>
      <c r="AA25" s="61">
        <v>846.06</v>
      </c>
      <c r="AB25" s="61">
        <v>846.06</v>
      </c>
      <c r="AC25" s="61">
        <v>846.06</v>
      </c>
      <c r="AD25" s="61">
        <v>846.06</v>
      </c>
      <c r="AE25" s="61">
        <v>846.06</v>
      </c>
      <c r="AF25" s="61">
        <v>846.06</v>
      </c>
      <c r="AG25" s="61">
        <v>846</v>
      </c>
      <c r="AH25" s="61">
        <v>846</v>
      </c>
      <c r="AI25" s="61">
        <v>846.06</v>
      </c>
      <c r="AJ25" s="62">
        <v>846.06</v>
      </c>
      <c r="AK25" s="62">
        <v>846</v>
      </c>
      <c r="AL25" s="62">
        <v>4200</v>
      </c>
      <c r="AM25" s="62">
        <v>4200</v>
      </c>
      <c r="AN25" s="62">
        <v>4200</v>
      </c>
      <c r="AO25" s="62">
        <v>4200</v>
      </c>
      <c r="AP25" s="62">
        <v>4200</v>
      </c>
      <c r="AQ25" s="62">
        <v>4200</v>
      </c>
      <c r="AR25" s="62">
        <v>4200</v>
      </c>
      <c r="AS25" s="62">
        <v>4200</v>
      </c>
      <c r="AT25" s="62">
        <v>4200</v>
      </c>
      <c r="AU25" s="137">
        <v>4200</v>
      </c>
      <c r="AV25" s="62">
        <v>4200</v>
      </c>
      <c r="AW25" s="62">
        <v>4200</v>
      </c>
      <c r="AX25" s="62">
        <v>4200</v>
      </c>
      <c r="AY25" s="137">
        <v>4200</v>
      </c>
      <c r="AZ25" s="62">
        <v>4200</v>
      </c>
      <c r="BA25" s="62">
        <v>4200</v>
      </c>
      <c r="BB25" s="62">
        <v>4200</v>
      </c>
      <c r="BC25" s="62">
        <v>4200</v>
      </c>
      <c r="BD25" s="62">
        <v>4200</v>
      </c>
      <c r="BE25" s="62">
        <v>4200</v>
      </c>
      <c r="BF25" s="137">
        <v>4200</v>
      </c>
      <c r="BG25" s="137">
        <v>4200</v>
      </c>
      <c r="BH25" s="137">
        <v>4200</v>
      </c>
      <c r="BI25" s="137">
        <v>4200</v>
      </c>
      <c r="BJ25" s="137">
        <v>4200</v>
      </c>
      <c r="BK25" s="137">
        <v>4200</v>
      </c>
      <c r="BL25" s="137">
        <v>4200</v>
      </c>
      <c r="BM25" s="137">
        <v>4200</v>
      </c>
      <c r="BN25" s="137">
        <v>4200</v>
      </c>
      <c r="BO25" s="137">
        <v>4200</v>
      </c>
      <c r="BP25" s="137">
        <v>4200</v>
      </c>
      <c r="BQ25" s="137">
        <v>4200</v>
      </c>
      <c r="BR25" s="137">
        <v>4865.7299999999996</v>
      </c>
      <c r="BS25" s="137">
        <v>4865.7299999999996</v>
      </c>
      <c r="BT25" s="137">
        <v>4865.7299999999996</v>
      </c>
      <c r="BU25" s="137">
        <v>4865.7299999999996</v>
      </c>
      <c r="BV25" s="137">
        <v>4865.7299999999996</v>
      </c>
      <c r="BW25" s="137">
        <v>4865.7299999999996</v>
      </c>
      <c r="BX25" s="137">
        <v>4865.7299999999996</v>
      </c>
    </row>
    <row r="26" spans="1:76" ht="15" hidden="1" customHeight="1" outlineLevel="1">
      <c r="A26" t="s">
        <v>208</v>
      </c>
      <c r="B26" s="38" t="s">
        <v>11</v>
      </c>
      <c r="C26" s="61">
        <v>0</v>
      </c>
      <c r="D26" s="61">
        <v>3850</v>
      </c>
      <c r="E26" s="61">
        <v>3850</v>
      </c>
      <c r="F26" s="61">
        <v>3850</v>
      </c>
      <c r="G26" s="61">
        <v>3850</v>
      </c>
      <c r="H26" s="61">
        <v>3850</v>
      </c>
      <c r="I26" s="61">
        <v>3850</v>
      </c>
      <c r="J26" s="61">
        <v>3850</v>
      </c>
      <c r="K26" s="61">
        <v>3850</v>
      </c>
      <c r="L26" s="61">
        <v>3850</v>
      </c>
      <c r="M26" s="61">
        <v>3850</v>
      </c>
      <c r="N26" s="61">
        <v>3850</v>
      </c>
      <c r="O26" s="61">
        <v>3850</v>
      </c>
      <c r="P26" s="61">
        <v>3850</v>
      </c>
      <c r="Q26" s="61">
        <v>3850</v>
      </c>
      <c r="R26" s="61">
        <v>3850</v>
      </c>
      <c r="S26" s="61">
        <v>3850</v>
      </c>
      <c r="T26" s="61">
        <v>3850</v>
      </c>
      <c r="U26" s="61">
        <v>3850</v>
      </c>
      <c r="V26" s="61">
        <v>3850</v>
      </c>
      <c r="W26" s="61">
        <v>3850</v>
      </c>
      <c r="X26" s="61">
        <v>3850</v>
      </c>
      <c r="Y26" s="61">
        <v>3850</v>
      </c>
      <c r="Z26" s="61">
        <v>3850</v>
      </c>
      <c r="AA26" s="61">
        <v>3850</v>
      </c>
      <c r="AB26" s="61">
        <v>3850</v>
      </c>
      <c r="AC26" s="61">
        <v>3850</v>
      </c>
      <c r="AD26" s="61">
        <v>3850</v>
      </c>
      <c r="AE26" s="61">
        <v>3850</v>
      </c>
      <c r="AF26" s="61">
        <v>3850</v>
      </c>
      <c r="AG26" s="61">
        <v>3850</v>
      </c>
      <c r="AH26" s="61">
        <v>3850</v>
      </c>
      <c r="AI26" s="61">
        <v>3850</v>
      </c>
      <c r="AJ26" s="62">
        <v>3850</v>
      </c>
      <c r="AK26" s="62">
        <v>3850</v>
      </c>
      <c r="AL26" s="62">
        <v>3850</v>
      </c>
      <c r="AM26" s="62">
        <v>3850</v>
      </c>
      <c r="AN26" s="62">
        <v>3850</v>
      </c>
      <c r="AO26" s="62">
        <v>3850</v>
      </c>
      <c r="AP26" s="62">
        <v>3850</v>
      </c>
      <c r="AQ26" s="62">
        <v>3850</v>
      </c>
      <c r="AR26" s="62">
        <v>3850</v>
      </c>
      <c r="AS26" s="62">
        <v>3850</v>
      </c>
      <c r="AT26" s="62">
        <v>3850</v>
      </c>
      <c r="AU26" s="137">
        <v>19524</v>
      </c>
      <c r="AV26" s="137">
        <v>19524</v>
      </c>
      <c r="AW26" s="137">
        <v>19524</v>
      </c>
      <c r="AX26" s="137">
        <v>19524</v>
      </c>
      <c r="AY26" s="137">
        <v>19524</v>
      </c>
      <c r="AZ26" s="137">
        <v>19524</v>
      </c>
      <c r="BA26" s="137">
        <v>19524</v>
      </c>
      <c r="BB26" s="62">
        <v>19524</v>
      </c>
      <c r="BC26" s="219">
        <v>19524</v>
      </c>
      <c r="BD26" s="137">
        <v>19524</v>
      </c>
      <c r="BE26" s="137">
        <v>19524</v>
      </c>
      <c r="BF26" s="137">
        <v>19524</v>
      </c>
      <c r="BG26" s="137">
        <v>19524</v>
      </c>
      <c r="BH26" s="137">
        <v>19524</v>
      </c>
      <c r="BI26" s="137">
        <v>19524</v>
      </c>
      <c r="BJ26" s="137">
        <v>19524</v>
      </c>
      <c r="BK26" s="137">
        <v>19524</v>
      </c>
      <c r="BL26" s="137">
        <v>19524</v>
      </c>
      <c r="BM26" s="137">
        <v>19524</v>
      </c>
      <c r="BN26" s="137" t="s">
        <v>321</v>
      </c>
      <c r="BO26" s="137">
        <v>0</v>
      </c>
      <c r="BP26" s="137">
        <v>0</v>
      </c>
      <c r="BQ26" s="137">
        <v>0</v>
      </c>
      <c r="BR26" s="137">
        <v>0</v>
      </c>
      <c r="BS26" s="137">
        <v>0</v>
      </c>
      <c r="BT26" s="137">
        <v>0</v>
      </c>
      <c r="BU26" s="137">
        <v>0</v>
      </c>
      <c r="BV26" s="137">
        <v>0</v>
      </c>
      <c r="BW26" s="137">
        <v>0</v>
      </c>
      <c r="BX26" s="137">
        <v>0</v>
      </c>
    </row>
    <row r="27" spans="1:76" ht="15" hidden="1" customHeight="1" outlineLevel="1">
      <c r="A27" t="s">
        <v>18</v>
      </c>
      <c r="B27" s="38" t="s">
        <v>8</v>
      </c>
      <c r="C27" s="62">
        <v>2844</v>
      </c>
      <c r="D27" s="62">
        <v>2844</v>
      </c>
      <c r="E27" s="62">
        <v>2844</v>
      </c>
      <c r="F27" s="62">
        <v>2844</v>
      </c>
      <c r="G27" s="62">
        <v>2844</v>
      </c>
      <c r="H27" s="62">
        <v>2844</v>
      </c>
      <c r="I27" s="62">
        <v>2844</v>
      </c>
      <c r="J27" s="62">
        <v>2844</v>
      </c>
      <c r="K27" s="62">
        <v>2844</v>
      </c>
      <c r="L27" s="62">
        <v>2844</v>
      </c>
      <c r="M27" s="62">
        <v>2844</v>
      </c>
      <c r="N27" s="62">
        <v>2844</v>
      </c>
      <c r="O27" s="62">
        <v>2844</v>
      </c>
      <c r="P27" s="62">
        <v>2844</v>
      </c>
      <c r="Q27" s="62">
        <v>2844</v>
      </c>
      <c r="R27" s="62">
        <v>2844</v>
      </c>
      <c r="S27" s="62">
        <v>2844</v>
      </c>
      <c r="T27" s="62">
        <v>2844</v>
      </c>
      <c r="U27" s="62">
        <v>2844</v>
      </c>
      <c r="V27" s="62">
        <v>2844</v>
      </c>
      <c r="W27" s="62">
        <v>2844</v>
      </c>
      <c r="X27" s="62">
        <v>2844.05</v>
      </c>
      <c r="Y27" s="62">
        <v>2844.05</v>
      </c>
      <c r="Z27" s="62">
        <v>2844.05</v>
      </c>
      <c r="AA27" s="62">
        <v>2844.05</v>
      </c>
      <c r="AB27" s="62">
        <v>2844.05</v>
      </c>
      <c r="AC27" s="62">
        <v>2844.05</v>
      </c>
      <c r="AD27" s="62">
        <v>2844</v>
      </c>
      <c r="AE27" s="62">
        <v>2844</v>
      </c>
      <c r="AF27" s="62">
        <v>0</v>
      </c>
      <c r="AG27" s="62">
        <v>0</v>
      </c>
      <c r="AH27" s="62">
        <v>0</v>
      </c>
      <c r="AI27" s="62">
        <v>0</v>
      </c>
      <c r="AJ27" s="62">
        <v>0</v>
      </c>
      <c r="AK27" s="62">
        <v>0</v>
      </c>
      <c r="AL27" s="62">
        <v>0</v>
      </c>
      <c r="AM27" s="62">
        <v>0</v>
      </c>
      <c r="AN27" s="62">
        <v>0</v>
      </c>
      <c r="AO27" s="62">
        <v>0</v>
      </c>
      <c r="AP27" s="62">
        <v>0</v>
      </c>
      <c r="AQ27" s="62">
        <v>0</v>
      </c>
      <c r="AR27" s="62">
        <v>0</v>
      </c>
      <c r="AS27" s="62">
        <v>0</v>
      </c>
      <c r="AT27" s="62">
        <v>0</v>
      </c>
      <c r="AU27" s="137">
        <v>0</v>
      </c>
      <c r="AV27" s="62">
        <v>0</v>
      </c>
      <c r="AW27" s="62">
        <v>0</v>
      </c>
      <c r="AX27" s="62">
        <v>0</v>
      </c>
      <c r="AY27" s="137">
        <v>0</v>
      </c>
      <c r="AZ27" s="62">
        <v>0</v>
      </c>
      <c r="BA27" s="62">
        <v>0</v>
      </c>
      <c r="BB27" s="62">
        <v>0</v>
      </c>
      <c r="BC27" s="62">
        <v>0</v>
      </c>
      <c r="BD27" s="62">
        <v>0</v>
      </c>
      <c r="BE27" s="62">
        <v>0</v>
      </c>
      <c r="BF27" s="137">
        <v>0</v>
      </c>
      <c r="BG27" s="137">
        <v>0</v>
      </c>
      <c r="BH27" s="137">
        <v>0</v>
      </c>
      <c r="BI27" s="137">
        <v>0</v>
      </c>
      <c r="BJ27" s="137">
        <v>0</v>
      </c>
      <c r="BK27" s="137">
        <v>0</v>
      </c>
      <c r="BL27" s="137">
        <v>0</v>
      </c>
      <c r="BM27" s="137">
        <v>0</v>
      </c>
      <c r="BN27" s="137">
        <v>0</v>
      </c>
      <c r="BO27" s="137">
        <v>0</v>
      </c>
      <c r="BP27" s="137">
        <v>0</v>
      </c>
      <c r="BQ27" s="137">
        <v>0</v>
      </c>
      <c r="BR27" s="137">
        <v>0</v>
      </c>
      <c r="BS27" s="137">
        <v>0</v>
      </c>
      <c r="BT27" s="137">
        <v>0</v>
      </c>
      <c r="BU27" s="137">
        <v>0</v>
      </c>
      <c r="BV27" s="137">
        <v>0</v>
      </c>
      <c r="BW27" s="137">
        <v>0</v>
      </c>
      <c r="BX27" s="137">
        <v>0</v>
      </c>
    </row>
    <row r="28" spans="1:76" ht="15" hidden="1" customHeight="1" outlineLevel="1">
      <c r="A28" t="s">
        <v>209</v>
      </c>
      <c r="B28" s="38" t="s">
        <v>45</v>
      </c>
      <c r="C28" s="150" t="s">
        <v>18</v>
      </c>
      <c r="D28" s="150" t="s">
        <v>18</v>
      </c>
      <c r="E28" s="150" t="s">
        <v>18</v>
      </c>
      <c r="F28" s="150" t="s">
        <v>18</v>
      </c>
      <c r="G28" s="150" t="s">
        <v>18</v>
      </c>
      <c r="H28" s="150" t="s">
        <v>18</v>
      </c>
      <c r="I28" s="150" t="s">
        <v>18</v>
      </c>
      <c r="J28" s="150" t="s">
        <v>18</v>
      </c>
      <c r="K28" s="150" t="s">
        <v>18</v>
      </c>
      <c r="L28" s="150" t="s">
        <v>18</v>
      </c>
      <c r="M28" s="150" t="s">
        <v>18</v>
      </c>
      <c r="N28" s="150" t="s">
        <v>18</v>
      </c>
      <c r="O28" s="150" t="s">
        <v>18</v>
      </c>
      <c r="P28" s="150" t="s">
        <v>18</v>
      </c>
      <c r="Q28" s="150" t="s">
        <v>18</v>
      </c>
      <c r="R28" s="150" t="s">
        <v>18</v>
      </c>
      <c r="S28" s="150" t="s">
        <v>18</v>
      </c>
      <c r="T28" s="150" t="s">
        <v>18</v>
      </c>
      <c r="U28" s="150" t="s">
        <v>18</v>
      </c>
      <c r="V28" s="150" t="s">
        <v>18</v>
      </c>
      <c r="W28" s="150" t="s">
        <v>18</v>
      </c>
      <c r="X28" s="150" t="s">
        <v>18</v>
      </c>
      <c r="Y28" s="150" t="s">
        <v>18</v>
      </c>
      <c r="Z28" s="150" t="s">
        <v>18</v>
      </c>
      <c r="AA28" s="150" t="s">
        <v>18</v>
      </c>
      <c r="AB28" s="150" t="s">
        <v>18</v>
      </c>
      <c r="AC28" s="150" t="s">
        <v>18</v>
      </c>
      <c r="AD28" s="150" t="s">
        <v>18</v>
      </c>
      <c r="AE28" s="150" t="s">
        <v>18</v>
      </c>
      <c r="AF28" s="150" t="s">
        <v>18</v>
      </c>
      <c r="AG28" s="150" t="s">
        <v>18</v>
      </c>
      <c r="AH28" s="150" t="s">
        <v>18</v>
      </c>
      <c r="AI28" s="150" t="s">
        <v>18</v>
      </c>
      <c r="AJ28" s="150" t="s">
        <v>18</v>
      </c>
      <c r="AK28" s="150" t="s">
        <v>18</v>
      </c>
      <c r="AL28" s="61" t="s">
        <v>18</v>
      </c>
      <c r="AM28" s="61" t="s">
        <v>18</v>
      </c>
      <c r="AN28" s="61" t="s">
        <v>18</v>
      </c>
      <c r="AO28" s="61" t="s">
        <v>18</v>
      </c>
      <c r="AP28" s="61" t="s">
        <v>18</v>
      </c>
      <c r="AQ28" s="61" t="s">
        <v>18</v>
      </c>
      <c r="AR28" s="61" t="s">
        <v>18</v>
      </c>
      <c r="AS28" s="61" t="s">
        <v>18</v>
      </c>
      <c r="AT28" s="61" t="s">
        <v>18</v>
      </c>
      <c r="AU28" s="137">
        <v>0</v>
      </c>
      <c r="AV28" s="62">
        <v>12162</v>
      </c>
      <c r="AW28" s="62">
        <v>12162</v>
      </c>
      <c r="AX28" s="62">
        <v>12162</v>
      </c>
      <c r="AY28" s="137">
        <v>12162</v>
      </c>
      <c r="AZ28" s="62">
        <v>12162</v>
      </c>
      <c r="BA28" s="62">
        <v>12162</v>
      </c>
      <c r="BB28" s="62">
        <v>12162</v>
      </c>
      <c r="BC28" s="62">
        <v>12162</v>
      </c>
      <c r="BD28" s="62">
        <v>12162</v>
      </c>
      <c r="BE28" s="62">
        <v>12162</v>
      </c>
      <c r="BF28" s="137">
        <v>12162</v>
      </c>
      <c r="BG28" s="137">
        <v>12162</v>
      </c>
      <c r="BH28" s="137">
        <v>12162.05</v>
      </c>
      <c r="BI28" s="137">
        <v>12162.05</v>
      </c>
      <c r="BJ28" s="137">
        <v>12162.05</v>
      </c>
      <c r="BK28" s="137">
        <v>12162.05</v>
      </c>
      <c r="BL28" s="137">
        <v>12162.05</v>
      </c>
      <c r="BM28" s="137">
        <v>12162.05</v>
      </c>
      <c r="BN28" s="137">
        <v>12162.05</v>
      </c>
      <c r="BO28" s="137">
        <v>12162.05</v>
      </c>
      <c r="BP28" s="137">
        <v>12162.05</v>
      </c>
      <c r="BQ28" s="137">
        <v>12162.05</v>
      </c>
      <c r="BR28" s="137">
        <v>12162.05</v>
      </c>
      <c r="BS28" s="137">
        <v>12162.05</v>
      </c>
      <c r="BT28" s="137">
        <v>12162.05</v>
      </c>
      <c r="BU28" s="137">
        <v>12162.05</v>
      </c>
      <c r="BV28" s="137">
        <v>12162.050000000003</v>
      </c>
      <c r="BW28" s="137">
        <v>12162.050000000003</v>
      </c>
      <c r="BX28" s="137">
        <v>12162.050000000003</v>
      </c>
    </row>
    <row r="29" spans="1:76" s="15" customFormat="1" ht="15" customHeight="1" collapsed="1">
      <c r="B29" s="80" t="s">
        <v>15</v>
      </c>
      <c r="C29" s="128">
        <f t="shared" ref="C29:BN29" si="6">SUM(C30:C37)</f>
        <v>64416</v>
      </c>
      <c r="D29" s="128">
        <f t="shared" si="6"/>
        <v>64416</v>
      </c>
      <c r="E29" s="128">
        <f t="shared" si="6"/>
        <v>64416</v>
      </c>
      <c r="F29" s="128">
        <f t="shared" si="6"/>
        <v>64416</v>
      </c>
      <c r="G29" s="128">
        <f t="shared" si="6"/>
        <v>64416</v>
      </c>
      <c r="H29" s="128">
        <f t="shared" si="6"/>
        <v>64416</v>
      </c>
      <c r="I29" s="128">
        <f t="shared" si="6"/>
        <v>64713</v>
      </c>
      <c r="J29" s="128">
        <f t="shared" si="6"/>
        <v>68400</v>
      </c>
      <c r="K29" s="128">
        <f t="shared" si="6"/>
        <v>68400</v>
      </c>
      <c r="L29" s="128">
        <f t="shared" si="6"/>
        <v>68400</v>
      </c>
      <c r="M29" s="128">
        <f t="shared" si="6"/>
        <v>69247</v>
      </c>
      <c r="N29" s="128">
        <f t="shared" si="6"/>
        <v>69247</v>
      </c>
      <c r="O29" s="128">
        <f t="shared" si="6"/>
        <v>69247</v>
      </c>
      <c r="P29" s="128">
        <f t="shared" si="6"/>
        <v>69247</v>
      </c>
      <c r="Q29" s="128">
        <f t="shared" si="6"/>
        <v>69247</v>
      </c>
      <c r="R29" s="128">
        <f t="shared" si="6"/>
        <v>69247</v>
      </c>
      <c r="S29" s="128">
        <f t="shared" si="6"/>
        <v>69247</v>
      </c>
      <c r="T29" s="128">
        <f t="shared" si="6"/>
        <v>69247</v>
      </c>
      <c r="U29" s="128">
        <f t="shared" si="6"/>
        <v>69247</v>
      </c>
      <c r="V29" s="128">
        <f t="shared" si="6"/>
        <v>83781</v>
      </c>
      <c r="W29" s="128">
        <f t="shared" si="6"/>
        <v>83781</v>
      </c>
      <c r="X29" s="128">
        <f t="shared" si="6"/>
        <v>79269</v>
      </c>
      <c r="Y29" s="128">
        <f t="shared" si="6"/>
        <v>79268.830300000001</v>
      </c>
      <c r="Z29" s="128">
        <f t="shared" si="6"/>
        <v>158603.8303</v>
      </c>
      <c r="AA29" s="128">
        <f t="shared" si="6"/>
        <v>158603.8303</v>
      </c>
      <c r="AB29" s="128">
        <f t="shared" si="6"/>
        <v>158603.8303</v>
      </c>
      <c r="AC29" s="128">
        <f t="shared" si="6"/>
        <v>159588.23484346195</v>
      </c>
      <c r="AD29" s="128">
        <f t="shared" si="6"/>
        <v>159586.74381208274</v>
      </c>
      <c r="AE29" s="128">
        <f t="shared" si="6"/>
        <v>159586.74381208274</v>
      </c>
      <c r="AF29" s="128">
        <f t="shared" si="6"/>
        <v>177454.95575104476</v>
      </c>
      <c r="AG29" s="128">
        <f t="shared" si="6"/>
        <v>177454.95575104476</v>
      </c>
      <c r="AH29" s="128">
        <f t="shared" si="6"/>
        <v>176360.76575104479</v>
      </c>
      <c r="AI29" s="128">
        <f t="shared" si="6"/>
        <v>176347.34534031298</v>
      </c>
      <c r="AJ29" s="128">
        <f t="shared" si="6"/>
        <v>222470.76293107815</v>
      </c>
      <c r="AK29" s="128">
        <f t="shared" si="6"/>
        <v>222411.36427490512</v>
      </c>
      <c r="AL29" s="128">
        <f t="shared" si="6"/>
        <v>287911.97907705465</v>
      </c>
      <c r="AM29" s="128">
        <f t="shared" si="6"/>
        <v>287912.82793171133</v>
      </c>
      <c r="AN29" s="128">
        <f t="shared" si="6"/>
        <v>287458.45999999996</v>
      </c>
      <c r="AO29" s="128">
        <f t="shared" si="6"/>
        <v>286905.89</v>
      </c>
      <c r="AP29" s="128">
        <f t="shared" si="6"/>
        <v>288456.86</v>
      </c>
      <c r="AQ29" s="128">
        <f t="shared" si="6"/>
        <v>259736.75</v>
      </c>
      <c r="AR29" s="128">
        <f t="shared" si="6"/>
        <v>261687.93999999994</v>
      </c>
      <c r="AS29" s="128">
        <f t="shared" si="6"/>
        <v>261418.69</v>
      </c>
      <c r="AT29" s="128">
        <f t="shared" si="6"/>
        <v>261534.68</v>
      </c>
      <c r="AU29" s="128">
        <f t="shared" si="6"/>
        <v>260951.87</v>
      </c>
      <c r="AV29" s="128">
        <f t="shared" si="6"/>
        <v>261291.14666666664</v>
      </c>
      <c r="AW29" s="128">
        <f t="shared" si="6"/>
        <v>262140.15666666665</v>
      </c>
      <c r="AX29" s="128">
        <f t="shared" si="6"/>
        <v>262233.6166666667</v>
      </c>
      <c r="AY29" s="128">
        <f t="shared" si="6"/>
        <v>262279.42333333334</v>
      </c>
      <c r="AZ29" s="128">
        <f t="shared" si="6"/>
        <v>262295</v>
      </c>
      <c r="BA29" s="128">
        <f t="shared" si="6"/>
        <v>262324.44</v>
      </c>
      <c r="BB29" s="128">
        <f t="shared" si="6"/>
        <v>262570.36333333328</v>
      </c>
      <c r="BC29" s="128">
        <f t="shared" si="6"/>
        <v>262384.69</v>
      </c>
      <c r="BD29" s="128">
        <f t="shared" si="6"/>
        <v>262370.18</v>
      </c>
      <c r="BE29" s="128">
        <f t="shared" si="6"/>
        <v>261850.81</v>
      </c>
      <c r="BF29" s="128">
        <f t="shared" si="6"/>
        <v>224740.79</v>
      </c>
      <c r="BG29" s="128">
        <f t="shared" si="6"/>
        <v>224862.52666666664</v>
      </c>
      <c r="BH29" s="128">
        <f t="shared" si="6"/>
        <v>224867.9966666667</v>
      </c>
      <c r="BI29" s="128">
        <f t="shared" si="6"/>
        <v>224905.85333333336</v>
      </c>
      <c r="BJ29" s="128">
        <f t="shared" si="6"/>
        <v>224942.25333333333</v>
      </c>
      <c r="BK29" s="128">
        <f t="shared" si="6"/>
        <v>225178.58000000005</v>
      </c>
      <c r="BL29" s="128">
        <f t="shared" si="6"/>
        <v>225334.84000000003</v>
      </c>
      <c r="BM29" s="128">
        <f t="shared" si="6"/>
        <v>225537.98666666669</v>
      </c>
      <c r="BN29" s="128">
        <f t="shared" si="6"/>
        <v>225543.75999999995</v>
      </c>
      <c r="BO29" s="128">
        <f t="shared" ref="BO29" si="7">SUM(BO30:BO37)</f>
        <v>225554.8</v>
      </c>
      <c r="BP29" s="128">
        <v>224576.92000000004</v>
      </c>
      <c r="BQ29" s="128">
        <v>197121.25908115119</v>
      </c>
      <c r="BR29" s="128">
        <v>197788.56333333335</v>
      </c>
      <c r="BS29" s="128">
        <v>197734.45</v>
      </c>
      <c r="BT29" s="128">
        <v>197712.61000000004</v>
      </c>
      <c r="BU29" s="128">
        <v>197668.93000000002</v>
      </c>
      <c r="BV29" s="128">
        <v>167666.71000000002</v>
      </c>
      <c r="BW29" s="128">
        <v>167666.66</v>
      </c>
      <c r="BX29" s="128">
        <f>SUM(BX30:BX37)</f>
        <v>167669.37333333332</v>
      </c>
    </row>
    <row r="30" spans="1:76" ht="15" hidden="1" customHeight="1" outlineLevel="1">
      <c r="A30" t="s">
        <v>210</v>
      </c>
      <c r="B30" s="38" t="s">
        <v>12</v>
      </c>
      <c r="C30" s="61">
        <v>4443</v>
      </c>
      <c r="D30" s="61">
        <v>4443</v>
      </c>
      <c r="E30" s="61">
        <v>4443</v>
      </c>
      <c r="F30" s="61">
        <v>4443</v>
      </c>
      <c r="G30" s="61">
        <v>4443</v>
      </c>
      <c r="H30" s="61">
        <v>4443</v>
      </c>
      <c r="I30" s="61">
        <v>4759</v>
      </c>
      <c r="J30" s="61">
        <v>8446</v>
      </c>
      <c r="K30" s="61">
        <v>8446</v>
      </c>
      <c r="L30" s="61">
        <v>8446</v>
      </c>
      <c r="M30" s="61">
        <v>9293</v>
      </c>
      <c r="N30" s="61">
        <v>9293</v>
      </c>
      <c r="O30" s="61">
        <v>9293</v>
      </c>
      <c r="P30" s="61">
        <v>9293</v>
      </c>
      <c r="Q30" s="61">
        <v>9293</v>
      </c>
      <c r="R30" s="61">
        <v>9293</v>
      </c>
      <c r="S30" s="61">
        <v>9293</v>
      </c>
      <c r="T30" s="61">
        <v>9293</v>
      </c>
      <c r="U30" s="61">
        <v>9293</v>
      </c>
      <c r="V30" s="61">
        <v>9293</v>
      </c>
      <c r="W30" s="61">
        <v>9293</v>
      </c>
      <c r="X30" s="61">
        <v>9293</v>
      </c>
      <c r="Y30" s="61">
        <v>9292.8302999999996</v>
      </c>
      <c r="Z30" s="61">
        <v>9292.8302999999996</v>
      </c>
      <c r="AA30" s="61">
        <v>9292.8302999999996</v>
      </c>
      <c r="AB30" s="61">
        <v>9292.8302999999996</v>
      </c>
      <c r="AC30" s="61">
        <v>9294.7257000000009</v>
      </c>
      <c r="AD30" s="61">
        <v>9295</v>
      </c>
      <c r="AE30" s="61">
        <v>9295</v>
      </c>
      <c r="AF30" s="61">
        <v>9294.7699260000009</v>
      </c>
      <c r="AG30" s="61">
        <v>9294.7699260000009</v>
      </c>
      <c r="AH30" s="61">
        <v>9294.7699260000009</v>
      </c>
      <c r="AI30" s="61">
        <v>9294.7193820000011</v>
      </c>
      <c r="AJ30" s="62">
        <v>28763.73</v>
      </c>
      <c r="AK30" s="62">
        <v>28763.73</v>
      </c>
      <c r="AL30" s="62">
        <v>28763.73</v>
      </c>
      <c r="AM30" s="62">
        <v>28763.73</v>
      </c>
      <c r="AN30" s="62">
        <v>28221.689999999995</v>
      </c>
      <c r="AO30" s="62">
        <v>28221.689999999995</v>
      </c>
      <c r="AP30" s="62">
        <v>28221.689999999995</v>
      </c>
      <c r="AQ30" s="62">
        <v>28221.69</v>
      </c>
      <c r="AR30" s="62">
        <v>29043.879999999997</v>
      </c>
      <c r="AS30" s="62">
        <v>28763.73</v>
      </c>
      <c r="AT30" s="62">
        <v>28763.73</v>
      </c>
      <c r="AU30" s="62">
        <v>28763.73</v>
      </c>
      <c r="AV30" s="62">
        <v>28965.396666666667</v>
      </c>
      <c r="AW30" s="62">
        <v>29797.446666666667</v>
      </c>
      <c r="AX30" s="62">
        <v>29796.806666666671</v>
      </c>
      <c r="AY30" s="62">
        <v>29801.99</v>
      </c>
      <c r="AZ30" s="137">
        <v>29802</v>
      </c>
      <c r="BA30" s="137">
        <v>29801.006666666672</v>
      </c>
      <c r="BB30" s="62">
        <v>29799.039999999997</v>
      </c>
      <c r="BC30" s="62">
        <v>29799.039999999997</v>
      </c>
      <c r="BD30" s="62">
        <v>29799.040000000001</v>
      </c>
      <c r="BE30" s="62">
        <v>29799.040000000001</v>
      </c>
      <c r="BF30" s="137">
        <v>29665.713333333333</v>
      </c>
      <c r="BG30" s="137">
        <v>29787.45</v>
      </c>
      <c r="BH30" s="137">
        <v>29787.45</v>
      </c>
      <c r="BI30" s="137">
        <v>29796.813333333335</v>
      </c>
      <c r="BJ30" s="137">
        <v>29815.539999999997</v>
      </c>
      <c r="BK30" s="137">
        <v>30015.53</v>
      </c>
      <c r="BL30" s="137">
        <v>30015.53</v>
      </c>
      <c r="BM30" s="137">
        <v>30015.53</v>
      </c>
      <c r="BN30" s="137">
        <v>30015.530000000002</v>
      </c>
      <c r="BO30" s="137">
        <v>30015.530000000002</v>
      </c>
      <c r="BP30" s="137">
        <v>30015.530000000006</v>
      </c>
      <c r="BQ30" s="137">
        <v>30015.53000000001</v>
      </c>
      <c r="BR30" s="137">
        <v>30056.383333333342</v>
      </c>
      <c r="BS30" s="137">
        <v>30002.270000000004</v>
      </c>
      <c r="BT30" s="137">
        <v>30002.270000000008</v>
      </c>
      <c r="BU30" s="137">
        <v>30002.270000000008</v>
      </c>
      <c r="BV30" s="137" t="s">
        <v>321</v>
      </c>
      <c r="BW30" s="137">
        <v>0</v>
      </c>
      <c r="BX30" s="137" t="s">
        <v>321</v>
      </c>
    </row>
    <row r="31" spans="1:76" ht="15" hidden="1" customHeight="1" outlineLevel="1">
      <c r="A31" t="s">
        <v>211</v>
      </c>
      <c r="B31" s="38" t="s">
        <v>30</v>
      </c>
      <c r="C31" s="61">
        <v>59973</v>
      </c>
      <c r="D31" s="61">
        <v>59973</v>
      </c>
      <c r="E31" s="61">
        <v>59973</v>
      </c>
      <c r="F31" s="61">
        <v>59973</v>
      </c>
      <c r="G31" s="61">
        <v>59973</v>
      </c>
      <c r="H31" s="61">
        <v>59973</v>
      </c>
      <c r="I31" s="61">
        <v>59954</v>
      </c>
      <c r="J31" s="61">
        <v>59954</v>
      </c>
      <c r="K31" s="61">
        <v>59954</v>
      </c>
      <c r="L31" s="61">
        <v>59954</v>
      </c>
      <c r="M31" s="61">
        <v>59954</v>
      </c>
      <c r="N31" s="61">
        <v>59954</v>
      </c>
      <c r="O31" s="61">
        <v>59954</v>
      </c>
      <c r="P31" s="61">
        <v>59954</v>
      </c>
      <c r="Q31" s="61">
        <v>59954</v>
      </c>
      <c r="R31" s="61">
        <v>59954</v>
      </c>
      <c r="S31" s="61">
        <v>59954</v>
      </c>
      <c r="T31" s="61">
        <v>59954</v>
      </c>
      <c r="U31" s="61">
        <v>59954</v>
      </c>
      <c r="V31" s="61">
        <v>74488</v>
      </c>
      <c r="W31" s="61">
        <v>74488</v>
      </c>
      <c r="X31" s="61">
        <v>69976</v>
      </c>
      <c r="Y31" s="61">
        <v>69976</v>
      </c>
      <c r="Z31" s="61">
        <v>69976</v>
      </c>
      <c r="AA31" s="61">
        <v>69976</v>
      </c>
      <c r="AB31" s="61">
        <v>69976</v>
      </c>
      <c r="AC31" s="61">
        <v>69518.509143461968</v>
      </c>
      <c r="AD31" s="61">
        <v>69517.993812082728</v>
      </c>
      <c r="AE31" s="61">
        <v>69517.993812082728</v>
      </c>
      <c r="AF31" s="61">
        <v>69650.875825044772</v>
      </c>
      <c r="AG31" s="61">
        <v>69650.875825044772</v>
      </c>
      <c r="AH31" s="61">
        <v>69650.875825044786</v>
      </c>
      <c r="AI31" s="61">
        <v>69653.515958312986</v>
      </c>
      <c r="AJ31" s="61">
        <v>69634.514999185805</v>
      </c>
      <c r="AK31" s="61">
        <v>69618.954567659996</v>
      </c>
      <c r="AL31" s="61">
        <v>69614.069369809484</v>
      </c>
      <c r="AM31" s="61">
        <v>69614.240000000005</v>
      </c>
      <c r="AN31" s="62">
        <v>69509.95</v>
      </c>
      <c r="AO31" s="62">
        <v>69509.95</v>
      </c>
      <c r="AP31" s="62">
        <v>69503.009999999995</v>
      </c>
      <c r="AQ31" s="62">
        <v>69503.009999999995</v>
      </c>
      <c r="AR31" s="62">
        <v>69503.009999999995</v>
      </c>
      <c r="AS31" s="62">
        <v>69503.009999999995</v>
      </c>
      <c r="AT31" s="62">
        <v>69503.009999999995</v>
      </c>
      <c r="AU31" s="62">
        <v>69535.003333333341</v>
      </c>
      <c r="AV31" s="62">
        <v>69550.039999999994</v>
      </c>
      <c r="AW31" s="137">
        <v>69533</v>
      </c>
      <c r="AX31" s="137">
        <v>69261</v>
      </c>
      <c r="AY31" s="62">
        <v>69260.963333333333</v>
      </c>
      <c r="AZ31" s="137">
        <v>69261</v>
      </c>
      <c r="BA31" s="137">
        <v>69260.97</v>
      </c>
      <c r="BB31" s="62">
        <v>69260.97</v>
      </c>
      <c r="BC31" s="62">
        <v>69260.969999999987</v>
      </c>
      <c r="BD31" s="62">
        <v>69260.969999999987</v>
      </c>
      <c r="BE31" s="62">
        <v>69260.969999999987</v>
      </c>
      <c r="BF31" s="137">
        <v>69619.66</v>
      </c>
      <c r="BG31" s="137">
        <v>69619.659999999989</v>
      </c>
      <c r="BH31" s="137">
        <v>69619.82666666666</v>
      </c>
      <c r="BI31" s="137">
        <v>69620.159999999989</v>
      </c>
      <c r="BJ31" s="137">
        <v>69619.789999999994</v>
      </c>
      <c r="BK31" s="137">
        <v>69619.789999999994</v>
      </c>
      <c r="BL31" s="137">
        <v>69630.789999999994</v>
      </c>
      <c r="BM31" s="137">
        <v>69833.936666666661</v>
      </c>
      <c r="BN31" s="137">
        <v>69839.710000000006</v>
      </c>
      <c r="BO31" s="137">
        <v>69850.75</v>
      </c>
      <c r="BP31" s="137">
        <v>68872.87000000001</v>
      </c>
      <c r="BQ31" s="137">
        <v>69250.949081151164</v>
      </c>
      <c r="BR31" s="137">
        <v>69877.400000000009</v>
      </c>
      <c r="BS31" s="137">
        <v>69877.399999999994</v>
      </c>
      <c r="BT31" s="137">
        <v>69855.56</v>
      </c>
      <c r="BU31" s="137">
        <v>69811.88</v>
      </c>
      <c r="BV31" s="137">
        <v>69811.88</v>
      </c>
      <c r="BW31" s="137">
        <v>69811.88</v>
      </c>
      <c r="BX31" s="137">
        <v>69814.593333333338</v>
      </c>
    </row>
    <row r="32" spans="1:76" ht="15" hidden="1" customHeight="1" outlineLevel="1">
      <c r="A32" t="s">
        <v>18</v>
      </c>
      <c r="B32" s="38" t="s">
        <v>31</v>
      </c>
      <c r="C32" s="61">
        <v>0</v>
      </c>
      <c r="D32" s="61">
        <v>0</v>
      </c>
      <c r="E32" s="61">
        <v>0</v>
      </c>
      <c r="F32" s="61">
        <v>0</v>
      </c>
      <c r="G32" s="61">
        <v>0</v>
      </c>
      <c r="H32" s="61">
        <v>0</v>
      </c>
      <c r="I32" s="61">
        <v>0</v>
      </c>
      <c r="J32" s="61">
        <v>0</v>
      </c>
      <c r="K32" s="61">
        <v>0</v>
      </c>
      <c r="L32" s="61">
        <v>0</v>
      </c>
      <c r="M32" s="61">
        <v>0</v>
      </c>
      <c r="N32" s="61">
        <v>0</v>
      </c>
      <c r="O32" s="61">
        <v>0</v>
      </c>
      <c r="P32" s="61">
        <v>0</v>
      </c>
      <c r="Q32" s="61">
        <v>0</v>
      </c>
      <c r="R32" s="61">
        <v>0</v>
      </c>
      <c r="S32" s="61">
        <v>0</v>
      </c>
      <c r="T32" s="61">
        <v>0</v>
      </c>
      <c r="U32" s="61">
        <v>0</v>
      </c>
      <c r="V32" s="61">
        <v>0</v>
      </c>
      <c r="W32" s="61">
        <v>0</v>
      </c>
      <c r="X32" s="61">
        <v>0</v>
      </c>
      <c r="Y32" s="61">
        <v>0</v>
      </c>
      <c r="Z32" s="61">
        <v>0</v>
      </c>
      <c r="AA32" s="61">
        <v>0</v>
      </c>
      <c r="AB32" s="61">
        <v>0</v>
      </c>
      <c r="AC32" s="61">
        <v>0</v>
      </c>
      <c r="AD32" s="61">
        <v>0</v>
      </c>
      <c r="AE32" s="61">
        <v>0</v>
      </c>
      <c r="AF32" s="61">
        <v>0</v>
      </c>
      <c r="AG32" s="61">
        <v>0</v>
      </c>
      <c r="AH32" s="61">
        <v>0</v>
      </c>
      <c r="AI32" s="61">
        <v>0</v>
      </c>
      <c r="AJ32" s="61">
        <v>0</v>
      </c>
      <c r="AK32" s="61">
        <v>0</v>
      </c>
      <c r="AL32" s="61">
        <v>35537.5</v>
      </c>
      <c r="AM32" s="61">
        <v>35536.400000000001</v>
      </c>
      <c r="AN32" s="62">
        <v>35536.400000000001</v>
      </c>
      <c r="AO32" s="62">
        <v>35536.400000000001</v>
      </c>
      <c r="AP32" s="62">
        <v>35536.400000000001</v>
      </c>
      <c r="AQ32" s="62">
        <v>35522.81</v>
      </c>
      <c r="AR32" s="62">
        <v>36652.080000000002</v>
      </c>
      <c r="AS32" s="62">
        <v>36546.660000000003</v>
      </c>
      <c r="AT32" s="62">
        <v>36649.340000000004</v>
      </c>
      <c r="AU32" s="62">
        <v>36947.223333333335</v>
      </c>
      <c r="AV32" s="62">
        <v>37011.260000000009</v>
      </c>
      <c r="AW32" s="62">
        <v>37011.260000000009</v>
      </c>
      <c r="AX32" s="62">
        <v>37350.73000000001</v>
      </c>
      <c r="AY32" s="62">
        <v>37390.73000000001</v>
      </c>
      <c r="AZ32" s="137">
        <v>37407</v>
      </c>
      <c r="BA32" s="137">
        <v>37436.723333333335</v>
      </c>
      <c r="BB32" s="62">
        <v>37454.496666666666</v>
      </c>
      <c r="BC32" s="62">
        <v>37462.51</v>
      </c>
      <c r="BD32" s="137">
        <v>37448</v>
      </c>
      <c r="BE32" s="62">
        <v>37462.510000000009</v>
      </c>
      <c r="BF32" s="137">
        <v>0</v>
      </c>
      <c r="BG32" s="137">
        <v>0</v>
      </c>
      <c r="BH32" s="137">
        <v>0</v>
      </c>
      <c r="BI32" s="137">
        <v>0</v>
      </c>
      <c r="BJ32" s="137">
        <v>0</v>
      </c>
      <c r="BK32" s="137">
        <v>0</v>
      </c>
      <c r="BL32" s="137">
        <v>0</v>
      </c>
      <c r="BM32" s="137">
        <v>0</v>
      </c>
      <c r="BN32" s="137">
        <v>0</v>
      </c>
      <c r="BO32" s="137">
        <v>0</v>
      </c>
      <c r="BP32" s="137">
        <v>0</v>
      </c>
      <c r="BQ32" s="137">
        <v>0</v>
      </c>
      <c r="BR32" s="137">
        <v>0</v>
      </c>
      <c r="BS32" s="137">
        <v>0</v>
      </c>
      <c r="BT32" s="137">
        <v>0</v>
      </c>
      <c r="BU32" s="137">
        <v>0</v>
      </c>
      <c r="BV32" s="137">
        <v>0</v>
      </c>
      <c r="BW32" s="137">
        <v>0</v>
      </c>
      <c r="BX32" s="137">
        <v>0</v>
      </c>
    </row>
    <row r="33" spans="1:76" ht="15" hidden="1" customHeight="1" outlineLevel="1">
      <c r="A33" t="s">
        <v>212</v>
      </c>
      <c r="B33" s="38" t="s">
        <v>16</v>
      </c>
      <c r="C33" s="61">
        <v>0</v>
      </c>
      <c r="D33" s="61">
        <v>0</v>
      </c>
      <c r="E33" s="61">
        <v>0</v>
      </c>
      <c r="F33" s="61">
        <v>0</v>
      </c>
      <c r="G33" s="61">
        <v>0</v>
      </c>
      <c r="H33" s="61">
        <v>0</v>
      </c>
      <c r="I33" s="61">
        <v>0</v>
      </c>
      <c r="J33" s="61">
        <v>0</v>
      </c>
      <c r="K33" s="61">
        <v>0</v>
      </c>
      <c r="L33" s="61">
        <v>0</v>
      </c>
      <c r="M33" s="61">
        <v>0</v>
      </c>
      <c r="N33" s="61">
        <v>0</v>
      </c>
      <c r="O33" s="61">
        <v>0</v>
      </c>
      <c r="P33" s="61">
        <v>0</v>
      </c>
      <c r="Q33" s="61">
        <v>0</v>
      </c>
      <c r="R33" s="61">
        <v>0</v>
      </c>
      <c r="S33" s="61">
        <v>0</v>
      </c>
      <c r="T33" s="61">
        <v>0</v>
      </c>
      <c r="U33" s="61">
        <v>0</v>
      </c>
      <c r="V33" s="61">
        <v>0</v>
      </c>
      <c r="W33" s="61">
        <v>0</v>
      </c>
      <c r="X33" s="61">
        <v>0</v>
      </c>
      <c r="Y33" s="61">
        <v>0</v>
      </c>
      <c r="Z33" s="62">
        <v>43275</v>
      </c>
      <c r="AA33" s="62">
        <v>43275</v>
      </c>
      <c r="AB33" s="62">
        <v>43275</v>
      </c>
      <c r="AC33" s="62">
        <v>44114</v>
      </c>
      <c r="AD33" s="62">
        <v>44113.75</v>
      </c>
      <c r="AE33" s="62">
        <v>44113.75</v>
      </c>
      <c r="AF33" s="62">
        <v>44114.459999999985</v>
      </c>
      <c r="AG33" s="62">
        <v>44114.459999999985</v>
      </c>
      <c r="AH33" s="62">
        <v>44114.459999999985</v>
      </c>
      <c r="AI33" s="62">
        <v>44113.64</v>
      </c>
      <c r="AJ33" s="62">
        <v>44156</v>
      </c>
      <c r="AK33" s="62">
        <v>44113.75</v>
      </c>
      <c r="AL33" s="61">
        <v>44113.75</v>
      </c>
      <c r="AM33" s="61">
        <v>44114.23</v>
      </c>
      <c r="AN33" s="62">
        <v>44135.44</v>
      </c>
      <c r="AO33" s="62">
        <v>44135.44</v>
      </c>
      <c r="AP33" s="62">
        <v>44135.44</v>
      </c>
      <c r="AQ33" s="62">
        <v>44122.13</v>
      </c>
      <c r="AR33" s="62">
        <v>44122.130000000005</v>
      </c>
      <c r="AS33" s="62">
        <v>44122.130000000005</v>
      </c>
      <c r="AT33" s="62">
        <v>44135.44</v>
      </c>
      <c r="AU33" s="62">
        <v>44119.233333333337</v>
      </c>
      <c r="AV33" s="137">
        <v>44111</v>
      </c>
      <c r="AW33" s="137">
        <v>44113</v>
      </c>
      <c r="AX33" s="137">
        <v>44116</v>
      </c>
      <c r="AY33" s="62">
        <v>44116.18</v>
      </c>
      <c r="AZ33" s="137">
        <v>44116</v>
      </c>
      <c r="BA33" s="137">
        <v>44116.18</v>
      </c>
      <c r="BB33" s="62">
        <v>44108.366666666669</v>
      </c>
      <c r="BC33" s="62">
        <v>44035.01</v>
      </c>
      <c r="BD33" s="62">
        <v>44035.01</v>
      </c>
      <c r="BE33" s="62">
        <v>44035.01</v>
      </c>
      <c r="BF33" s="137">
        <v>44001.53666666666</v>
      </c>
      <c r="BG33" s="137">
        <v>44001.53666666666</v>
      </c>
      <c r="BH33" s="137">
        <v>44035.010000000009</v>
      </c>
      <c r="BI33" s="137">
        <v>44035</v>
      </c>
      <c r="BJ33" s="137">
        <v>44035</v>
      </c>
      <c r="BK33" s="137">
        <v>44035</v>
      </c>
      <c r="BL33" s="137">
        <v>44035</v>
      </c>
      <c r="BM33" s="137">
        <v>44035</v>
      </c>
      <c r="BN33" s="137">
        <v>44035</v>
      </c>
      <c r="BO33" s="137">
        <v>44035</v>
      </c>
      <c r="BP33" s="137">
        <v>44035</v>
      </c>
      <c r="BQ33" s="137">
        <v>44035</v>
      </c>
      <c r="BR33" s="137">
        <v>44035</v>
      </c>
      <c r="BS33" s="137">
        <v>44035</v>
      </c>
      <c r="BT33" s="137">
        <v>44035.000000000022</v>
      </c>
      <c r="BU33" s="137">
        <v>44035.000000000022</v>
      </c>
      <c r="BV33" s="137">
        <v>44035.05000000001</v>
      </c>
      <c r="BW33" s="137">
        <v>44035</v>
      </c>
      <c r="BX33" s="137">
        <v>44035</v>
      </c>
    </row>
    <row r="34" spans="1:76" ht="15" hidden="1" customHeight="1" outlineLevel="1">
      <c r="A34" t="s">
        <v>213</v>
      </c>
      <c r="B34" s="38" t="s">
        <v>17</v>
      </c>
      <c r="C34" s="61">
        <v>0</v>
      </c>
      <c r="D34" s="61">
        <v>0</v>
      </c>
      <c r="E34" s="61">
        <v>0</v>
      </c>
      <c r="F34" s="61">
        <v>0</v>
      </c>
      <c r="G34" s="61">
        <v>0</v>
      </c>
      <c r="H34" s="61">
        <v>0</v>
      </c>
      <c r="I34" s="61">
        <v>0</v>
      </c>
      <c r="J34" s="61">
        <v>0</v>
      </c>
      <c r="K34" s="61">
        <v>0</v>
      </c>
      <c r="L34" s="61">
        <v>0</v>
      </c>
      <c r="M34" s="61">
        <v>0</v>
      </c>
      <c r="N34" s="61">
        <v>0</v>
      </c>
      <c r="O34" s="61">
        <v>0</v>
      </c>
      <c r="P34" s="61">
        <v>0</v>
      </c>
      <c r="Q34" s="61">
        <v>0</v>
      </c>
      <c r="R34" s="61">
        <v>0</v>
      </c>
      <c r="S34" s="61">
        <v>0</v>
      </c>
      <c r="T34" s="61">
        <v>0</v>
      </c>
      <c r="U34" s="61">
        <v>0</v>
      </c>
      <c r="V34" s="61">
        <v>0</v>
      </c>
      <c r="W34" s="61">
        <v>0</v>
      </c>
      <c r="X34" s="61">
        <v>0</v>
      </c>
      <c r="Y34" s="61">
        <v>0</v>
      </c>
      <c r="Z34" s="61">
        <v>36060</v>
      </c>
      <c r="AA34" s="61">
        <v>36060</v>
      </c>
      <c r="AB34" s="61">
        <v>36060</v>
      </c>
      <c r="AC34" s="61">
        <v>36661</v>
      </c>
      <c r="AD34" s="61">
        <v>36660</v>
      </c>
      <c r="AE34" s="61">
        <v>36660</v>
      </c>
      <c r="AF34" s="61">
        <v>36714.189999999995</v>
      </c>
      <c r="AG34" s="61">
        <v>36714.189999999995</v>
      </c>
      <c r="AH34" s="61">
        <v>36657</v>
      </c>
      <c r="AI34" s="61">
        <v>36659</v>
      </c>
      <c r="AJ34" s="61">
        <v>36657</v>
      </c>
      <c r="AK34" s="61">
        <v>36656</v>
      </c>
      <c r="AL34" s="61">
        <v>36656</v>
      </c>
      <c r="AM34" s="61">
        <v>36656.379999999983</v>
      </c>
      <c r="AN34" s="62">
        <v>36656.379999999983</v>
      </c>
      <c r="AO34" s="62">
        <v>37395</v>
      </c>
      <c r="AP34" s="62">
        <v>37395</v>
      </c>
      <c r="AQ34" s="62">
        <v>37360.039999999994</v>
      </c>
      <c r="AR34" s="62">
        <v>37360.039999999994</v>
      </c>
      <c r="AS34" s="62">
        <v>37360.039999999986</v>
      </c>
      <c r="AT34" s="62">
        <v>37360.039999999994</v>
      </c>
      <c r="AU34" s="62">
        <v>37360.039999999994</v>
      </c>
      <c r="AV34" s="62">
        <v>37360.039999999994</v>
      </c>
      <c r="AW34" s="62">
        <v>37360.039999999994</v>
      </c>
      <c r="AX34" s="62">
        <v>37360.039999999994</v>
      </c>
      <c r="AY34" s="62">
        <v>37360.039999999986</v>
      </c>
      <c r="AZ34" s="137">
        <v>37360</v>
      </c>
      <c r="BA34" s="137">
        <v>37360.039999999994</v>
      </c>
      <c r="BB34" s="62">
        <v>37578.223333333321</v>
      </c>
      <c r="BC34" s="62">
        <v>37448.019999999997</v>
      </c>
      <c r="BD34" s="62">
        <v>37448.019999999997</v>
      </c>
      <c r="BE34" s="62">
        <v>36914.14</v>
      </c>
      <c r="BF34" s="137">
        <v>36914.14</v>
      </c>
      <c r="BG34" s="137">
        <v>36914.14</v>
      </c>
      <c r="BH34" s="137">
        <v>36885.97</v>
      </c>
      <c r="BI34" s="137">
        <v>36914.14</v>
      </c>
      <c r="BJ34" s="137">
        <v>36914.14</v>
      </c>
      <c r="BK34" s="137">
        <v>36914.14</v>
      </c>
      <c r="BL34" s="137">
        <v>36914.14</v>
      </c>
      <c r="BM34" s="137">
        <v>36914.14</v>
      </c>
      <c r="BN34" s="137">
        <v>36914.139999999992</v>
      </c>
      <c r="BO34" s="137">
        <v>36914.139999999992</v>
      </c>
      <c r="BP34" s="137">
        <v>36914.14</v>
      </c>
      <c r="BQ34" s="137">
        <v>36914.139999999992</v>
      </c>
      <c r="BR34" s="137">
        <v>36914.14</v>
      </c>
      <c r="BS34" s="137">
        <v>36914.14</v>
      </c>
      <c r="BT34" s="137">
        <v>36914.14</v>
      </c>
      <c r="BU34" s="137">
        <v>36914.14</v>
      </c>
      <c r="BV34" s="137">
        <v>36914.140000000007</v>
      </c>
      <c r="BW34" s="137">
        <v>36914.140000000014</v>
      </c>
      <c r="BX34" s="137">
        <v>36914.140000000007</v>
      </c>
    </row>
    <row r="35" spans="1:76" ht="15" hidden="1" customHeight="1" outlineLevel="1">
      <c r="A35" t="s">
        <v>214</v>
      </c>
      <c r="B35" s="38" t="s">
        <v>20</v>
      </c>
      <c r="C35" s="61">
        <v>0</v>
      </c>
      <c r="D35" s="61">
        <v>0</v>
      </c>
      <c r="E35" s="61">
        <v>0</v>
      </c>
      <c r="F35" s="61">
        <v>0</v>
      </c>
      <c r="G35" s="61">
        <v>0</v>
      </c>
      <c r="H35" s="61">
        <v>0</v>
      </c>
      <c r="I35" s="61">
        <v>0</v>
      </c>
      <c r="J35" s="61">
        <v>0</v>
      </c>
      <c r="K35" s="61">
        <v>0</v>
      </c>
      <c r="L35" s="61">
        <v>0</v>
      </c>
      <c r="M35" s="61">
        <v>0</v>
      </c>
      <c r="N35" s="61">
        <v>0</v>
      </c>
      <c r="O35" s="61">
        <v>0</v>
      </c>
      <c r="P35" s="61">
        <v>0</v>
      </c>
      <c r="Q35" s="61">
        <v>0</v>
      </c>
      <c r="R35" s="61">
        <v>0</v>
      </c>
      <c r="S35" s="61">
        <v>0</v>
      </c>
      <c r="T35" s="61">
        <v>0</v>
      </c>
      <c r="U35" s="61">
        <v>0</v>
      </c>
      <c r="V35" s="61">
        <v>0</v>
      </c>
      <c r="W35" s="61">
        <v>0</v>
      </c>
      <c r="X35" s="61">
        <v>0</v>
      </c>
      <c r="Y35" s="61">
        <v>0</v>
      </c>
      <c r="Z35" s="61">
        <v>0</v>
      </c>
      <c r="AA35" s="61">
        <v>0</v>
      </c>
      <c r="AB35" s="61">
        <v>0</v>
      </c>
      <c r="AC35" s="61">
        <v>0</v>
      </c>
      <c r="AD35" s="61">
        <v>0</v>
      </c>
      <c r="AE35" s="61">
        <v>0</v>
      </c>
      <c r="AF35" s="61">
        <v>17680.659999999993</v>
      </c>
      <c r="AG35" s="61">
        <v>17680.659999999993</v>
      </c>
      <c r="AH35" s="61">
        <v>16643.66</v>
      </c>
      <c r="AI35" s="61">
        <v>16626.469999999998</v>
      </c>
      <c r="AJ35" s="61">
        <v>16626</v>
      </c>
      <c r="AK35" s="61">
        <v>16626</v>
      </c>
      <c r="AL35" s="62">
        <v>16626</v>
      </c>
      <c r="AM35" s="62">
        <v>16626.469999999998</v>
      </c>
      <c r="AN35" s="62">
        <v>16619</v>
      </c>
      <c r="AO35" s="62">
        <v>16619.41</v>
      </c>
      <c r="AP35" s="62">
        <v>16619.41</v>
      </c>
      <c r="AQ35" s="62">
        <v>16637.41</v>
      </c>
      <c r="AR35" s="62">
        <v>16637.41</v>
      </c>
      <c r="AS35" s="62">
        <v>16637.409999999996</v>
      </c>
      <c r="AT35" s="62">
        <v>16637.41</v>
      </c>
      <c r="AU35" s="137">
        <v>16637</v>
      </c>
      <c r="AV35" s="62">
        <v>16637.41</v>
      </c>
      <c r="AW35" s="62">
        <v>16637.410000000003</v>
      </c>
      <c r="AX35" s="62">
        <v>16661.04</v>
      </c>
      <c r="AY35" s="62">
        <v>16661.04</v>
      </c>
      <c r="AZ35" s="137">
        <v>16661</v>
      </c>
      <c r="BA35" s="137">
        <v>16661.04</v>
      </c>
      <c r="BB35" s="62">
        <v>16680.786666666667</v>
      </c>
      <c r="BC35" s="137">
        <v>16690.66</v>
      </c>
      <c r="BD35" s="62">
        <v>16690.66</v>
      </c>
      <c r="BE35" s="62">
        <v>16690.66</v>
      </c>
      <c r="BF35" s="137">
        <v>16851.259999999998</v>
      </c>
      <c r="BG35" s="137">
        <v>16851.259999999998</v>
      </c>
      <c r="BH35" s="137">
        <v>16851.259999999998</v>
      </c>
      <c r="BI35" s="137">
        <v>16851.259999999998</v>
      </c>
      <c r="BJ35" s="137">
        <v>16869.303333333333</v>
      </c>
      <c r="BK35" s="137">
        <v>16905.64</v>
      </c>
      <c r="BL35" s="137">
        <v>16905.64</v>
      </c>
      <c r="BM35" s="137">
        <v>16905.64</v>
      </c>
      <c r="BN35" s="137">
        <v>16905.64</v>
      </c>
      <c r="BO35" s="137">
        <v>16905.64</v>
      </c>
      <c r="BP35" s="137">
        <v>16905.640000000003</v>
      </c>
      <c r="BQ35" s="137">
        <v>16905.640000000003</v>
      </c>
      <c r="BR35" s="137">
        <v>16905.64</v>
      </c>
      <c r="BS35" s="137">
        <v>16905.64</v>
      </c>
      <c r="BT35" s="137">
        <v>16905.64</v>
      </c>
      <c r="BU35" s="137">
        <v>16905.639999999996</v>
      </c>
      <c r="BV35" s="137">
        <v>16905.639999999992</v>
      </c>
      <c r="BW35" s="137">
        <v>16905.639999999992</v>
      </c>
      <c r="BX35" s="137">
        <v>16905.639999999992</v>
      </c>
    </row>
    <row r="36" spans="1:76" ht="15" hidden="1" customHeight="1" outlineLevel="1">
      <c r="A36" t="s">
        <v>215</v>
      </c>
      <c r="B36" s="38" t="s">
        <v>23</v>
      </c>
      <c r="C36" s="61">
        <v>0</v>
      </c>
      <c r="D36" s="61">
        <v>0</v>
      </c>
      <c r="E36" s="61">
        <v>0</v>
      </c>
      <c r="F36" s="61">
        <v>0</v>
      </c>
      <c r="G36" s="61">
        <v>0</v>
      </c>
      <c r="H36" s="61">
        <v>0</v>
      </c>
      <c r="I36" s="61">
        <v>0</v>
      </c>
      <c r="J36" s="61">
        <v>0</v>
      </c>
      <c r="K36" s="61">
        <v>0</v>
      </c>
      <c r="L36" s="61">
        <v>0</v>
      </c>
      <c r="M36" s="61">
        <v>0</v>
      </c>
      <c r="N36" s="61">
        <v>0</v>
      </c>
      <c r="O36" s="61">
        <v>0</v>
      </c>
      <c r="P36" s="61">
        <v>0</v>
      </c>
      <c r="Q36" s="61">
        <v>0</v>
      </c>
      <c r="R36" s="61">
        <v>0</v>
      </c>
      <c r="S36" s="61">
        <v>0</v>
      </c>
      <c r="T36" s="61">
        <v>0</v>
      </c>
      <c r="U36" s="61">
        <v>0</v>
      </c>
      <c r="V36" s="61">
        <v>0</v>
      </c>
      <c r="W36" s="61">
        <v>0</v>
      </c>
      <c r="X36" s="61">
        <v>0</v>
      </c>
      <c r="Y36" s="61">
        <v>0</v>
      </c>
      <c r="Z36" s="61">
        <v>0</v>
      </c>
      <c r="AA36" s="61">
        <v>0</v>
      </c>
      <c r="AB36" s="61">
        <v>0</v>
      </c>
      <c r="AC36" s="61">
        <v>0</v>
      </c>
      <c r="AD36" s="61">
        <v>0</v>
      </c>
      <c r="AE36" s="61">
        <v>0</v>
      </c>
      <c r="AF36" s="61">
        <v>0</v>
      </c>
      <c r="AG36" s="61">
        <v>0</v>
      </c>
      <c r="AH36" s="61">
        <v>0</v>
      </c>
      <c r="AI36" s="61">
        <v>0</v>
      </c>
      <c r="AJ36" s="137">
        <v>26633.517931892377</v>
      </c>
      <c r="AK36" s="61">
        <v>26632.929707245155</v>
      </c>
      <c r="AL36" s="137">
        <v>26632.929707245155</v>
      </c>
      <c r="AM36" s="137">
        <v>26633.527931711385</v>
      </c>
      <c r="AN36" s="62">
        <v>26811.75</v>
      </c>
      <c r="AO36" s="62">
        <v>26811.75</v>
      </c>
      <c r="AP36" s="62">
        <v>28369.66</v>
      </c>
      <c r="AQ36" s="62">
        <v>28369.66</v>
      </c>
      <c r="AR36" s="62">
        <v>28369.389999999996</v>
      </c>
      <c r="AS36" s="62">
        <v>28485.710000000006</v>
      </c>
      <c r="AT36" s="62">
        <v>28485.71</v>
      </c>
      <c r="AU36" s="62">
        <v>27589.640000000003</v>
      </c>
      <c r="AV36" s="62">
        <v>27656</v>
      </c>
      <c r="AW36" s="137">
        <v>27688</v>
      </c>
      <c r="AX36" s="137">
        <v>27688</v>
      </c>
      <c r="AY36" s="62">
        <v>27688.48</v>
      </c>
      <c r="AZ36" s="137">
        <v>27688</v>
      </c>
      <c r="BA36" s="137">
        <v>27688.48</v>
      </c>
      <c r="BB36" s="62">
        <v>27688.48</v>
      </c>
      <c r="BC36" s="62">
        <v>27688.480000000003</v>
      </c>
      <c r="BD36" s="62">
        <v>27688.48</v>
      </c>
      <c r="BE36" s="62">
        <v>27688.48</v>
      </c>
      <c r="BF36" s="137">
        <v>27688.48</v>
      </c>
      <c r="BG36" s="137">
        <v>27688.48</v>
      </c>
      <c r="BH36" s="137">
        <v>27688.48</v>
      </c>
      <c r="BI36" s="137">
        <v>27688.48</v>
      </c>
      <c r="BJ36" s="137">
        <v>27688.48</v>
      </c>
      <c r="BK36" s="137">
        <v>27688.48</v>
      </c>
      <c r="BL36" s="137">
        <v>27833.74</v>
      </c>
      <c r="BM36" s="137">
        <v>27833.74</v>
      </c>
      <c r="BN36" s="137">
        <v>27833.74</v>
      </c>
      <c r="BO36" s="137">
        <v>27833.74</v>
      </c>
      <c r="BP36" s="137">
        <v>27833.74</v>
      </c>
      <c r="BQ36" s="137">
        <v>0</v>
      </c>
      <c r="BR36" s="137">
        <v>0</v>
      </c>
      <c r="BS36" s="137">
        <v>0</v>
      </c>
      <c r="BT36" s="137">
        <v>0</v>
      </c>
      <c r="BU36" s="137">
        <v>0</v>
      </c>
      <c r="BV36" s="137">
        <v>0</v>
      </c>
      <c r="BW36" s="137">
        <v>0</v>
      </c>
      <c r="BX36" s="137">
        <v>0</v>
      </c>
    </row>
    <row r="37" spans="1:76" ht="15" hidden="1" customHeight="1" outlineLevel="1">
      <c r="A37" t="s">
        <v>18</v>
      </c>
      <c r="B37" s="38" t="s">
        <v>13</v>
      </c>
      <c r="C37" s="61">
        <v>0</v>
      </c>
      <c r="D37" s="61">
        <v>0</v>
      </c>
      <c r="E37" s="61">
        <v>0</v>
      </c>
      <c r="F37" s="61">
        <v>0</v>
      </c>
      <c r="G37" s="61">
        <v>0</v>
      </c>
      <c r="H37" s="61">
        <v>0</v>
      </c>
      <c r="I37" s="61">
        <v>0</v>
      </c>
      <c r="J37" s="61">
        <v>0</v>
      </c>
      <c r="K37" s="61">
        <v>0</v>
      </c>
      <c r="L37" s="61">
        <v>0</v>
      </c>
      <c r="M37" s="61">
        <v>0</v>
      </c>
      <c r="N37" s="61">
        <v>0</v>
      </c>
      <c r="O37" s="61">
        <v>0</v>
      </c>
      <c r="P37" s="61">
        <v>0</v>
      </c>
      <c r="Q37" s="61">
        <v>0</v>
      </c>
      <c r="R37" s="61">
        <v>0</v>
      </c>
      <c r="S37" s="61">
        <v>0</v>
      </c>
      <c r="T37" s="61">
        <v>0</v>
      </c>
      <c r="U37" s="61">
        <v>0</v>
      </c>
      <c r="V37" s="61">
        <v>0</v>
      </c>
      <c r="W37" s="61">
        <v>0</v>
      </c>
      <c r="X37" s="61">
        <v>0</v>
      </c>
      <c r="Y37" s="61">
        <v>0</v>
      </c>
      <c r="Z37" s="61">
        <v>0</v>
      </c>
      <c r="AA37" s="61">
        <v>0</v>
      </c>
      <c r="AB37" s="61">
        <v>0</v>
      </c>
      <c r="AC37" s="61">
        <v>0</v>
      </c>
      <c r="AD37" s="61">
        <v>0</v>
      </c>
      <c r="AE37" s="61">
        <v>0</v>
      </c>
      <c r="AF37" s="61">
        <v>0</v>
      </c>
      <c r="AG37" s="61">
        <v>0</v>
      </c>
      <c r="AH37" s="61">
        <v>0</v>
      </c>
      <c r="AI37" s="61">
        <v>0</v>
      </c>
      <c r="AJ37" s="61">
        <v>0</v>
      </c>
      <c r="AK37" s="61">
        <v>0</v>
      </c>
      <c r="AL37" s="61">
        <v>29968</v>
      </c>
      <c r="AM37" s="61">
        <v>29967.85</v>
      </c>
      <c r="AN37" s="62">
        <v>29967.85</v>
      </c>
      <c r="AO37" s="62">
        <v>28676.25</v>
      </c>
      <c r="AP37" s="62">
        <v>28676.25</v>
      </c>
      <c r="AQ37" s="62">
        <v>0</v>
      </c>
      <c r="AR37" s="62">
        <v>0</v>
      </c>
      <c r="AS37" s="62">
        <v>0</v>
      </c>
      <c r="AT37" s="62">
        <v>0</v>
      </c>
      <c r="AU37" s="62">
        <v>0</v>
      </c>
      <c r="AV37" s="128">
        <v>0</v>
      </c>
      <c r="AW37" s="128">
        <v>0</v>
      </c>
      <c r="AX37" s="128">
        <v>0</v>
      </c>
      <c r="AY37" s="128">
        <v>0</v>
      </c>
      <c r="AZ37" s="128">
        <v>0</v>
      </c>
      <c r="BA37" s="128">
        <v>0</v>
      </c>
      <c r="BB37" s="128">
        <v>0</v>
      </c>
      <c r="BC37" s="128">
        <v>0</v>
      </c>
      <c r="BD37" s="128">
        <v>0</v>
      </c>
      <c r="BE37" s="128">
        <v>0</v>
      </c>
      <c r="BF37" s="137">
        <v>0</v>
      </c>
      <c r="BG37" s="137">
        <v>0</v>
      </c>
      <c r="BH37" s="137">
        <v>0</v>
      </c>
      <c r="BI37" s="137">
        <v>0</v>
      </c>
      <c r="BJ37" s="137">
        <v>0</v>
      </c>
      <c r="BK37" s="137">
        <v>0</v>
      </c>
      <c r="BL37" s="137">
        <v>0</v>
      </c>
      <c r="BM37" s="137">
        <v>0</v>
      </c>
      <c r="BN37" s="137">
        <v>0</v>
      </c>
      <c r="BO37" s="137">
        <v>0</v>
      </c>
      <c r="BP37" s="137">
        <v>0</v>
      </c>
      <c r="BQ37" s="137">
        <v>0</v>
      </c>
      <c r="BR37" s="137">
        <v>0</v>
      </c>
      <c r="BS37" s="137">
        <v>0</v>
      </c>
      <c r="BT37" s="137">
        <v>0</v>
      </c>
      <c r="BU37" s="137">
        <v>0</v>
      </c>
      <c r="BV37" s="137">
        <v>0</v>
      </c>
      <c r="BW37" s="137">
        <v>0</v>
      </c>
      <c r="BX37" s="137">
        <v>0</v>
      </c>
    </row>
    <row r="38" spans="1:76" s="15" customFormat="1" ht="15" customHeight="1" collapsed="1">
      <c r="B38" s="80" t="str">
        <f>IF('Sumário | Summary'!P1=1,"Galpões Logísticos","Distribution Centers")</f>
        <v>Galpões Logísticos</v>
      </c>
      <c r="C38" s="128">
        <f t="shared" ref="C38:BN38" si="8">SUM(C39:C49)</f>
        <v>40349.839999999997</v>
      </c>
      <c r="D38" s="128">
        <f t="shared" si="8"/>
        <v>40349.839999999997</v>
      </c>
      <c r="E38" s="128">
        <f t="shared" si="8"/>
        <v>40349.839999999997</v>
      </c>
      <c r="F38" s="128">
        <f t="shared" si="8"/>
        <v>40349.839999999997</v>
      </c>
      <c r="G38" s="128">
        <f t="shared" si="8"/>
        <v>40349.839999999997</v>
      </c>
      <c r="H38" s="128">
        <f t="shared" si="8"/>
        <v>40349.839999999997</v>
      </c>
      <c r="I38" s="128">
        <f t="shared" si="8"/>
        <v>40349.839999999997</v>
      </c>
      <c r="J38" s="128">
        <f t="shared" si="8"/>
        <v>40349.839999999997</v>
      </c>
      <c r="K38" s="128">
        <f t="shared" si="8"/>
        <v>40349.839999999997</v>
      </c>
      <c r="L38" s="128">
        <f t="shared" si="8"/>
        <v>40349.839999999997</v>
      </c>
      <c r="M38" s="128">
        <f t="shared" si="8"/>
        <v>40349.839999999997</v>
      </c>
      <c r="N38" s="128">
        <f t="shared" si="8"/>
        <v>40349.839999999997</v>
      </c>
      <c r="O38" s="128">
        <f t="shared" si="8"/>
        <v>40349.839999999997</v>
      </c>
      <c r="P38" s="128">
        <f t="shared" si="8"/>
        <v>40349.839999999997</v>
      </c>
      <c r="Q38" s="128">
        <f t="shared" si="8"/>
        <v>40349.839999999997</v>
      </c>
      <c r="R38" s="128">
        <f t="shared" si="8"/>
        <v>40349.839999999997</v>
      </c>
      <c r="S38" s="128">
        <f t="shared" si="8"/>
        <v>40349.839999999997</v>
      </c>
      <c r="T38" s="128">
        <f t="shared" si="8"/>
        <v>40349.839999999997</v>
      </c>
      <c r="U38" s="128">
        <f t="shared" si="8"/>
        <v>40349.839999999997</v>
      </c>
      <c r="V38" s="128">
        <f t="shared" si="8"/>
        <v>40349.839999999997</v>
      </c>
      <c r="W38" s="128">
        <f t="shared" si="8"/>
        <v>40349.839999999997</v>
      </c>
      <c r="X38" s="128">
        <f t="shared" si="8"/>
        <v>40349.839999999997</v>
      </c>
      <c r="Y38" s="128">
        <f t="shared" si="8"/>
        <v>40349.839999999997</v>
      </c>
      <c r="Z38" s="128">
        <f t="shared" si="8"/>
        <v>206021.2</v>
      </c>
      <c r="AA38" s="128">
        <f t="shared" si="8"/>
        <v>206021.2</v>
      </c>
      <c r="AB38" s="128">
        <f t="shared" si="8"/>
        <v>260474.55000000002</v>
      </c>
      <c r="AC38" s="128">
        <f t="shared" si="8"/>
        <v>324176</v>
      </c>
      <c r="AD38" s="128">
        <f t="shared" si="8"/>
        <v>324176</v>
      </c>
      <c r="AE38" s="128">
        <f t="shared" si="8"/>
        <v>324176</v>
      </c>
      <c r="AF38" s="128">
        <f t="shared" si="8"/>
        <v>324176</v>
      </c>
      <c r="AG38" s="128">
        <f t="shared" si="8"/>
        <v>324176</v>
      </c>
      <c r="AH38" s="128">
        <f t="shared" si="8"/>
        <v>324176</v>
      </c>
      <c r="AI38" s="128">
        <f t="shared" si="8"/>
        <v>324176</v>
      </c>
      <c r="AJ38" s="128">
        <f t="shared" si="8"/>
        <v>324176</v>
      </c>
      <c r="AK38" s="128">
        <f t="shared" si="8"/>
        <v>311313.08999999997</v>
      </c>
      <c r="AL38" s="128">
        <f t="shared" si="8"/>
        <v>1039349.6699999999</v>
      </c>
      <c r="AM38" s="128">
        <f t="shared" si="8"/>
        <v>1093837.67</v>
      </c>
      <c r="AN38" s="128">
        <f t="shared" si="8"/>
        <v>1093837.67</v>
      </c>
      <c r="AO38" s="128">
        <f t="shared" si="8"/>
        <v>12862.59</v>
      </c>
      <c r="AP38" s="128">
        <f t="shared" si="8"/>
        <v>12862.59</v>
      </c>
      <c r="AQ38" s="128">
        <f t="shared" si="8"/>
        <v>12862.59</v>
      </c>
      <c r="AR38" s="128">
        <f t="shared" si="8"/>
        <v>0</v>
      </c>
      <c r="AS38" s="128">
        <f t="shared" si="8"/>
        <v>0</v>
      </c>
      <c r="AT38" s="128">
        <f t="shared" si="8"/>
        <v>0</v>
      </c>
      <c r="AU38" s="128">
        <f t="shared" si="8"/>
        <v>0</v>
      </c>
      <c r="AV38" s="128">
        <f t="shared" si="8"/>
        <v>0</v>
      </c>
      <c r="AW38" s="128">
        <f t="shared" si="8"/>
        <v>0</v>
      </c>
      <c r="AX38" s="128">
        <f t="shared" si="8"/>
        <v>0</v>
      </c>
      <c r="AY38" s="128">
        <f t="shared" si="8"/>
        <v>0</v>
      </c>
      <c r="AZ38" s="128">
        <f t="shared" si="8"/>
        <v>0</v>
      </c>
      <c r="BA38" s="128">
        <f t="shared" si="8"/>
        <v>0</v>
      </c>
      <c r="BB38" s="128">
        <f t="shared" si="8"/>
        <v>0</v>
      </c>
      <c r="BC38" s="128">
        <f t="shared" si="8"/>
        <v>0</v>
      </c>
      <c r="BD38" s="128">
        <f t="shared" si="8"/>
        <v>0</v>
      </c>
      <c r="BE38" s="128">
        <f t="shared" si="8"/>
        <v>0</v>
      </c>
      <c r="BF38" s="128">
        <f t="shared" si="8"/>
        <v>0</v>
      </c>
      <c r="BG38" s="128">
        <f t="shared" si="8"/>
        <v>0</v>
      </c>
      <c r="BH38" s="128">
        <f t="shared" si="8"/>
        <v>0</v>
      </c>
      <c r="BI38" s="128">
        <f t="shared" si="8"/>
        <v>0</v>
      </c>
      <c r="BJ38" s="128">
        <f t="shared" si="8"/>
        <v>0</v>
      </c>
      <c r="BK38" s="128">
        <f t="shared" si="8"/>
        <v>0</v>
      </c>
      <c r="BL38" s="128">
        <f t="shared" si="8"/>
        <v>0</v>
      </c>
      <c r="BM38" s="128">
        <f t="shared" si="8"/>
        <v>0</v>
      </c>
      <c r="BN38" s="128">
        <f t="shared" si="8"/>
        <v>45424.5</v>
      </c>
      <c r="BO38" s="128">
        <f t="shared" ref="BO38" si="9">SUM(BO39:BO49)</f>
        <v>45424.5</v>
      </c>
      <c r="BP38" s="128">
        <v>45424.5</v>
      </c>
      <c r="BQ38" s="128">
        <v>45424.5</v>
      </c>
      <c r="BR38" s="128">
        <v>45424.5</v>
      </c>
      <c r="BS38" s="128">
        <v>45424.46</v>
      </c>
      <c r="BT38" s="128">
        <v>74139.009999999995</v>
      </c>
      <c r="BU38" s="128">
        <v>74139.009999999995</v>
      </c>
      <c r="BV38" s="128">
        <v>111693.45999999999</v>
      </c>
      <c r="BW38" s="128">
        <v>128516.12</v>
      </c>
      <c r="BX38" s="128">
        <f t="shared" ref="BX38" si="10">SUM(BX39:BX49)</f>
        <v>128516.12</v>
      </c>
    </row>
    <row r="39" spans="1:76" ht="15" hidden="1" customHeight="1" outlineLevel="1">
      <c r="A39" t="s">
        <v>315</v>
      </c>
      <c r="B39" s="38" t="s">
        <v>314</v>
      </c>
      <c r="C39" s="137">
        <v>0</v>
      </c>
      <c r="D39" s="137">
        <v>0</v>
      </c>
      <c r="E39" s="137">
        <v>0</v>
      </c>
      <c r="F39" s="137">
        <v>0</v>
      </c>
      <c r="G39" s="137">
        <v>0</v>
      </c>
      <c r="H39" s="137">
        <v>0</v>
      </c>
      <c r="I39" s="137">
        <v>0</v>
      </c>
      <c r="J39" s="137">
        <v>0</v>
      </c>
      <c r="K39" s="137">
        <v>0</v>
      </c>
      <c r="L39" s="137">
        <v>0</v>
      </c>
      <c r="M39" s="137">
        <v>0</v>
      </c>
      <c r="N39" s="137">
        <v>0</v>
      </c>
      <c r="O39" s="137">
        <v>0</v>
      </c>
      <c r="P39" s="137">
        <v>0</v>
      </c>
      <c r="Q39" s="137">
        <v>0</v>
      </c>
      <c r="R39" s="137">
        <v>0</v>
      </c>
      <c r="S39" s="137">
        <v>0</v>
      </c>
      <c r="T39" s="137">
        <v>0</v>
      </c>
      <c r="U39" s="137">
        <v>0</v>
      </c>
      <c r="V39" s="137">
        <v>0</v>
      </c>
      <c r="W39" s="137">
        <v>0</v>
      </c>
      <c r="X39" s="137">
        <v>0</v>
      </c>
      <c r="Y39" s="137">
        <v>0</v>
      </c>
      <c r="Z39" s="137">
        <v>0</v>
      </c>
      <c r="AA39" s="137">
        <v>0</v>
      </c>
      <c r="AB39" s="137">
        <v>0</v>
      </c>
      <c r="AC39" s="137">
        <v>0</v>
      </c>
      <c r="AD39" s="137">
        <v>0</v>
      </c>
      <c r="AE39" s="137">
        <v>0</v>
      </c>
      <c r="AF39" s="137">
        <v>0</v>
      </c>
      <c r="AG39" s="137">
        <v>0</v>
      </c>
      <c r="AH39" s="137">
        <v>0</v>
      </c>
      <c r="AI39" s="137">
        <v>0</v>
      </c>
      <c r="AJ39" s="137">
        <v>0</v>
      </c>
      <c r="AK39" s="137">
        <v>0</v>
      </c>
      <c r="AL39" s="137">
        <v>0</v>
      </c>
      <c r="AM39" s="137">
        <v>0</v>
      </c>
      <c r="AN39" s="137">
        <v>0</v>
      </c>
      <c r="AO39" s="137">
        <v>0</v>
      </c>
      <c r="AP39" s="137">
        <v>0</v>
      </c>
      <c r="AQ39" s="137">
        <v>0</v>
      </c>
      <c r="AR39" s="137">
        <v>0</v>
      </c>
      <c r="AS39" s="137">
        <v>0</v>
      </c>
      <c r="AT39" s="137">
        <v>0</v>
      </c>
      <c r="AU39" s="137">
        <v>0</v>
      </c>
      <c r="AV39" s="137">
        <v>0</v>
      </c>
      <c r="AW39" s="137">
        <v>0</v>
      </c>
      <c r="AX39" s="137">
        <v>0</v>
      </c>
      <c r="AY39" s="137">
        <v>0</v>
      </c>
      <c r="AZ39" s="137">
        <v>0</v>
      </c>
      <c r="BA39" s="137">
        <v>0</v>
      </c>
      <c r="BB39" s="137">
        <v>0</v>
      </c>
      <c r="BC39" s="137">
        <v>0</v>
      </c>
      <c r="BD39" s="137">
        <v>0</v>
      </c>
      <c r="BE39" s="137">
        <v>0</v>
      </c>
      <c r="BF39" s="137">
        <v>0</v>
      </c>
      <c r="BG39" s="137">
        <v>0</v>
      </c>
      <c r="BH39" s="137">
        <v>0</v>
      </c>
      <c r="BI39" s="137">
        <v>0</v>
      </c>
      <c r="BJ39" s="137">
        <v>0</v>
      </c>
      <c r="BK39" s="137">
        <v>0</v>
      </c>
      <c r="BL39" s="137">
        <v>0</v>
      </c>
      <c r="BM39" s="137">
        <v>0</v>
      </c>
      <c r="BN39" s="137">
        <v>45424.5</v>
      </c>
      <c r="BO39" s="137">
        <v>45424.5</v>
      </c>
      <c r="BP39" s="137">
        <v>45424.5</v>
      </c>
      <c r="BQ39" s="137">
        <v>45424.5</v>
      </c>
      <c r="BR39" s="137">
        <v>45424.5</v>
      </c>
      <c r="BS39" s="137">
        <v>45424.46</v>
      </c>
      <c r="BT39" s="137">
        <v>74139.009999999995</v>
      </c>
      <c r="BU39" s="137">
        <v>74139.009999999995</v>
      </c>
      <c r="BV39" s="137">
        <v>111693.45999999999</v>
      </c>
      <c r="BW39" s="137">
        <v>128516.12</v>
      </c>
      <c r="BX39" s="137">
        <v>128516.12</v>
      </c>
    </row>
    <row r="40" spans="1:76" ht="15" hidden="1" customHeight="1" outlineLevel="1">
      <c r="A40" t="s">
        <v>18</v>
      </c>
      <c r="B40" s="38" t="s">
        <v>32</v>
      </c>
      <c r="C40" s="61">
        <v>40349.839999999997</v>
      </c>
      <c r="D40" s="61">
        <v>40349.839999999997</v>
      </c>
      <c r="E40" s="61">
        <v>40349.839999999997</v>
      </c>
      <c r="F40" s="61">
        <v>40349.839999999997</v>
      </c>
      <c r="G40" s="61">
        <v>40349.839999999997</v>
      </c>
      <c r="H40" s="61">
        <v>40349.839999999997</v>
      </c>
      <c r="I40" s="61">
        <v>40349.839999999997</v>
      </c>
      <c r="J40" s="61">
        <v>40349.839999999997</v>
      </c>
      <c r="K40" s="61">
        <v>40349.839999999997</v>
      </c>
      <c r="L40" s="61">
        <v>40349.839999999997</v>
      </c>
      <c r="M40" s="61">
        <v>40349.839999999997</v>
      </c>
      <c r="N40" s="61">
        <v>40349.839999999997</v>
      </c>
      <c r="O40" s="61">
        <v>40349.839999999997</v>
      </c>
      <c r="P40" s="61">
        <v>40349.839999999997</v>
      </c>
      <c r="Q40" s="61">
        <v>40349.839999999997</v>
      </c>
      <c r="R40" s="61">
        <v>40349.839999999997</v>
      </c>
      <c r="S40" s="61">
        <v>40349.839999999997</v>
      </c>
      <c r="T40" s="61">
        <v>40349.839999999997</v>
      </c>
      <c r="U40" s="61">
        <v>40349.839999999997</v>
      </c>
      <c r="V40" s="61">
        <v>40349.839999999997</v>
      </c>
      <c r="W40" s="61">
        <v>40349.839999999997</v>
      </c>
      <c r="X40" s="61">
        <v>40349.839999999997</v>
      </c>
      <c r="Y40" s="61">
        <v>40349.839999999997</v>
      </c>
      <c r="Z40" s="61">
        <v>40349.839999999997</v>
      </c>
      <c r="AA40" s="61">
        <v>40349.839999999997</v>
      </c>
      <c r="AB40" s="61">
        <v>40349.839999999997</v>
      </c>
      <c r="AC40" s="61">
        <v>40349.839999999997</v>
      </c>
      <c r="AD40" s="61">
        <v>40349.839999999997</v>
      </c>
      <c r="AE40" s="61">
        <v>40349.839999999997</v>
      </c>
      <c r="AF40" s="61">
        <v>40349.839999999997</v>
      </c>
      <c r="AG40" s="61">
        <v>40349.839999999997</v>
      </c>
      <c r="AH40" s="61">
        <v>40349.839999999997</v>
      </c>
      <c r="AI40" s="61">
        <v>40349.839999999997</v>
      </c>
      <c r="AJ40" s="137">
        <v>40349.839999999997</v>
      </c>
      <c r="AK40" s="61">
        <v>27486.93</v>
      </c>
      <c r="AL40" s="62">
        <v>27486.93</v>
      </c>
      <c r="AM40" s="62">
        <v>27486.93</v>
      </c>
      <c r="AN40" s="62">
        <v>27486.93</v>
      </c>
      <c r="AO40" s="62">
        <v>12862.59</v>
      </c>
      <c r="AP40" s="62">
        <v>12862.59</v>
      </c>
      <c r="AQ40" s="62">
        <v>12862.59</v>
      </c>
      <c r="AR40" s="62">
        <v>0</v>
      </c>
      <c r="AS40" s="62">
        <v>0</v>
      </c>
      <c r="AT40" s="62">
        <v>0</v>
      </c>
      <c r="AU40" s="62">
        <v>0</v>
      </c>
      <c r="AV40" s="62">
        <v>0</v>
      </c>
      <c r="AW40" s="62">
        <v>0</v>
      </c>
      <c r="AX40" s="62">
        <v>0</v>
      </c>
      <c r="AY40" s="62">
        <v>0</v>
      </c>
      <c r="AZ40" s="62">
        <v>0</v>
      </c>
      <c r="BA40" s="62">
        <v>0</v>
      </c>
      <c r="BB40" s="62"/>
      <c r="BC40" s="62">
        <v>0</v>
      </c>
      <c r="BD40" s="62">
        <v>0</v>
      </c>
      <c r="BE40" s="62">
        <v>0</v>
      </c>
      <c r="BF40" s="62">
        <v>0</v>
      </c>
      <c r="BG40" s="137">
        <v>0</v>
      </c>
      <c r="BH40" s="137">
        <v>0</v>
      </c>
      <c r="BI40" s="137">
        <v>0</v>
      </c>
      <c r="BJ40" s="137">
        <v>0</v>
      </c>
      <c r="BK40" s="137">
        <v>0</v>
      </c>
      <c r="BL40" s="137">
        <v>0</v>
      </c>
      <c r="BM40" s="137">
        <v>0</v>
      </c>
      <c r="BN40" s="137">
        <v>0</v>
      </c>
      <c r="BO40" s="137">
        <v>0</v>
      </c>
      <c r="BP40" s="137">
        <v>0</v>
      </c>
      <c r="BQ40" s="137">
        <v>0</v>
      </c>
      <c r="BR40" s="137">
        <v>0</v>
      </c>
      <c r="BS40" s="137">
        <v>0</v>
      </c>
      <c r="BT40" s="137">
        <v>0</v>
      </c>
      <c r="BU40" s="137">
        <v>0</v>
      </c>
      <c r="BV40" s="137">
        <v>0</v>
      </c>
      <c r="BW40" s="137">
        <v>0</v>
      </c>
      <c r="BX40" s="137">
        <v>0</v>
      </c>
    </row>
    <row r="41" spans="1:76" ht="15" hidden="1" customHeight="1" outlineLevel="1">
      <c r="A41" t="s">
        <v>18</v>
      </c>
      <c r="B41" s="38" t="s">
        <v>34</v>
      </c>
      <c r="C41" s="61">
        <v>0</v>
      </c>
      <c r="D41" s="61">
        <v>0</v>
      </c>
      <c r="E41" s="61">
        <v>0</v>
      </c>
      <c r="F41" s="61">
        <v>0</v>
      </c>
      <c r="G41" s="61">
        <v>0</v>
      </c>
      <c r="H41" s="61">
        <v>0</v>
      </c>
      <c r="I41" s="61">
        <v>0</v>
      </c>
      <c r="J41" s="61">
        <v>0</v>
      </c>
      <c r="K41" s="61">
        <v>0</v>
      </c>
      <c r="L41" s="61">
        <v>0</v>
      </c>
      <c r="M41" s="61">
        <v>0</v>
      </c>
      <c r="N41" s="61">
        <v>0</v>
      </c>
      <c r="O41" s="61">
        <v>0</v>
      </c>
      <c r="P41" s="61">
        <v>0</v>
      </c>
      <c r="Q41" s="61">
        <v>0</v>
      </c>
      <c r="R41" s="61">
        <v>0</v>
      </c>
      <c r="S41" s="61">
        <v>0</v>
      </c>
      <c r="T41" s="61">
        <v>0</v>
      </c>
      <c r="U41" s="61">
        <v>0</v>
      </c>
      <c r="V41" s="61">
        <v>0</v>
      </c>
      <c r="W41" s="61">
        <v>0</v>
      </c>
      <c r="X41" s="61">
        <v>0</v>
      </c>
      <c r="Y41" s="61">
        <v>0</v>
      </c>
      <c r="Z41" s="61">
        <v>0</v>
      </c>
      <c r="AA41" s="61">
        <v>0</v>
      </c>
      <c r="AB41" s="61">
        <v>0</v>
      </c>
      <c r="AC41" s="61">
        <v>0</v>
      </c>
      <c r="AD41" s="61">
        <v>0</v>
      </c>
      <c r="AE41" s="61">
        <v>0</v>
      </c>
      <c r="AF41" s="61">
        <v>0</v>
      </c>
      <c r="AG41" s="61">
        <v>0</v>
      </c>
      <c r="AH41" s="61">
        <v>0</v>
      </c>
      <c r="AI41" s="61">
        <v>0</v>
      </c>
      <c r="AJ41" s="61">
        <v>0</v>
      </c>
      <c r="AK41" s="61">
        <v>0</v>
      </c>
      <c r="AL41" s="62">
        <v>115067.27000000002</v>
      </c>
      <c r="AM41" s="62">
        <v>115067.27000000002</v>
      </c>
      <c r="AN41" s="62">
        <v>115067.27000000002</v>
      </c>
      <c r="AO41" s="62">
        <v>0</v>
      </c>
      <c r="AP41" s="62">
        <v>0</v>
      </c>
      <c r="AQ41" s="62">
        <v>0</v>
      </c>
      <c r="AR41" s="62">
        <v>0</v>
      </c>
      <c r="AS41" s="62">
        <v>0</v>
      </c>
      <c r="AT41" s="62">
        <v>0</v>
      </c>
      <c r="AU41" s="62">
        <v>0</v>
      </c>
      <c r="AV41" s="62">
        <v>0</v>
      </c>
      <c r="AW41" s="62">
        <v>0</v>
      </c>
      <c r="AX41" s="62">
        <v>0</v>
      </c>
      <c r="AY41" s="62">
        <v>0</v>
      </c>
      <c r="AZ41" s="62">
        <v>0</v>
      </c>
      <c r="BA41" s="62">
        <v>0</v>
      </c>
      <c r="BB41" s="62"/>
      <c r="BC41" s="62">
        <v>0</v>
      </c>
      <c r="BD41" s="62">
        <v>0</v>
      </c>
      <c r="BE41" s="62">
        <v>0</v>
      </c>
      <c r="BF41" s="62">
        <v>0</v>
      </c>
      <c r="BG41" s="137">
        <v>0</v>
      </c>
      <c r="BH41" s="137">
        <v>0</v>
      </c>
      <c r="BI41" s="137">
        <v>0</v>
      </c>
      <c r="BJ41" s="137">
        <v>0</v>
      </c>
      <c r="BK41" s="137">
        <v>0</v>
      </c>
      <c r="BL41" s="137">
        <v>0</v>
      </c>
      <c r="BM41" s="137">
        <v>0</v>
      </c>
      <c r="BN41" s="137">
        <v>0</v>
      </c>
      <c r="BO41" s="137">
        <v>0</v>
      </c>
      <c r="BP41" s="137">
        <v>0</v>
      </c>
      <c r="BQ41" s="137">
        <v>0</v>
      </c>
      <c r="BR41" s="137">
        <v>0</v>
      </c>
      <c r="BS41" s="137">
        <v>0</v>
      </c>
      <c r="BT41" s="137">
        <v>0</v>
      </c>
      <c r="BU41" s="137">
        <v>0</v>
      </c>
      <c r="BV41" s="137">
        <v>0</v>
      </c>
      <c r="BW41" s="137">
        <v>0</v>
      </c>
      <c r="BX41" s="137">
        <v>0</v>
      </c>
    </row>
    <row r="42" spans="1:76" ht="15" hidden="1" customHeight="1" outlineLevel="1">
      <c r="A42" t="s">
        <v>18</v>
      </c>
      <c r="B42" s="38" t="s">
        <v>35</v>
      </c>
      <c r="C42" s="61">
        <v>0</v>
      </c>
      <c r="D42" s="61">
        <v>0</v>
      </c>
      <c r="E42" s="61">
        <v>0</v>
      </c>
      <c r="F42" s="61">
        <v>0</v>
      </c>
      <c r="G42" s="61">
        <v>0</v>
      </c>
      <c r="H42" s="61">
        <v>0</v>
      </c>
      <c r="I42" s="61">
        <v>0</v>
      </c>
      <c r="J42" s="61">
        <v>0</v>
      </c>
      <c r="K42" s="61">
        <v>0</v>
      </c>
      <c r="L42" s="61">
        <v>0</v>
      </c>
      <c r="M42" s="61">
        <v>0</v>
      </c>
      <c r="N42" s="61">
        <v>0</v>
      </c>
      <c r="O42" s="61">
        <v>0</v>
      </c>
      <c r="P42" s="61">
        <v>0</v>
      </c>
      <c r="Q42" s="61">
        <v>0</v>
      </c>
      <c r="R42" s="61">
        <v>0</v>
      </c>
      <c r="S42" s="61">
        <v>0</v>
      </c>
      <c r="T42" s="61">
        <v>0</v>
      </c>
      <c r="U42" s="61">
        <v>0</v>
      </c>
      <c r="V42" s="61">
        <v>0</v>
      </c>
      <c r="W42" s="61">
        <v>0</v>
      </c>
      <c r="X42" s="61">
        <v>0</v>
      </c>
      <c r="Y42" s="61">
        <v>0</v>
      </c>
      <c r="Z42" s="61">
        <v>0</v>
      </c>
      <c r="AA42" s="61">
        <v>0</v>
      </c>
      <c r="AB42" s="61">
        <v>0</v>
      </c>
      <c r="AC42" s="61">
        <v>0</v>
      </c>
      <c r="AD42" s="61">
        <v>0</v>
      </c>
      <c r="AE42" s="61">
        <v>0</v>
      </c>
      <c r="AF42" s="61">
        <v>0</v>
      </c>
      <c r="AG42" s="61">
        <v>0</v>
      </c>
      <c r="AH42" s="61">
        <v>0</v>
      </c>
      <c r="AI42" s="61">
        <v>0</v>
      </c>
      <c r="AJ42" s="61">
        <v>0</v>
      </c>
      <c r="AK42" s="61">
        <v>0</v>
      </c>
      <c r="AL42" s="62">
        <v>75975.600000000006</v>
      </c>
      <c r="AM42" s="62">
        <v>75975.600000000006</v>
      </c>
      <c r="AN42" s="62">
        <v>75975.600000000006</v>
      </c>
      <c r="AO42" s="62">
        <v>0</v>
      </c>
      <c r="AP42" s="62">
        <v>0</v>
      </c>
      <c r="AQ42" s="62">
        <v>0</v>
      </c>
      <c r="AR42" s="62">
        <v>0</v>
      </c>
      <c r="AS42" s="62">
        <v>0</v>
      </c>
      <c r="AT42" s="62">
        <v>0</v>
      </c>
      <c r="AU42" s="62">
        <v>0</v>
      </c>
      <c r="AV42" s="62">
        <v>0</v>
      </c>
      <c r="AW42" s="62">
        <v>0</v>
      </c>
      <c r="AX42" s="62">
        <v>0</v>
      </c>
      <c r="AY42" s="62">
        <v>0</v>
      </c>
      <c r="AZ42" s="62">
        <v>0</v>
      </c>
      <c r="BA42" s="62">
        <v>0</v>
      </c>
      <c r="BB42" s="62"/>
      <c r="BC42" s="62">
        <v>0</v>
      </c>
      <c r="BD42" s="62">
        <v>0</v>
      </c>
      <c r="BE42" s="62">
        <v>0</v>
      </c>
      <c r="BF42" s="62">
        <v>0</v>
      </c>
      <c r="BG42" s="137">
        <v>0</v>
      </c>
      <c r="BH42" s="137">
        <v>0</v>
      </c>
      <c r="BI42" s="137">
        <v>0</v>
      </c>
      <c r="BJ42" s="137">
        <v>0</v>
      </c>
      <c r="BK42" s="137">
        <v>0</v>
      </c>
      <c r="BL42" s="137">
        <v>0</v>
      </c>
      <c r="BM42" s="137">
        <v>0</v>
      </c>
      <c r="BN42" s="137">
        <v>0</v>
      </c>
      <c r="BO42" s="137">
        <v>0</v>
      </c>
      <c r="BP42" s="137">
        <v>0</v>
      </c>
      <c r="BQ42" s="137">
        <v>0</v>
      </c>
      <c r="BR42" s="137">
        <v>0</v>
      </c>
      <c r="BS42" s="137">
        <v>0</v>
      </c>
      <c r="BT42" s="137">
        <v>0</v>
      </c>
      <c r="BU42" s="137">
        <v>0</v>
      </c>
      <c r="BV42" s="137">
        <v>0</v>
      </c>
      <c r="BW42" s="137">
        <v>0</v>
      </c>
      <c r="BX42" s="137">
        <v>0</v>
      </c>
    </row>
    <row r="43" spans="1:76" ht="15" hidden="1" customHeight="1" outlineLevel="1">
      <c r="A43" t="s">
        <v>18</v>
      </c>
      <c r="B43" s="38" t="s">
        <v>36</v>
      </c>
      <c r="C43" s="61">
        <v>0</v>
      </c>
      <c r="D43" s="61">
        <v>0</v>
      </c>
      <c r="E43" s="61">
        <v>0</v>
      </c>
      <c r="F43" s="61">
        <v>0</v>
      </c>
      <c r="G43" s="61">
        <v>0</v>
      </c>
      <c r="H43" s="61">
        <v>0</v>
      </c>
      <c r="I43" s="61">
        <v>0</v>
      </c>
      <c r="J43" s="61">
        <v>0</v>
      </c>
      <c r="K43" s="61">
        <v>0</v>
      </c>
      <c r="L43" s="61">
        <v>0</v>
      </c>
      <c r="M43" s="61">
        <v>0</v>
      </c>
      <c r="N43" s="61">
        <v>0</v>
      </c>
      <c r="O43" s="61">
        <v>0</v>
      </c>
      <c r="P43" s="61">
        <v>0</v>
      </c>
      <c r="Q43" s="61">
        <v>0</v>
      </c>
      <c r="R43" s="61">
        <v>0</v>
      </c>
      <c r="S43" s="61">
        <v>0</v>
      </c>
      <c r="T43" s="61">
        <v>0</v>
      </c>
      <c r="U43" s="61">
        <v>0</v>
      </c>
      <c r="V43" s="61">
        <v>0</v>
      </c>
      <c r="W43" s="61">
        <v>0</v>
      </c>
      <c r="X43" s="61">
        <v>0</v>
      </c>
      <c r="Y43" s="61">
        <v>0</v>
      </c>
      <c r="Z43" s="61">
        <v>0</v>
      </c>
      <c r="AA43" s="61">
        <v>0</v>
      </c>
      <c r="AB43" s="61">
        <v>0</v>
      </c>
      <c r="AC43" s="61">
        <v>0</v>
      </c>
      <c r="AD43" s="61">
        <v>0</v>
      </c>
      <c r="AE43" s="61">
        <v>0</v>
      </c>
      <c r="AF43" s="61">
        <v>0</v>
      </c>
      <c r="AG43" s="61">
        <v>0</v>
      </c>
      <c r="AH43" s="61">
        <v>0</v>
      </c>
      <c r="AI43" s="61">
        <v>0</v>
      </c>
      <c r="AJ43" s="61">
        <v>0</v>
      </c>
      <c r="AK43" s="61">
        <v>0</v>
      </c>
      <c r="AL43" s="62">
        <v>33066.720000000001</v>
      </c>
      <c r="AM43" s="62">
        <v>33066.720000000001</v>
      </c>
      <c r="AN43" s="62">
        <v>33066.720000000001</v>
      </c>
      <c r="AO43" s="62">
        <v>0</v>
      </c>
      <c r="AP43" s="62">
        <v>0</v>
      </c>
      <c r="AQ43" s="62">
        <v>0</v>
      </c>
      <c r="AR43" s="62">
        <v>0</v>
      </c>
      <c r="AS43" s="62">
        <v>0</v>
      </c>
      <c r="AT43" s="62">
        <v>0</v>
      </c>
      <c r="AU43" s="62">
        <v>0</v>
      </c>
      <c r="AV43" s="62">
        <v>0</v>
      </c>
      <c r="AW43" s="62">
        <v>0</v>
      </c>
      <c r="AX43" s="62">
        <v>0</v>
      </c>
      <c r="AY43" s="62">
        <v>0</v>
      </c>
      <c r="AZ43" s="62">
        <v>0</v>
      </c>
      <c r="BA43" s="62">
        <v>0</v>
      </c>
      <c r="BB43" s="62"/>
      <c r="BC43" s="62">
        <v>0</v>
      </c>
      <c r="BD43" s="62">
        <v>0</v>
      </c>
      <c r="BE43" s="62">
        <v>0</v>
      </c>
      <c r="BF43" s="62">
        <v>0</v>
      </c>
      <c r="BG43" s="137">
        <v>0</v>
      </c>
      <c r="BH43" s="137">
        <v>0</v>
      </c>
      <c r="BI43" s="137">
        <v>0</v>
      </c>
      <c r="BJ43" s="137">
        <v>0</v>
      </c>
      <c r="BK43" s="137">
        <v>0</v>
      </c>
      <c r="BL43" s="137">
        <v>0</v>
      </c>
      <c r="BM43" s="137">
        <v>0</v>
      </c>
      <c r="BN43" s="137">
        <v>0</v>
      </c>
      <c r="BO43" s="137">
        <v>0</v>
      </c>
      <c r="BP43" s="137">
        <v>0</v>
      </c>
      <c r="BQ43" s="137">
        <v>0</v>
      </c>
      <c r="BR43" s="137">
        <v>0</v>
      </c>
      <c r="BS43" s="137">
        <v>0</v>
      </c>
      <c r="BT43" s="137">
        <v>0</v>
      </c>
      <c r="BU43" s="137">
        <v>0</v>
      </c>
      <c r="BV43" s="137">
        <v>0</v>
      </c>
      <c r="BW43" s="137">
        <v>0</v>
      </c>
      <c r="BX43" s="137">
        <v>0</v>
      </c>
    </row>
    <row r="44" spans="1:76" ht="15" hidden="1" customHeight="1" outlineLevel="1">
      <c r="A44" t="s">
        <v>18</v>
      </c>
      <c r="B44" s="82" t="s">
        <v>37</v>
      </c>
      <c r="C44" s="61">
        <v>0</v>
      </c>
      <c r="D44" s="61">
        <v>0</v>
      </c>
      <c r="E44" s="61">
        <v>0</v>
      </c>
      <c r="F44" s="61">
        <v>0</v>
      </c>
      <c r="G44" s="61">
        <v>0</v>
      </c>
      <c r="H44" s="61">
        <v>0</v>
      </c>
      <c r="I44" s="61">
        <v>0</v>
      </c>
      <c r="J44" s="61">
        <v>0</v>
      </c>
      <c r="K44" s="61">
        <v>0</v>
      </c>
      <c r="L44" s="61">
        <v>0</v>
      </c>
      <c r="M44" s="61">
        <v>0</v>
      </c>
      <c r="N44" s="61">
        <v>0</v>
      </c>
      <c r="O44" s="61">
        <v>0</v>
      </c>
      <c r="P44" s="61">
        <v>0</v>
      </c>
      <c r="Q44" s="61">
        <v>0</v>
      </c>
      <c r="R44" s="61">
        <v>0</v>
      </c>
      <c r="S44" s="61">
        <v>0</v>
      </c>
      <c r="T44" s="61">
        <v>0</v>
      </c>
      <c r="U44" s="61">
        <v>0</v>
      </c>
      <c r="V44" s="61">
        <v>0</v>
      </c>
      <c r="W44" s="61">
        <v>0</v>
      </c>
      <c r="X44" s="61">
        <v>0</v>
      </c>
      <c r="Y44" s="61">
        <v>0</v>
      </c>
      <c r="Z44" s="61">
        <v>0</v>
      </c>
      <c r="AA44" s="61">
        <v>0</v>
      </c>
      <c r="AB44" s="61">
        <v>0</v>
      </c>
      <c r="AC44" s="61">
        <v>0</v>
      </c>
      <c r="AD44" s="61">
        <v>0</v>
      </c>
      <c r="AE44" s="61">
        <v>0</v>
      </c>
      <c r="AF44" s="61">
        <v>0</v>
      </c>
      <c r="AG44" s="61">
        <v>0</v>
      </c>
      <c r="AH44" s="61">
        <v>0</v>
      </c>
      <c r="AI44" s="61">
        <v>0</v>
      </c>
      <c r="AJ44" s="61">
        <v>0</v>
      </c>
      <c r="AK44" s="61">
        <v>0</v>
      </c>
      <c r="AL44" s="62">
        <v>229372.81</v>
      </c>
      <c r="AM44" s="62">
        <v>229372.81</v>
      </c>
      <c r="AN44" s="62">
        <v>229372.81</v>
      </c>
      <c r="AO44" s="62">
        <v>0</v>
      </c>
      <c r="AP44" s="62">
        <v>0</v>
      </c>
      <c r="AQ44" s="62">
        <v>0</v>
      </c>
      <c r="AR44" s="62">
        <v>0</v>
      </c>
      <c r="AS44" s="62">
        <v>0</v>
      </c>
      <c r="AT44" s="62">
        <v>0</v>
      </c>
      <c r="AU44" s="62">
        <v>0</v>
      </c>
      <c r="AV44" s="62">
        <v>0</v>
      </c>
      <c r="AW44" s="62">
        <v>0</v>
      </c>
      <c r="AX44" s="62">
        <v>0</v>
      </c>
      <c r="AY44" s="62">
        <v>0</v>
      </c>
      <c r="AZ44" s="62">
        <v>0</v>
      </c>
      <c r="BA44" s="62">
        <v>0</v>
      </c>
      <c r="BB44" s="62"/>
      <c r="BC44" s="62">
        <v>0</v>
      </c>
      <c r="BD44" s="62">
        <v>0</v>
      </c>
      <c r="BE44" s="62">
        <v>0</v>
      </c>
      <c r="BF44" s="62">
        <v>0</v>
      </c>
      <c r="BG44" s="137">
        <v>0</v>
      </c>
      <c r="BH44" s="137">
        <v>0</v>
      </c>
      <c r="BI44" s="137">
        <v>0</v>
      </c>
      <c r="BJ44" s="137">
        <v>0</v>
      </c>
      <c r="BK44" s="137">
        <v>0</v>
      </c>
      <c r="BL44" s="137">
        <v>0</v>
      </c>
      <c r="BM44" s="137">
        <v>0</v>
      </c>
      <c r="BN44" s="137">
        <v>0</v>
      </c>
      <c r="BO44" s="137">
        <v>0</v>
      </c>
      <c r="BP44" s="137">
        <v>0</v>
      </c>
      <c r="BQ44" s="137">
        <v>0</v>
      </c>
      <c r="BR44" s="137">
        <v>0</v>
      </c>
      <c r="BS44" s="137">
        <v>0</v>
      </c>
      <c r="BT44" s="137">
        <v>0</v>
      </c>
      <c r="BU44" s="137">
        <v>0</v>
      </c>
      <c r="BV44" s="137">
        <v>0</v>
      </c>
      <c r="BW44" s="137">
        <v>0</v>
      </c>
      <c r="BX44" s="137">
        <v>0</v>
      </c>
    </row>
    <row r="45" spans="1:76" ht="15" hidden="1" customHeight="1" outlineLevel="1">
      <c r="A45" t="s">
        <v>18</v>
      </c>
      <c r="B45" s="82" t="s">
        <v>38</v>
      </c>
      <c r="C45" s="61">
        <v>0</v>
      </c>
      <c r="D45" s="61">
        <v>0</v>
      </c>
      <c r="E45" s="61">
        <v>0</v>
      </c>
      <c r="F45" s="61">
        <v>0</v>
      </c>
      <c r="G45" s="61">
        <v>0</v>
      </c>
      <c r="H45" s="61">
        <v>0</v>
      </c>
      <c r="I45" s="61">
        <v>0</v>
      </c>
      <c r="J45" s="61">
        <v>0</v>
      </c>
      <c r="K45" s="61">
        <v>0</v>
      </c>
      <c r="L45" s="61">
        <v>0</v>
      </c>
      <c r="M45" s="61">
        <v>0</v>
      </c>
      <c r="N45" s="61">
        <v>0</v>
      </c>
      <c r="O45" s="61">
        <v>0</v>
      </c>
      <c r="P45" s="61">
        <v>0</v>
      </c>
      <c r="Q45" s="61">
        <v>0</v>
      </c>
      <c r="R45" s="61">
        <v>0</v>
      </c>
      <c r="S45" s="61">
        <v>0</v>
      </c>
      <c r="T45" s="61">
        <v>0</v>
      </c>
      <c r="U45" s="61">
        <v>0</v>
      </c>
      <c r="V45" s="61">
        <v>0</v>
      </c>
      <c r="W45" s="61">
        <v>0</v>
      </c>
      <c r="X45" s="61">
        <v>0</v>
      </c>
      <c r="Y45" s="61">
        <v>0</v>
      </c>
      <c r="Z45" s="61">
        <v>165671.36000000002</v>
      </c>
      <c r="AA45" s="61">
        <v>165671.36000000002</v>
      </c>
      <c r="AB45" s="61">
        <v>165671.36000000002</v>
      </c>
      <c r="AC45" s="61">
        <v>229372.81</v>
      </c>
      <c r="AD45" s="61">
        <v>229372.81</v>
      </c>
      <c r="AE45" s="61">
        <v>229372.81</v>
      </c>
      <c r="AF45" s="61">
        <v>229372.81</v>
      </c>
      <c r="AG45" s="61">
        <v>229372.81</v>
      </c>
      <c r="AH45" s="61">
        <v>229372.81</v>
      </c>
      <c r="AI45" s="61">
        <v>229372.81</v>
      </c>
      <c r="AJ45" s="61">
        <v>229372.81</v>
      </c>
      <c r="AK45" s="61">
        <v>229372.81</v>
      </c>
      <c r="AL45" s="62">
        <v>229372.81</v>
      </c>
      <c r="AM45" s="62">
        <v>229372.81</v>
      </c>
      <c r="AN45" s="62">
        <v>229372.81</v>
      </c>
      <c r="AO45" s="62">
        <v>0</v>
      </c>
      <c r="AP45" s="62">
        <v>0</v>
      </c>
      <c r="AQ45" s="62">
        <v>0</v>
      </c>
      <c r="AR45" s="62">
        <v>0</v>
      </c>
      <c r="AS45" s="62">
        <v>0</v>
      </c>
      <c r="AT45" s="62">
        <v>0</v>
      </c>
      <c r="AU45" s="62">
        <v>0</v>
      </c>
      <c r="AV45" s="62">
        <v>0</v>
      </c>
      <c r="AW45" s="62">
        <v>0</v>
      </c>
      <c r="AX45" s="62">
        <v>0</v>
      </c>
      <c r="AY45" s="62">
        <v>0</v>
      </c>
      <c r="AZ45" s="62">
        <v>0</v>
      </c>
      <c r="BA45" s="62">
        <v>0</v>
      </c>
      <c r="BB45" s="62"/>
      <c r="BC45" s="62">
        <v>0</v>
      </c>
      <c r="BD45" s="62">
        <v>0</v>
      </c>
      <c r="BE45" s="62">
        <v>0</v>
      </c>
      <c r="BF45" s="62">
        <v>0</v>
      </c>
      <c r="BG45" s="137">
        <v>0</v>
      </c>
      <c r="BH45" s="137">
        <v>0</v>
      </c>
      <c r="BI45" s="137">
        <v>0</v>
      </c>
      <c r="BJ45" s="137">
        <v>0</v>
      </c>
      <c r="BK45" s="137">
        <v>0</v>
      </c>
      <c r="BL45" s="137">
        <v>0</v>
      </c>
      <c r="BM45" s="137">
        <v>0</v>
      </c>
      <c r="BN45" s="137">
        <v>0</v>
      </c>
      <c r="BO45" s="137">
        <v>0</v>
      </c>
      <c r="BP45" s="137">
        <v>0</v>
      </c>
      <c r="BQ45" s="137">
        <v>0</v>
      </c>
      <c r="BR45" s="137">
        <v>0</v>
      </c>
      <c r="BS45" s="137">
        <v>0</v>
      </c>
      <c r="BT45" s="137">
        <v>0</v>
      </c>
      <c r="BU45" s="137">
        <v>0</v>
      </c>
      <c r="BV45" s="137">
        <v>0</v>
      </c>
      <c r="BW45" s="137">
        <v>0</v>
      </c>
      <c r="BX45" s="137">
        <v>0</v>
      </c>
    </row>
    <row r="46" spans="1:76" ht="15" hidden="1" customHeight="1" outlineLevel="1">
      <c r="A46" t="s">
        <v>18</v>
      </c>
      <c r="B46" s="82" t="s">
        <v>39</v>
      </c>
      <c r="C46" s="61">
        <v>0</v>
      </c>
      <c r="D46" s="61">
        <v>0</v>
      </c>
      <c r="E46" s="61">
        <v>0</v>
      </c>
      <c r="F46" s="61">
        <v>0</v>
      </c>
      <c r="G46" s="61">
        <v>0</v>
      </c>
      <c r="H46" s="61">
        <v>0</v>
      </c>
      <c r="I46" s="61">
        <v>0</v>
      </c>
      <c r="J46" s="61">
        <v>0</v>
      </c>
      <c r="K46" s="61">
        <v>0</v>
      </c>
      <c r="L46" s="61">
        <v>0</v>
      </c>
      <c r="M46" s="61">
        <v>0</v>
      </c>
      <c r="N46" s="61">
        <v>0</v>
      </c>
      <c r="O46" s="61">
        <v>0</v>
      </c>
      <c r="P46" s="61">
        <v>0</v>
      </c>
      <c r="Q46" s="61">
        <v>0</v>
      </c>
      <c r="R46" s="61">
        <v>0</v>
      </c>
      <c r="S46" s="61">
        <v>0</v>
      </c>
      <c r="T46" s="61">
        <v>0</v>
      </c>
      <c r="U46" s="61">
        <v>0</v>
      </c>
      <c r="V46" s="61">
        <v>0</v>
      </c>
      <c r="W46" s="61">
        <v>0</v>
      </c>
      <c r="X46" s="61">
        <v>0</v>
      </c>
      <c r="Y46" s="61">
        <v>0</v>
      </c>
      <c r="Z46" s="61">
        <v>0</v>
      </c>
      <c r="AA46" s="61">
        <v>0</v>
      </c>
      <c r="AB46" s="61">
        <v>54453.350000000006</v>
      </c>
      <c r="AC46" s="61">
        <v>54453.350000000006</v>
      </c>
      <c r="AD46" s="61">
        <v>54453.350000000006</v>
      </c>
      <c r="AE46" s="61">
        <v>54453.350000000006</v>
      </c>
      <c r="AF46" s="61">
        <v>54453.350000000006</v>
      </c>
      <c r="AG46" s="61">
        <v>54453.350000000006</v>
      </c>
      <c r="AH46" s="61">
        <v>54453.350000000006</v>
      </c>
      <c r="AI46" s="61">
        <v>54453.350000000006</v>
      </c>
      <c r="AJ46" s="61">
        <v>54453.350000000006</v>
      </c>
      <c r="AK46" s="61">
        <v>54453.350000000006</v>
      </c>
      <c r="AL46" s="62">
        <v>54453.350000000006</v>
      </c>
      <c r="AM46" s="62">
        <v>54453.350000000006</v>
      </c>
      <c r="AN46" s="62">
        <v>54453.350000000006</v>
      </c>
      <c r="AO46" s="62">
        <v>0</v>
      </c>
      <c r="AP46" s="62">
        <v>0</v>
      </c>
      <c r="AQ46" s="62">
        <v>0</v>
      </c>
      <c r="AR46" s="62">
        <v>0</v>
      </c>
      <c r="AS46" s="62">
        <v>0</v>
      </c>
      <c r="AT46" s="62">
        <v>0</v>
      </c>
      <c r="AU46" s="62">
        <v>0</v>
      </c>
      <c r="AV46" s="62">
        <v>0</v>
      </c>
      <c r="AW46" s="62">
        <v>0</v>
      </c>
      <c r="AX46" s="62">
        <v>0</v>
      </c>
      <c r="AY46" s="62">
        <v>0</v>
      </c>
      <c r="AZ46" s="62">
        <v>0</v>
      </c>
      <c r="BA46" s="62">
        <v>0</v>
      </c>
      <c r="BB46" s="62"/>
      <c r="BC46" s="62">
        <v>0</v>
      </c>
      <c r="BD46" s="62">
        <v>0</v>
      </c>
      <c r="BE46" s="62">
        <v>0</v>
      </c>
      <c r="BF46" s="62">
        <v>0</v>
      </c>
      <c r="BG46" s="137">
        <v>0</v>
      </c>
      <c r="BH46" s="137">
        <v>0</v>
      </c>
      <c r="BI46" s="137">
        <v>0</v>
      </c>
      <c r="BJ46" s="137">
        <v>0</v>
      </c>
      <c r="BK46" s="137">
        <v>0</v>
      </c>
      <c r="BL46" s="137">
        <v>0</v>
      </c>
      <c r="BM46" s="137">
        <v>0</v>
      </c>
      <c r="BN46" s="137">
        <v>0</v>
      </c>
      <c r="BO46" s="137">
        <v>0</v>
      </c>
      <c r="BP46" s="137">
        <v>0</v>
      </c>
      <c r="BQ46" s="137">
        <v>0</v>
      </c>
      <c r="BR46" s="137">
        <v>0</v>
      </c>
      <c r="BS46" s="137">
        <v>0</v>
      </c>
      <c r="BT46" s="137">
        <v>0</v>
      </c>
      <c r="BU46" s="137">
        <v>0</v>
      </c>
      <c r="BV46" s="137">
        <v>0</v>
      </c>
      <c r="BW46" s="137">
        <v>0</v>
      </c>
      <c r="BX46" s="137">
        <v>0</v>
      </c>
    </row>
    <row r="47" spans="1:76" ht="15" hidden="1" customHeight="1" outlineLevel="1">
      <c r="A47" t="s">
        <v>18</v>
      </c>
      <c r="B47" s="82" t="s">
        <v>21</v>
      </c>
      <c r="C47" s="61">
        <v>0</v>
      </c>
      <c r="D47" s="61">
        <v>0</v>
      </c>
      <c r="E47" s="61">
        <v>0</v>
      </c>
      <c r="F47" s="61">
        <v>0</v>
      </c>
      <c r="G47" s="61">
        <v>0</v>
      </c>
      <c r="H47" s="61">
        <v>0</v>
      </c>
      <c r="I47" s="61">
        <v>0</v>
      </c>
      <c r="J47" s="61">
        <v>0</v>
      </c>
      <c r="K47" s="61">
        <v>0</v>
      </c>
      <c r="L47" s="61">
        <v>0</v>
      </c>
      <c r="M47" s="61">
        <v>0</v>
      </c>
      <c r="N47" s="61">
        <v>0</v>
      </c>
      <c r="O47" s="61">
        <v>0</v>
      </c>
      <c r="P47" s="61">
        <v>0</v>
      </c>
      <c r="Q47" s="61">
        <v>0</v>
      </c>
      <c r="R47" s="61">
        <v>0</v>
      </c>
      <c r="S47" s="61">
        <v>0</v>
      </c>
      <c r="T47" s="61">
        <v>0</v>
      </c>
      <c r="U47" s="61">
        <v>0</v>
      </c>
      <c r="V47" s="61">
        <v>0</v>
      </c>
      <c r="W47" s="61">
        <v>0</v>
      </c>
      <c r="X47" s="61">
        <v>0</v>
      </c>
      <c r="Y47" s="61">
        <v>0</v>
      </c>
      <c r="Z47" s="61">
        <v>0</v>
      </c>
      <c r="AA47" s="61">
        <v>0</v>
      </c>
      <c r="AB47" s="61">
        <v>0</v>
      </c>
      <c r="AC47" s="61">
        <v>0</v>
      </c>
      <c r="AD47" s="61">
        <v>0</v>
      </c>
      <c r="AE47" s="61">
        <v>0</v>
      </c>
      <c r="AF47" s="61">
        <v>0</v>
      </c>
      <c r="AG47" s="61">
        <v>0</v>
      </c>
      <c r="AH47" s="61">
        <v>0</v>
      </c>
      <c r="AI47" s="61">
        <v>0</v>
      </c>
      <c r="AJ47" s="61">
        <v>0</v>
      </c>
      <c r="AK47" s="61">
        <v>0</v>
      </c>
      <c r="AL47" s="62">
        <v>114075.18</v>
      </c>
      <c r="AM47" s="62">
        <v>114075.18</v>
      </c>
      <c r="AN47" s="62">
        <v>114075.18</v>
      </c>
      <c r="AO47" s="62">
        <v>0</v>
      </c>
      <c r="AP47" s="62">
        <v>0</v>
      </c>
      <c r="AQ47" s="62">
        <v>0</v>
      </c>
      <c r="AR47" s="62">
        <v>0</v>
      </c>
      <c r="AS47" s="62">
        <v>0</v>
      </c>
      <c r="AT47" s="62">
        <v>0</v>
      </c>
      <c r="AU47" s="62">
        <v>0</v>
      </c>
      <c r="AV47" s="62">
        <v>0</v>
      </c>
      <c r="AW47" s="62">
        <v>0</v>
      </c>
      <c r="AX47" s="62">
        <v>0</v>
      </c>
      <c r="AY47" s="62">
        <v>0</v>
      </c>
      <c r="AZ47" s="62">
        <v>0</v>
      </c>
      <c r="BA47" s="62">
        <v>0</v>
      </c>
      <c r="BB47" s="62"/>
      <c r="BC47" s="62">
        <v>0</v>
      </c>
      <c r="BD47" s="62">
        <v>0</v>
      </c>
      <c r="BE47" s="62">
        <v>0</v>
      </c>
      <c r="BF47" s="62">
        <v>0</v>
      </c>
      <c r="BG47" s="137">
        <v>0</v>
      </c>
      <c r="BH47" s="137">
        <v>0</v>
      </c>
      <c r="BI47" s="137">
        <v>0</v>
      </c>
      <c r="BJ47" s="137">
        <v>0</v>
      </c>
      <c r="BK47" s="137">
        <v>0</v>
      </c>
      <c r="BL47" s="137">
        <v>0</v>
      </c>
      <c r="BM47" s="137">
        <v>0</v>
      </c>
      <c r="BN47" s="137">
        <v>0</v>
      </c>
      <c r="BO47" s="137">
        <v>0</v>
      </c>
      <c r="BP47" s="137">
        <v>0</v>
      </c>
      <c r="BQ47" s="137">
        <v>0</v>
      </c>
      <c r="BR47" s="137">
        <v>0</v>
      </c>
      <c r="BS47" s="137">
        <v>0</v>
      </c>
      <c r="BT47" s="137">
        <v>0</v>
      </c>
      <c r="BU47" s="137">
        <v>0</v>
      </c>
      <c r="BV47" s="137">
        <v>0</v>
      </c>
      <c r="BW47" s="137">
        <v>0</v>
      </c>
      <c r="BX47" s="137">
        <v>0</v>
      </c>
    </row>
    <row r="48" spans="1:76" ht="15" hidden="1" customHeight="1" outlineLevel="1">
      <c r="A48" t="s">
        <v>18</v>
      </c>
      <c r="B48" s="82" t="s">
        <v>22</v>
      </c>
      <c r="C48" s="61">
        <v>0</v>
      </c>
      <c r="D48" s="61">
        <v>0</v>
      </c>
      <c r="E48" s="61">
        <v>0</v>
      </c>
      <c r="F48" s="61">
        <v>0</v>
      </c>
      <c r="G48" s="61">
        <v>0</v>
      </c>
      <c r="H48" s="61">
        <v>0</v>
      </c>
      <c r="I48" s="61">
        <v>0</v>
      </c>
      <c r="J48" s="61">
        <v>0</v>
      </c>
      <c r="K48" s="61">
        <v>0</v>
      </c>
      <c r="L48" s="61">
        <v>0</v>
      </c>
      <c r="M48" s="61">
        <v>0</v>
      </c>
      <c r="N48" s="61">
        <v>0</v>
      </c>
      <c r="O48" s="61">
        <v>0</v>
      </c>
      <c r="P48" s="61">
        <v>0</v>
      </c>
      <c r="Q48" s="61">
        <v>0</v>
      </c>
      <c r="R48" s="61">
        <v>0</v>
      </c>
      <c r="S48" s="61">
        <v>0</v>
      </c>
      <c r="T48" s="61">
        <v>0</v>
      </c>
      <c r="U48" s="61">
        <v>0</v>
      </c>
      <c r="V48" s="61">
        <v>0</v>
      </c>
      <c r="W48" s="61">
        <v>0</v>
      </c>
      <c r="X48" s="61">
        <v>0</v>
      </c>
      <c r="Y48" s="61">
        <v>0</v>
      </c>
      <c r="Z48" s="61">
        <v>0</v>
      </c>
      <c r="AA48" s="61">
        <v>0</v>
      </c>
      <c r="AB48" s="61">
        <v>0</v>
      </c>
      <c r="AC48" s="61">
        <v>0</v>
      </c>
      <c r="AD48" s="61">
        <v>0</v>
      </c>
      <c r="AE48" s="61">
        <v>0</v>
      </c>
      <c r="AF48" s="61">
        <v>0</v>
      </c>
      <c r="AG48" s="61">
        <v>0</v>
      </c>
      <c r="AH48" s="61">
        <v>0</v>
      </c>
      <c r="AI48" s="61">
        <v>0</v>
      </c>
      <c r="AJ48" s="61">
        <v>0</v>
      </c>
      <c r="AK48" s="61">
        <v>0</v>
      </c>
      <c r="AL48" s="62">
        <v>61008</v>
      </c>
      <c r="AM48" s="62">
        <v>61008</v>
      </c>
      <c r="AN48" s="62">
        <v>61008</v>
      </c>
      <c r="AO48" s="62">
        <v>0</v>
      </c>
      <c r="AP48" s="62">
        <v>0</v>
      </c>
      <c r="AQ48" s="62">
        <v>0</v>
      </c>
      <c r="AR48" s="62">
        <v>0</v>
      </c>
      <c r="AS48" s="62">
        <v>0</v>
      </c>
      <c r="AT48" s="62">
        <v>0</v>
      </c>
      <c r="AU48" s="62">
        <v>0</v>
      </c>
      <c r="AV48" s="62">
        <v>0</v>
      </c>
      <c r="AW48" s="62">
        <v>0</v>
      </c>
      <c r="AX48" s="62">
        <v>0</v>
      </c>
      <c r="AY48" s="62">
        <v>0</v>
      </c>
      <c r="AZ48" s="62">
        <v>0</v>
      </c>
      <c r="BA48" s="62">
        <v>0</v>
      </c>
      <c r="BB48" s="62"/>
      <c r="BC48" s="62">
        <v>0</v>
      </c>
      <c r="BD48" s="62">
        <v>0</v>
      </c>
      <c r="BE48" s="62">
        <v>0</v>
      </c>
      <c r="BF48" s="62">
        <v>0</v>
      </c>
      <c r="BG48" s="137">
        <v>0</v>
      </c>
      <c r="BH48" s="137">
        <v>0</v>
      </c>
      <c r="BI48" s="137">
        <v>0</v>
      </c>
      <c r="BJ48" s="137">
        <v>0</v>
      </c>
      <c r="BK48" s="137">
        <v>0</v>
      </c>
      <c r="BL48" s="137">
        <v>0</v>
      </c>
      <c r="BM48" s="137">
        <v>0</v>
      </c>
      <c r="BN48" s="137">
        <v>0</v>
      </c>
      <c r="BO48" s="137">
        <v>0</v>
      </c>
      <c r="BP48" s="137">
        <v>0</v>
      </c>
      <c r="BQ48" s="137">
        <v>0</v>
      </c>
      <c r="BR48" s="137">
        <v>0</v>
      </c>
      <c r="BS48" s="137">
        <v>0</v>
      </c>
      <c r="BT48" s="137">
        <v>0</v>
      </c>
      <c r="BU48" s="137">
        <v>0</v>
      </c>
      <c r="BV48" s="137">
        <v>0</v>
      </c>
      <c r="BW48" s="137">
        <v>0</v>
      </c>
      <c r="BX48" s="137">
        <v>0</v>
      </c>
    </row>
    <row r="49" spans="1:76" ht="15" hidden="1" customHeight="1" outlineLevel="1">
      <c r="A49" t="s">
        <v>18</v>
      </c>
      <c r="B49" s="82" t="s">
        <v>24</v>
      </c>
      <c r="C49" s="61">
        <v>0</v>
      </c>
      <c r="D49" s="61">
        <v>0</v>
      </c>
      <c r="E49" s="61">
        <v>0</v>
      </c>
      <c r="F49" s="61">
        <v>0</v>
      </c>
      <c r="G49" s="61">
        <v>0</v>
      </c>
      <c r="H49" s="61">
        <v>0</v>
      </c>
      <c r="I49" s="61">
        <v>0</v>
      </c>
      <c r="J49" s="61">
        <v>0</v>
      </c>
      <c r="K49" s="61">
        <v>0</v>
      </c>
      <c r="L49" s="61">
        <v>0</v>
      </c>
      <c r="M49" s="61">
        <v>0</v>
      </c>
      <c r="N49" s="61">
        <v>0</v>
      </c>
      <c r="O49" s="61">
        <v>0</v>
      </c>
      <c r="P49" s="61">
        <v>0</v>
      </c>
      <c r="Q49" s="61">
        <v>0</v>
      </c>
      <c r="R49" s="61">
        <v>0</v>
      </c>
      <c r="S49" s="61">
        <v>0</v>
      </c>
      <c r="T49" s="61">
        <v>0</v>
      </c>
      <c r="U49" s="61">
        <v>0</v>
      </c>
      <c r="V49" s="61">
        <v>0</v>
      </c>
      <c r="W49" s="61">
        <v>0</v>
      </c>
      <c r="X49" s="61">
        <v>0</v>
      </c>
      <c r="Y49" s="61">
        <v>0</v>
      </c>
      <c r="Z49" s="61">
        <v>0</v>
      </c>
      <c r="AA49" s="61">
        <v>0</v>
      </c>
      <c r="AB49" s="61">
        <v>0</v>
      </c>
      <c r="AC49" s="61">
        <v>0</v>
      </c>
      <c r="AD49" s="61">
        <v>0</v>
      </c>
      <c r="AE49" s="61">
        <v>0</v>
      </c>
      <c r="AF49" s="61">
        <v>0</v>
      </c>
      <c r="AG49" s="61">
        <v>0</v>
      </c>
      <c r="AH49" s="61">
        <v>0</v>
      </c>
      <c r="AI49" s="61">
        <v>0</v>
      </c>
      <c r="AJ49" s="61">
        <v>0</v>
      </c>
      <c r="AK49" s="61">
        <v>0</v>
      </c>
      <c r="AL49" s="61">
        <v>99471</v>
      </c>
      <c r="AM49" s="62">
        <v>153959</v>
      </c>
      <c r="AN49" s="62">
        <v>153959</v>
      </c>
      <c r="AO49" s="62">
        <v>0</v>
      </c>
      <c r="AP49" s="62">
        <v>0</v>
      </c>
      <c r="AQ49" s="62">
        <v>0</v>
      </c>
      <c r="AR49" s="62">
        <v>0</v>
      </c>
      <c r="AS49" s="62">
        <v>0</v>
      </c>
      <c r="AT49" s="62">
        <v>0</v>
      </c>
      <c r="AU49" s="62">
        <v>0</v>
      </c>
      <c r="AV49" s="62">
        <v>0</v>
      </c>
      <c r="AW49" s="62">
        <v>0</v>
      </c>
      <c r="AX49" s="62">
        <v>0</v>
      </c>
      <c r="AY49" s="62">
        <v>0</v>
      </c>
      <c r="AZ49" s="62">
        <v>0</v>
      </c>
      <c r="BA49" s="62">
        <v>0</v>
      </c>
      <c r="BB49" s="62"/>
      <c r="BC49" s="62">
        <v>0</v>
      </c>
      <c r="BD49" s="62">
        <v>0</v>
      </c>
      <c r="BE49" s="62">
        <v>0</v>
      </c>
      <c r="BF49" s="62">
        <v>0</v>
      </c>
      <c r="BG49" s="137">
        <v>0</v>
      </c>
      <c r="BH49" s="137">
        <v>0</v>
      </c>
      <c r="BI49" s="137">
        <v>0</v>
      </c>
      <c r="BJ49" s="137">
        <v>0</v>
      </c>
      <c r="BK49" s="137">
        <v>0</v>
      </c>
      <c r="BL49" s="137">
        <v>0</v>
      </c>
      <c r="BM49" s="137">
        <v>0</v>
      </c>
      <c r="BN49" s="137">
        <v>0</v>
      </c>
      <c r="BO49" s="137">
        <v>0</v>
      </c>
      <c r="BP49" s="137">
        <v>0</v>
      </c>
      <c r="BQ49" s="137">
        <v>0</v>
      </c>
      <c r="BR49" s="137">
        <v>0</v>
      </c>
      <c r="BS49" s="137">
        <v>0</v>
      </c>
      <c r="BT49" s="137">
        <v>0</v>
      </c>
      <c r="BU49" s="137">
        <v>0</v>
      </c>
      <c r="BV49" s="137">
        <v>0</v>
      </c>
      <c r="BW49" s="137">
        <v>0</v>
      </c>
      <c r="BX49" s="137">
        <v>0</v>
      </c>
    </row>
    <row r="50" spans="1:76" s="15" customFormat="1" ht="15" customHeight="1" collapsed="1" thickBot="1">
      <c r="A50" s="15" t="s">
        <v>18</v>
      </c>
      <c r="B50" s="80" t="str">
        <f>IF('Sumário | Summary'!P1=1,"Outros","Others")</f>
        <v>Outros</v>
      </c>
      <c r="C50" s="128">
        <f t="shared" ref="C50:BN50" si="11">SUM(C51:C51)</f>
        <v>0</v>
      </c>
      <c r="D50" s="128">
        <f t="shared" si="11"/>
        <v>0</v>
      </c>
      <c r="E50" s="128">
        <f t="shared" si="11"/>
        <v>0</v>
      </c>
      <c r="F50" s="128">
        <f t="shared" si="11"/>
        <v>0</v>
      </c>
      <c r="G50" s="128">
        <f t="shared" si="11"/>
        <v>0</v>
      </c>
      <c r="H50" s="128">
        <f t="shared" si="11"/>
        <v>0</v>
      </c>
      <c r="I50" s="128">
        <f t="shared" si="11"/>
        <v>0</v>
      </c>
      <c r="J50" s="128">
        <f t="shared" si="11"/>
        <v>0</v>
      </c>
      <c r="K50" s="128">
        <f t="shared" si="11"/>
        <v>0</v>
      </c>
      <c r="L50" s="128">
        <f t="shared" si="11"/>
        <v>0</v>
      </c>
      <c r="M50" s="128">
        <f t="shared" si="11"/>
        <v>0</v>
      </c>
      <c r="N50" s="128">
        <f t="shared" si="11"/>
        <v>0</v>
      </c>
      <c r="O50" s="128">
        <f t="shared" si="11"/>
        <v>0</v>
      </c>
      <c r="P50" s="128">
        <f t="shared" si="11"/>
        <v>0</v>
      </c>
      <c r="Q50" s="128">
        <f t="shared" si="11"/>
        <v>0</v>
      </c>
      <c r="R50" s="128">
        <f t="shared" si="11"/>
        <v>0</v>
      </c>
      <c r="S50" s="128">
        <f t="shared" si="11"/>
        <v>0</v>
      </c>
      <c r="T50" s="128">
        <f t="shared" si="11"/>
        <v>0</v>
      </c>
      <c r="U50" s="128">
        <f t="shared" si="11"/>
        <v>0</v>
      </c>
      <c r="V50" s="128">
        <f t="shared" si="11"/>
        <v>0</v>
      </c>
      <c r="W50" s="128">
        <f t="shared" si="11"/>
        <v>47930</v>
      </c>
      <c r="X50" s="128">
        <f t="shared" si="11"/>
        <v>47930</v>
      </c>
      <c r="Y50" s="128">
        <f t="shared" si="11"/>
        <v>47930</v>
      </c>
      <c r="Z50" s="128">
        <f t="shared" si="11"/>
        <v>47930</v>
      </c>
      <c r="AA50" s="128">
        <f t="shared" si="11"/>
        <v>47930</v>
      </c>
      <c r="AB50" s="128">
        <f t="shared" si="11"/>
        <v>45540</v>
      </c>
      <c r="AC50" s="128">
        <f t="shared" si="11"/>
        <v>45540</v>
      </c>
      <c r="AD50" s="128">
        <f t="shared" si="11"/>
        <v>45540</v>
      </c>
      <c r="AE50" s="128">
        <f t="shared" si="11"/>
        <v>45540</v>
      </c>
      <c r="AF50" s="128">
        <f t="shared" si="11"/>
        <v>45540</v>
      </c>
      <c r="AG50" s="128">
        <f t="shared" si="11"/>
        <v>45540</v>
      </c>
      <c r="AH50" s="128">
        <f t="shared" si="11"/>
        <v>45650</v>
      </c>
      <c r="AI50" s="128">
        <f t="shared" si="11"/>
        <v>45650</v>
      </c>
      <c r="AJ50" s="128">
        <f t="shared" si="11"/>
        <v>45650</v>
      </c>
      <c r="AK50" s="128">
        <f t="shared" si="11"/>
        <v>45650</v>
      </c>
      <c r="AL50" s="128">
        <f t="shared" si="11"/>
        <v>45714</v>
      </c>
      <c r="AM50" s="128">
        <f t="shared" si="11"/>
        <v>45872.2</v>
      </c>
      <c r="AN50" s="128">
        <f t="shared" si="11"/>
        <v>45872.2</v>
      </c>
      <c r="AO50" s="128">
        <f t="shared" si="11"/>
        <v>45872.2</v>
      </c>
      <c r="AP50" s="128">
        <f t="shared" si="11"/>
        <v>45872.2</v>
      </c>
      <c r="AQ50" s="128">
        <f t="shared" si="11"/>
        <v>45872.2</v>
      </c>
      <c r="AR50" s="128">
        <f t="shared" si="11"/>
        <v>45844.480000000003</v>
      </c>
      <c r="AS50" s="128">
        <f t="shared" si="11"/>
        <v>45844.480000000003</v>
      </c>
      <c r="AT50" s="128">
        <f t="shared" si="11"/>
        <v>45844.480000000003</v>
      </c>
      <c r="AU50" s="128">
        <f t="shared" si="11"/>
        <v>45844</v>
      </c>
      <c r="AV50" s="128">
        <f t="shared" si="11"/>
        <v>45844</v>
      </c>
      <c r="AW50" s="128">
        <f t="shared" si="11"/>
        <v>45844</v>
      </c>
      <c r="AX50" s="128">
        <f t="shared" si="11"/>
        <v>45844</v>
      </c>
      <c r="AY50" s="128">
        <f t="shared" si="11"/>
        <v>45844</v>
      </c>
      <c r="AZ50" s="128">
        <f t="shared" si="11"/>
        <v>45844</v>
      </c>
      <c r="BA50" s="128">
        <f t="shared" si="11"/>
        <v>45844.480000000003</v>
      </c>
      <c r="BB50" s="128">
        <f t="shared" si="11"/>
        <v>45844</v>
      </c>
      <c r="BC50" s="128">
        <f t="shared" si="11"/>
        <v>45808.480000000003</v>
      </c>
      <c r="BD50" s="128">
        <f t="shared" si="11"/>
        <v>45808.480000000003</v>
      </c>
      <c r="BE50" s="128">
        <f t="shared" si="11"/>
        <v>45808.480000000003</v>
      </c>
      <c r="BF50" s="128">
        <f t="shared" si="11"/>
        <v>45808.480000000003</v>
      </c>
      <c r="BG50" s="128">
        <f t="shared" si="11"/>
        <v>45808.480000000003</v>
      </c>
      <c r="BH50" s="128">
        <f t="shared" si="11"/>
        <v>45808.480000000003</v>
      </c>
      <c r="BI50" s="128">
        <f t="shared" si="11"/>
        <v>45808.480000000003</v>
      </c>
      <c r="BJ50" s="128">
        <f t="shared" si="11"/>
        <v>45808.480000000003</v>
      </c>
      <c r="BK50" s="128">
        <f t="shared" si="11"/>
        <v>45808.480000000003</v>
      </c>
      <c r="BL50" s="128">
        <f t="shared" si="11"/>
        <v>45810.479999999996</v>
      </c>
      <c r="BM50" s="128">
        <f t="shared" si="11"/>
        <v>45808.5</v>
      </c>
      <c r="BN50" s="128">
        <f t="shared" si="11"/>
        <v>45808.5</v>
      </c>
      <c r="BO50" s="128">
        <f t="shared" ref="BO50" si="12">SUM(BO51:BO51)</f>
        <v>45808.5</v>
      </c>
      <c r="BP50" s="128">
        <v>45808.5</v>
      </c>
      <c r="BQ50" s="128">
        <v>45808.5</v>
      </c>
      <c r="BR50" s="128">
        <v>45808.5</v>
      </c>
      <c r="BS50" s="128">
        <v>45808.5</v>
      </c>
      <c r="BT50" s="128">
        <v>45808.5</v>
      </c>
      <c r="BU50" s="128">
        <v>45808.5</v>
      </c>
      <c r="BV50" s="128">
        <v>45808.499999999993</v>
      </c>
      <c r="BW50" s="128">
        <v>45808.499999999993</v>
      </c>
      <c r="BX50" s="128">
        <f>SUM(BX51:BX51)</f>
        <v>45808.499999999993</v>
      </c>
    </row>
    <row r="51" spans="1:76" ht="15" hidden="1" customHeight="1" outlineLevel="1" thickBot="1">
      <c r="A51" t="s">
        <v>205</v>
      </c>
      <c r="B51" s="38" t="s">
        <v>25</v>
      </c>
      <c r="C51" s="61">
        <v>0</v>
      </c>
      <c r="D51" s="61">
        <v>0</v>
      </c>
      <c r="E51" s="61">
        <v>0</v>
      </c>
      <c r="F51" s="61">
        <v>0</v>
      </c>
      <c r="G51" s="61">
        <v>0</v>
      </c>
      <c r="H51" s="61">
        <v>0</v>
      </c>
      <c r="I51" s="61">
        <v>0</v>
      </c>
      <c r="J51" s="61">
        <v>0</v>
      </c>
      <c r="K51" s="61">
        <v>0</v>
      </c>
      <c r="L51" s="61">
        <v>0</v>
      </c>
      <c r="M51" s="61">
        <v>0</v>
      </c>
      <c r="N51" s="61">
        <v>0</v>
      </c>
      <c r="O51" s="61">
        <v>0</v>
      </c>
      <c r="P51" s="61">
        <v>0</v>
      </c>
      <c r="Q51" s="61">
        <v>0</v>
      </c>
      <c r="R51" s="61">
        <v>0</v>
      </c>
      <c r="S51" s="61">
        <v>0</v>
      </c>
      <c r="T51" s="61">
        <v>0</v>
      </c>
      <c r="U51" s="61">
        <v>0</v>
      </c>
      <c r="V51" s="61">
        <v>0</v>
      </c>
      <c r="W51" s="61">
        <v>47930</v>
      </c>
      <c r="X51" s="61">
        <v>47930</v>
      </c>
      <c r="Y51" s="61">
        <v>47930</v>
      </c>
      <c r="Z51" s="61">
        <v>47930</v>
      </c>
      <c r="AA51" s="61">
        <v>47930</v>
      </c>
      <c r="AB51" s="61">
        <v>45540</v>
      </c>
      <c r="AC51" s="61">
        <v>45540</v>
      </c>
      <c r="AD51" s="61">
        <v>45540</v>
      </c>
      <c r="AE51" s="61">
        <v>45540</v>
      </c>
      <c r="AF51" s="61">
        <v>45540</v>
      </c>
      <c r="AG51" s="61">
        <v>45540</v>
      </c>
      <c r="AH51" s="61">
        <v>45650</v>
      </c>
      <c r="AI51" s="61">
        <v>45650</v>
      </c>
      <c r="AJ51" s="62">
        <v>45650</v>
      </c>
      <c r="AK51" s="62">
        <v>45650</v>
      </c>
      <c r="AL51" s="62">
        <v>45714</v>
      </c>
      <c r="AM51" s="62">
        <v>45872.2</v>
      </c>
      <c r="AN51" s="62">
        <v>45872.2</v>
      </c>
      <c r="AO51" s="62">
        <v>45872.2</v>
      </c>
      <c r="AP51" s="62">
        <v>45872.2</v>
      </c>
      <c r="AQ51" s="62">
        <v>45872.2</v>
      </c>
      <c r="AR51" s="62">
        <v>45844.480000000003</v>
      </c>
      <c r="AS51" s="62">
        <v>45844.480000000003</v>
      </c>
      <c r="AT51" s="62">
        <v>45844.480000000003</v>
      </c>
      <c r="AU51" s="137">
        <v>45844</v>
      </c>
      <c r="AV51" s="137">
        <v>45844</v>
      </c>
      <c r="AW51" s="137">
        <v>45844</v>
      </c>
      <c r="AX51" s="137">
        <v>45844</v>
      </c>
      <c r="AY51" s="137">
        <v>45844</v>
      </c>
      <c r="AZ51" s="137">
        <v>45844</v>
      </c>
      <c r="BA51" s="137">
        <v>45844.480000000003</v>
      </c>
      <c r="BB51" s="137">
        <v>45844</v>
      </c>
      <c r="BC51" s="62">
        <v>45808.480000000003</v>
      </c>
      <c r="BD51" s="62">
        <v>45808.480000000003</v>
      </c>
      <c r="BE51" s="62">
        <v>45808.480000000003</v>
      </c>
      <c r="BF51" s="62">
        <v>45808.480000000003</v>
      </c>
      <c r="BG51" s="137">
        <v>45808.480000000003</v>
      </c>
      <c r="BH51" s="137">
        <v>45808.480000000003</v>
      </c>
      <c r="BI51" s="137">
        <v>45808.480000000003</v>
      </c>
      <c r="BJ51" s="137">
        <v>45808.480000000003</v>
      </c>
      <c r="BK51" s="137">
        <v>45808.480000000003</v>
      </c>
      <c r="BL51" s="137">
        <v>45810.479999999996</v>
      </c>
      <c r="BM51" s="137">
        <v>45808.5</v>
      </c>
      <c r="BN51" s="137">
        <v>45808.5</v>
      </c>
      <c r="BO51" s="137">
        <v>45808.5</v>
      </c>
      <c r="BP51" s="137">
        <v>45808.5</v>
      </c>
      <c r="BQ51" s="137">
        <v>45808.5</v>
      </c>
      <c r="BR51" s="137">
        <v>45808.5</v>
      </c>
      <c r="BS51" s="137">
        <v>45808.5</v>
      </c>
      <c r="BT51" s="137">
        <v>45808.5</v>
      </c>
      <c r="BU51" s="137">
        <v>45808.5</v>
      </c>
      <c r="BV51" s="137">
        <v>45808.499999999993</v>
      </c>
      <c r="BW51" s="137">
        <v>45808.499999999993</v>
      </c>
      <c r="BX51" s="137">
        <v>45808.499999999993</v>
      </c>
    </row>
    <row r="52" spans="1:76" s="15" customFormat="1" ht="15" customHeight="1" collapsed="1" thickTop="1" thickBot="1">
      <c r="B52" s="139" t="s">
        <v>14</v>
      </c>
      <c r="C52" s="129">
        <f t="shared" ref="C52:BN52" si="13">C7+C29+C38+C50</f>
        <v>171067.856</v>
      </c>
      <c r="D52" s="129">
        <f t="shared" si="13"/>
        <v>186094.41999999998</v>
      </c>
      <c r="E52" s="129">
        <f t="shared" si="13"/>
        <v>186094.41999999998</v>
      </c>
      <c r="F52" s="129">
        <f t="shared" si="13"/>
        <v>186094.41999999998</v>
      </c>
      <c r="G52" s="129">
        <f t="shared" si="13"/>
        <v>193400.41999999998</v>
      </c>
      <c r="H52" s="129">
        <f t="shared" si="13"/>
        <v>193145.41999999998</v>
      </c>
      <c r="I52" s="129">
        <f t="shared" si="13"/>
        <v>193442.41999999998</v>
      </c>
      <c r="J52" s="129">
        <f t="shared" si="13"/>
        <v>196358.41999999998</v>
      </c>
      <c r="K52" s="129">
        <f t="shared" si="13"/>
        <v>194559.41999999998</v>
      </c>
      <c r="L52" s="129">
        <f t="shared" si="13"/>
        <v>191844.41999999998</v>
      </c>
      <c r="M52" s="129">
        <f t="shared" si="13"/>
        <v>192691.41999999998</v>
      </c>
      <c r="N52" s="129">
        <f t="shared" si="13"/>
        <v>192691.41999999998</v>
      </c>
      <c r="O52" s="129">
        <f t="shared" si="13"/>
        <v>192691.41999999998</v>
      </c>
      <c r="P52" s="129">
        <f t="shared" si="13"/>
        <v>190925.41999999998</v>
      </c>
      <c r="Q52" s="129">
        <f t="shared" si="13"/>
        <v>190925.41999999998</v>
      </c>
      <c r="R52" s="129">
        <f t="shared" si="13"/>
        <v>190925.41999999998</v>
      </c>
      <c r="S52" s="129">
        <f t="shared" si="13"/>
        <v>190925.41999999998</v>
      </c>
      <c r="T52" s="129">
        <f t="shared" si="13"/>
        <v>190925.41999999998</v>
      </c>
      <c r="U52" s="129">
        <f t="shared" si="13"/>
        <v>190925.41999999998</v>
      </c>
      <c r="V52" s="129">
        <f t="shared" si="13"/>
        <v>205459.41999999998</v>
      </c>
      <c r="W52" s="129">
        <f t="shared" si="13"/>
        <v>253389.41999999998</v>
      </c>
      <c r="X52" s="129">
        <f t="shared" si="13"/>
        <v>248877.47</v>
      </c>
      <c r="Y52" s="129">
        <f t="shared" si="13"/>
        <v>259762.60029999999</v>
      </c>
      <c r="Z52" s="129">
        <f t="shared" si="13"/>
        <v>504768.96030000004</v>
      </c>
      <c r="AA52" s="129">
        <f t="shared" si="13"/>
        <v>504768.96030000004</v>
      </c>
      <c r="AB52" s="129">
        <f t="shared" si="13"/>
        <v>556832.31030000001</v>
      </c>
      <c r="AC52" s="129">
        <f t="shared" si="13"/>
        <v>640520.42975216196</v>
      </c>
      <c r="AD52" s="129">
        <f t="shared" si="13"/>
        <v>640518.88872078271</v>
      </c>
      <c r="AE52" s="129">
        <f t="shared" si="13"/>
        <v>640518.88872078271</v>
      </c>
      <c r="AF52" s="129">
        <f t="shared" si="13"/>
        <v>655543.4606597448</v>
      </c>
      <c r="AG52" s="129">
        <f t="shared" si="13"/>
        <v>655542.77575104474</v>
      </c>
      <c r="AH52" s="129">
        <f t="shared" si="13"/>
        <v>654558.5857510448</v>
      </c>
      <c r="AI52" s="129">
        <f t="shared" si="13"/>
        <v>635543.58534031291</v>
      </c>
      <c r="AJ52" s="129">
        <f t="shared" si="13"/>
        <v>681667.0029310782</v>
      </c>
      <c r="AK52" s="129">
        <f t="shared" si="13"/>
        <v>668744.45427490515</v>
      </c>
      <c r="AL52" s="129">
        <f t="shared" si="13"/>
        <v>1480367.1090770545</v>
      </c>
      <c r="AM52" s="129">
        <f t="shared" si="13"/>
        <v>1533430.1139317111</v>
      </c>
      <c r="AN52" s="129">
        <f t="shared" si="13"/>
        <v>1549264.3859999997</v>
      </c>
      <c r="AO52" s="129">
        <f t="shared" si="13"/>
        <v>467737.09600000002</v>
      </c>
      <c r="AP52" s="129">
        <f t="shared" si="13"/>
        <v>469288.06599999999</v>
      </c>
      <c r="AQ52" s="129">
        <f t="shared" si="13"/>
        <v>440567.95600000001</v>
      </c>
      <c r="AR52" s="129">
        <f t="shared" si="13"/>
        <v>429628.83599999989</v>
      </c>
      <c r="AS52" s="129">
        <f t="shared" si="13"/>
        <v>429359.58600000001</v>
      </c>
      <c r="AT52" s="129">
        <f t="shared" si="13"/>
        <v>430303.70600000001</v>
      </c>
      <c r="AU52" s="129">
        <f t="shared" si="13"/>
        <v>504665.57</v>
      </c>
      <c r="AV52" s="129">
        <f t="shared" si="13"/>
        <v>516586.97666666663</v>
      </c>
      <c r="AW52" s="129">
        <f t="shared" si="13"/>
        <v>517435.98666666663</v>
      </c>
      <c r="AX52" s="129">
        <f t="shared" si="13"/>
        <v>532939.44666666677</v>
      </c>
      <c r="AY52" s="129">
        <f t="shared" si="13"/>
        <v>532985.42333333334</v>
      </c>
      <c r="AZ52" s="129">
        <f t="shared" si="13"/>
        <v>532999.66</v>
      </c>
      <c r="BA52" s="129">
        <f t="shared" si="13"/>
        <v>515810.57999999996</v>
      </c>
      <c r="BB52" s="129">
        <f t="shared" si="13"/>
        <v>516056.02333333332</v>
      </c>
      <c r="BC52" s="129">
        <f t="shared" si="13"/>
        <v>515834.82999999996</v>
      </c>
      <c r="BD52" s="129">
        <f t="shared" si="13"/>
        <v>515820.31999999995</v>
      </c>
      <c r="BE52" s="129">
        <f t="shared" si="13"/>
        <v>517062.80921237415</v>
      </c>
      <c r="BF52" s="129">
        <f t="shared" si="13"/>
        <v>383435.95921237417</v>
      </c>
      <c r="BG52" s="129">
        <f t="shared" si="13"/>
        <v>383384.9358790408</v>
      </c>
      <c r="BH52" s="129">
        <f t="shared" si="13"/>
        <v>383390.45587904082</v>
      </c>
      <c r="BI52" s="129">
        <f t="shared" si="13"/>
        <v>383428.31254570751</v>
      </c>
      <c r="BJ52" s="129">
        <f t="shared" si="13"/>
        <v>383464.71254570747</v>
      </c>
      <c r="BK52" s="129">
        <f t="shared" si="13"/>
        <v>383701.03921237419</v>
      </c>
      <c r="BL52" s="129">
        <f t="shared" si="13"/>
        <v>383859.29921237414</v>
      </c>
      <c r="BM52" s="129">
        <f t="shared" si="13"/>
        <v>384060.46597904083</v>
      </c>
      <c r="BN52" s="129">
        <f t="shared" si="13"/>
        <v>409966.73931237409</v>
      </c>
      <c r="BO52" s="129">
        <f t="shared" ref="BO52" si="14">BO7+BO29+BO38+BO50</f>
        <v>409977.77931237413</v>
      </c>
      <c r="BP52" s="129">
        <v>408999.89931237418</v>
      </c>
      <c r="BQ52" s="129">
        <v>381544.23839352536</v>
      </c>
      <c r="BR52" s="129">
        <v>383050.15264570748</v>
      </c>
      <c r="BS52" s="129">
        <v>382995.99931237422</v>
      </c>
      <c r="BT52" s="129">
        <v>411688.70931237424</v>
      </c>
      <c r="BU52" s="129">
        <v>411645.02931237419</v>
      </c>
      <c r="BV52" s="129">
        <v>409192.19931237417</v>
      </c>
      <c r="BW52" s="129">
        <v>426014.80931237416</v>
      </c>
      <c r="BX52" s="129">
        <f>BX7+BX29+BX38+BX50</f>
        <v>426017.52264570748</v>
      </c>
    </row>
    <row r="53" spans="1:76">
      <c r="AC53" s="63"/>
      <c r="BE53" s="208"/>
      <c r="BF53" s="208"/>
      <c r="BG53" s="208"/>
      <c r="BH53" s="208"/>
      <c r="BI53" s="208"/>
      <c r="BJ53" s="208"/>
      <c r="BK53" s="208"/>
      <c r="BL53" s="208"/>
      <c r="BM53" s="208"/>
      <c r="BN53" s="208"/>
      <c r="BO53" s="208"/>
      <c r="BP53" s="208"/>
      <c r="BQ53" s="208"/>
      <c r="BR53" s="208"/>
      <c r="BS53" s="208"/>
      <c r="BT53" s="208"/>
      <c r="BU53" s="208"/>
      <c r="BV53" s="208"/>
      <c r="BW53" s="208"/>
      <c r="BX53" s="208"/>
    </row>
    <row r="54" spans="1:76" s="7" customFormat="1" ht="18.75" customHeight="1">
      <c r="B54" s="190" t="str">
        <f>IF('Sumário | Summary'!P1=1,"ABL Total da SPE/Fundo (m²) ¹","SPE/Fund Total Area  (sqm) ¹")</f>
        <v>ABL Total da SPE/Fundo (m²) ¹</v>
      </c>
      <c r="C54" s="191" t="str">
        <f t="shared" ref="C54:BH54" si="15">C6</f>
        <v>1T08</v>
      </c>
      <c r="D54" s="191" t="str">
        <f t="shared" si="15"/>
        <v>2T08</v>
      </c>
      <c r="E54" s="191" t="str">
        <f t="shared" si="15"/>
        <v>3T08</v>
      </c>
      <c r="F54" s="191" t="str">
        <f t="shared" si="15"/>
        <v>4T08</v>
      </c>
      <c r="G54" s="191" t="str">
        <f t="shared" si="15"/>
        <v>1T09</v>
      </c>
      <c r="H54" s="191" t="str">
        <f t="shared" si="15"/>
        <v>2T09</v>
      </c>
      <c r="I54" s="191" t="str">
        <f t="shared" si="15"/>
        <v>3T09</v>
      </c>
      <c r="J54" s="191" t="str">
        <f t="shared" si="15"/>
        <v>4T09</v>
      </c>
      <c r="K54" s="191" t="str">
        <f t="shared" si="15"/>
        <v>1T10</v>
      </c>
      <c r="L54" s="191" t="str">
        <f t="shared" si="15"/>
        <v>2T10</v>
      </c>
      <c r="M54" s="191" t="str">
        <f t="shared" si="15"/>
        <v>3T10</v>
      </c>
      <c r="N54" s="191" t="str">
        <f t="shared" si="15"/>
        <v>4T10</v>
      </c>
      <c r="O54" s="191" t="str">
        <f t="shared" si="15"/>
        <v>1T11</v>
      </c>
      <c r="P54" s="191" t="str">
        <f t="shared" si="15"/>
        <v>2T11</v>
      </c>
      <c r="Q54" s="191" t="str">
        <f t="shared" si="15"/>
        <v>3T11</v>
      </c>
      <c r="R54" s="191" t="str">
        <f t="shared" si="15"/>
        <v>4T11</v>
      </c>
      <c r="S54" s="191" t="str">
        <f t="shared" si="15"/>
        <v>1T12</v>
      </c>
      <c r="T54" s="191" t="str">
        <f t="shared" si="15"/>
        <v>2T12</v>
      </c>
      <c r="U54" s="191" t="str">
        <f t="shared" si="15"/>
        <v>3T12</v>
      </c>
      <c r="V54" s="191" t="str">
        <f t="shared" si="15"/>
        <v>4T12</v>
      </c>
      <c r="W54" s="191" t="str">
        <f t="shared" si="15"/>
        <v>1T13</v>
      </c>
      <c r="X54" s="191" t="str">
        <f t="shared" si="15"/>
        <v>2T13</v>
      </c>
      <c r="Y54" s="191" t="str">
        <f t="shared" si="15"/>
        <v>3T13</v>
      </c>
      <c r="Z54" s="191" t="str">
        <f t="shared" si="15"/>
        <v>4T13</v>
      </c>
      <c r="AA54" s="191" t="str">
        <f t="shared" si="15"/>
        <v>1T14</v>
      </c>
      <c r="AB54" s="191" t="str">
        <f t="shared" si="15"/>
        <v>2T14</v>
      </c>
      <c r="AC54" s="191" t="str">
        <f t="shared" si="15"/>
        <v>3T14</v>
      </c>
      <c r="AD54" s="191" t="str">
        <f t="shared" si="15"/>
        <v>4T14</v>
      </c>
      <c r="AE54" s="191" t="str">
        <f t="shared" si="15"/>
        <v>1T15</v>
      </c>
      <c r="AF54" s="191" t="str">
        <f t="shared" si="15"/>
        <v>2T15</v>
      </c>
      <c r="AG54" s="191" t="str">
        <f t="shared" si="15"/>
        <v>3T15</v>
      </c>
      <c r="AH54" s="191" t="str">
        <f t="shared" si="15"/>
        <v>4T15</v>
      </c>
      <c r="AI54" s="191" t="str">
        <f t="shared" si="15"/>
        <v>1T16</v>
      </c>
      <c r="AJ54" s="191" t="str">
        <f t="shared" si="15"/>
        <v>2T16</v>
      </c>
      <c r="AK54" s="191" t="str">
        <f t="shared" si="15"/>
        <v>3T16</v>
      </c>
      <c r="AL54" s="191" t="str">
        <f t="shared" si="15"/>
        <v>4T16</v>
      </c>
      <c r="AM54" s="191" t="str">
        <f t="shared" si="15"/>
        <v>1T17</v>
      </c>
      <c r="AN54" s="191" t="str">
        <f t="shared" si="15"/>
        <v>2T17</v>
      </c>
      <c r="AO54" s="191" t="str">
        <f t="shared" si="15"/>
        <v>3T17</v>
      </c>
      <c r="AP54" s="191" t="str">
        <f t="shared" si="15"/>
        <v>4T17</v>
      </c>
      <c r="AQ54" s="191" t="str">
        <f t="shared" si="15"/>
        <v>1T18</v>
      </c>
      <c r="AR54" s="191" t="str">
        <f t="shared" si="15"/>
        <v>2T18</v>
      </c>
      <c r="AS54" s="191" t="str">
        <f t="shared" si="15"/>
        <v>3T18</v>
      </c>
      <c r="AT54" s="191" t="str">
        <f t="shared" si="15"/>
        <v>4T18</v>
      </c>
      <c r="AU54" s="191" t="str">
        <f t="shared" si="15"/>
        <v>1T19</v>
      </c>
      <c r="AV54" s="191" t="str">
        <f t="shared" si="15"/>
        <v>2T19</v>
      </c>
      <c r="AW54" s="191" t="str">
        <f t="shared" si="15"/>
        <v>3T19</v>
      </c>
      <c r="AX54" s="191" t="str">
        <f t="shared" si="15"/>
        <v>4T19</v>
      </c>
      <c r="AY54" s="191" t="str">
        <f t="shared" si="15"/>
        <v>1T20</v>
      </c>
      <c r="AZ54" s="191" t="str">
        <f t="shared" si="15"/>
        <v>2T20</v>
      </c>
      <c r="BA54" s="191" t="str">
        <f t="shared" si="15"/>
        <v>3T20</v>
      </c>
      <c r="BB54" s="191" t="str">
        <f t="shared" si="15"/>
        <v>4T20</v>
      </c>
      <c r="BC54" s="191" t="str">
        <f t="shared" si="15"/>
        <v>1T21</v>
      </c>
      <c r="BD54" s="191" t="str">
        <f t="shared" si="15"/>
        <v>2T21</v>
      </c>
      <c r="BE54" s="191" t="str">
        <f t="shared" si="15"/>
        <v>3T21</v>
      </c>
      <c r="BF54" s="191" t="str">
        <f t="shared" si="15"/>
        <v>4T21</v>
      </c>
      <c r="BG54" s="191" t="str">
        <f t="shared" si="15"/>
        <v>1T22</v>
      </c>
      <c r="BH54" s="191" t="str">
        <f t="shared" si="15"/>
        <v>2T22</v>
      </c>
      <c r="BI54" s="191" t="str">
        <f t="shared" ref="BI54:BM54" si="16">BI6</f>
        <v>3T22</v>
      </c>
      <c r="BJ54" s="191" t="str">
        <f t="shared" si="16"/>
        <v>4T22</v>
      </c>
      <c r="BK54" s="191" t="str">
        <f t="shared" si="16"/>
        <v>1T23</v>
      </c>
      <c r="BL54" s="191" t="str">
        <f t="shared" si="16"/>
        <v>2T23</v>
      </c>
      <c r="BM54" s="191" t="str">
        <f t="shared" si="16"/>
        <v>3T23</v>
      </c>
      <c r="BN54" s="191" t="s">
        <v>312</v>
      </c>
      <c r="BO54" s="191" t="s">
        <v>318</v>
      </c>
      <c r="BP54" s="191" t="s">
        <v>320</v>
      </c>
      <c r="BQ54" s="191" t="s">
        <v>328</v>
      </c>
      <c r="BR54" s="191" t="s">
        <v>330</v>
      </c>
      <c r="BS54" s="191" t="s">
        <v>332</v>
      </c>
      <c r="BT54" s="191" t="s">
        <v>333</v>
      </c>
      <c r="BU54" s="191" t="s">
        <v>334</v>
      </c>
      <c r="BV54" s="191" t="s">
        <v>335</v>
      </c>
      <c r="BW54" s="191" t="s">
        <v>336</v>
      </c>
      <c r="BX54" s="191" t="str">
        <f t="shared" ref="BX54" si="17">BX6</f>
        <v>2T26</v>
      </c>
    </row>
    <row r="55" spans="1:76" s="15" customFormat="1" ht="15" customHeight="1">
      <c r="B55" s="136" t="str">
        <f>IF('Sumário | Summary'!P1=1,"Escritórios","Offices")</f>
        <v>Escritórios</v>
      </c>
      <c r="C55" s="128">
        <f t="shared" ref="C55:BN55" si="18">C56+C68</f>
        <v>76887.076000000001</v>
      </c>
      <c r="D55" s="128">
        <f t="shared" si="18"/>
        <v>91913.639999999985</v>
      </c>
      <c r="E55" s="128">
        <f t="shared" si="18"/>
        <v>91913.639999999985</v>
      </c>
      <c r="F55" s="128">
        <f t="shared" si="18"/>
        <v>91913.639999999985</v>
      </c>
      <c r="G55" s="128">
        <f t="shared" si="18"/>
        <v>99219.639999999985</v>
      </c>
      <c r="H55" s="128">
        <f t="shared" si="18"/>
        <v>98964.639999999985</v>
      </c>
      <c r="I55" s="128">
        <f t="shared" si="18"/>
        <v>98964.639999999985</v>
      </c>
      <c r="J55" s="128">
        <f t="shared" si="18"/>
        <v>98193.639999999985</v>
      </c>
      <c r="K55" s="128">
        <f t="shared" si="18"/>
        <v>96394.639999999985</v>
      </c>
      <c r="L55" s="128">
        <f t="shared" si="18"/>
        <v>93679.639999999985</v>
      </c>
      <c r="M55" s="128">
        <f t="shared" si="18"/>
        <v>93679.639999999985</v>
      </c>
      <c r="N55" s="128">
        <f t="shared" si="18"/>
        <v>93679.639999999985</v>
      </c>
      <c r="O55" s="128">
        <f t="shared" si="18"/>
        <v>93679.639999999985</v>
      </c>
      <c r="P55" s="128">
        <f t="shared" si="18"/>
        <v>91913.639999999985</v>
      </c>
      <c r="Q55" s="128">
        <f t="shared" si="18"/>
        <v>91913.639999999985</v>
      </c>
      <c r="R55" s="128">
        <f t="shared" si="18"/>
        <v>91913.639999999985</v>
      </c>
      <c r="S55" s="128">
        <f t="shared" si="18"/>
        <v>91913.639999999985</v>
      </c>
      <c r="T55" s="128">
        <f t="shared" si="18"/>
        <v>91913.639999999985</v>
      </c>
      <c r="U55" s="128">
        <f t="shared" si="18"/>
        <v>91913.639999999985</v>
      </c>
      <c r="V55" s="128">
        <f t="shared" si="18"/>
        <v>91913.639999999985</v>
      </c>
      <c r="W55" s="128">
        <f t="shared" si="18"/>
        <v>91913.639999999985</v>
      </c>
      <c r="X55" s="128">
        <f t="shared" si="18"/>
        <v>91913.69</v>
      </c>
      <c r="Y55" s="128">
        <f t="shared" si="18"/>
        <v>102798.98999999999</v>
      </c>
      <c r="Z55" s="128">
        <f t="shared" si="18"/>
        <v>102798.98999999999</v>
      </c>
      <c r="AA55" s="128">
        <f t="shared" si="18"/>
        <v>102798.98999999999</v>
      </c>
      <c r="AB55" s="128">
        <f t="shared" si="18"/>
        <v>102798.98999999999</v>
      </c>
      <c r="AC55" s="128">
        <f t="shared" si="18"/>
        <v>121801.25490870001</v>
      </c>
      <c r="AD55" s="128">
        <f t="shared" si="18"/>
        <v>121801.20490869999</v>
      </c>
      <c r="AE55" s="128">
        <f t="shared" si="18"/>
        <v>121801.20490869999</v>
      </c>
      <c r="AF55" s="128">
        <f t="shared" si="18"/>
        <v>118957.56490870001</v>
      </c>
      <c r="AG55" s="128">
        <f t="shared" si="18"/>
        <v>118956.88</v>
      </c>
      <c r="AH55" s="128">
        <f t="shared" si="18"/>
        <v>118956.88</v>
      </c>
      <c r="AI55" s="128">
        <f t="shared" si="18"/>
        <v>99955.299999999988</v>
      </c>
      <c r="AJ55" s="128">
        <f t="shared" si="18"/>
        <v>99955.299999999988</v>
      </c>
      <c r="AK55" s="128">
        <f t="shared" si="18"/>
        <v>99955.06</v>
      </c>
      <c r="AL55" s="128">
        <f t="shared" si="18"/>
        <v>89370</v>
      </c>
      <c r="AM55" s="128">
        <f t="shared" si="18"/>
        <v>87786.016000000003</v>
      </c>
      <c r="AN55" s="128">
        <f t="shared" si="18"/>
        <v>104074.59599999999</v>
      </c>
      <c r="AO55" s="128">
        <f t="shared" si="18"/>
        <v>104075.016</v>
      </c>
      <c r="AP55" s="128">
        <f t="shared" si="18"/>
        <v>104075.016</v>
      </c>
      <c r="AQ55" s="128">
        <f t="shared" si="18"/>
        <v>104075.016</v>
      </c>
      <c r="AR55" s="128">
        <f t="shared" si="18"/>
        <v>104075.016</v>
      </c>
      <c r="AS55" s="128">
        <f t="shared" si="18"/>
        <v>104075.016</v>
      </c>
      <c r="AT55" s="128">
        <f t="shared" si="18"/>
        <v>104903.14600000001</v>
      </c>
      <c r="AU55" s="128">
        <f t="shared" si="18"/>
        <v>115488.14599999999</v>
      </c>
      <c r="AV55" s="128">
        <f t="shared" si="18"/>
        <v>117065.14600000001</v>
      </c>
      <c r="AW55" s="128">
        <f t="shared" si="18"/>
        <v>127070.14599999999</v>
      </c>
      <c r="AX55" s="128">
        <f t="shared" si="18"/>
        <v>155021.87599999999</v>
      </c>
      <c r="AY55" s="128">
        <f t="shared" si="18"/>
        <v>155021.87599999999</v>
      </c>
      <c r="AZ55" s="128">
        <f t="shared" si="18"/>
        <v>156638.56599999999</v>
      </c>
      <c r="BA55" s="128">
        <f t="shared" si="18"/>
        <v>155054.33600000001</v>
      </c>
      <c r="BB55" s="128">
        <f t="shared" si="18"/>
        <v>156956.39600000001</v>
      </c>
      <c r="BC55" s="128">
        <f t="shared" si="18"/>
        <v>156956.45600000001</v>
      </c>
      <c r="BD55" s="128">
        <f t="shared" si="18"/>
        <v>156956.45600000001</v>
      </c>
      <c r="BE55" s="128">
        <f t="shared" si="18"/>
        <v>156956.21521237417</v>
      </c>
      <c r="BF55" s="128">
        <f t="shared" si="18"/>
        <v>88014.889212374139</v>
      </c>
      <c r="BG55" s="128">
        <f t="shared" si="18"/>
        <v>89604.289212374162</v>
      </c>
      <c r="BH55" s="128">
        <f t="shared" si="18"/>
        <v>89603.939212374156</v>
      </c>
      <c r="BI55" s="128">
        <f t="shared" si="18"/>
        <v>89603.939212374156</v>
      </c>
      <c r="BJ55" s="128">
        <f t="shared" si="18"/>
        <v>89603.939212374156</v>
      </c>
      <c r="BK55" s="128">
        <f t="shared" si="18"/>
        <v>89603.939212374156</v>
      </c>
      <c r="BL55" s="128">
        <f t="shared" si="18"/>
        <v>89603.939212374156</v>
      </c>
      <c r="BM55" s="128">
        <f t="shared" si="18"/>
        <v>89604.239312374149</v>
      </c>
      <c r="BN55" s="128">
        <f t="shared" si="18"/>
        <v>85754.239312374149</v>
      </c>
      <c r="BO55" s="128">
        <f t="shared" ref="BO55" si="19">BO56+BO68</f>
        <v>85754.239312374149</v>
      </c>
      <c r="BP55" s="128">
        <v>85754.239312374149</v>
      </c>
      <c r="BQ55" s="128">
        <v>85753.939312374161</v>
      </c>
      <c r="BR55" s="128">
        <v>85926.819312374166</v>
      </c>
      <c r="BS55" s="128">
        <v>78615.429312374152</v>
      </c>
      <c r="BT55" s="128">
        <v>77845.809312374156</v>
      </c>
      <c r="BU55" s="128">
        <v>76691.379312374163</v>
      </c>
      <c r="BV55" s="128">
        <v>75921.758777735595</v>
      </c>
      <c r="BW55" s="128">
        <v>75921.758777735595</v>
      </c>
      <c r="BX55" s="128">
        <f>BX56+BX68</f>
        <v>75922.049619257392</v>
      </c>
    </row>
    <row r="56" spans="1:76" s="15" customFormat="1" ht="15" customHeight="1">
      <c r="B56" s="81" t="str">
        <f>IF('Sumário | Summary'!P1=1,"Escritórios AAA","Triple A Offices")</f>
        <v>Escritórios AAA</v>
      </c>
      <c r="C56" s="128">
        <f t="shared" ref="C56:BN56" si="20">SUM(C57:C67)</f>
        <v>39315.885999999999</v>
      </c>
      <c r="D56" s="128">
        <f t="shared" si="20"/>
        <v>50492.45</v>
      </c>
      <c r="E56" s="128">
        <f t="shared" si="20"/>
        <v>50492.45</v>
      </c>
      <c r="F56" s="128">
        <f t="shared" si="20"/>
        <v>50492.45</v>
      </c>
      <c r="G56" s="128">
        <f t="shared" si="20"/>
        <v>57798.45</v>
      </c>
      <c r="H56" s="128">
        <f t="shared" si="20"/>
        <v>57543.45</v>
      </c>
      <c r="I56" s="128">
        <f t="shared" si="20"/>
        <v>57543.45</v>
      </c>
      <c r="J56" s="128">
        <f t="shared" si="20"/>
        <v>56772.45</v>
      </c>
      <c r="K56" s="128">
        <f t="shared" si="20"/>
        <v>54973.45</v>
      </c>
      <c r="L56" s="128">
        <f t="shared" si="20"/>
        <v>52258.45</v>
      </c>
      <c r="M56" s="128">
        <f t="shared" si="20"/>
        <v>52258.45</v>
      </c>
      <c r="N56" s="128">
        <f t="shared" si="20"/>
        <v>52258.45</v>
      </c>
      <c r="O56" s="128">
        <f t="shared" si="20"/>
        <v>52258.45</v>
      </c>
      <c r="P56" s="128">
        <f t="shared" si="20"/>
        <v>50492.45</v>
      </c>
      <c r="Q56" s="128">
        <f t="shared" si="20"/>
        <v>50492.45</v>
      </c>
      <c r="R56" s="128">
        <f t="shared" si="20"/>
        <v>50492.45</v>
      </c>
      <c r="S56" s="128">
        <f t="shared" si="20"/>
        <v>50492.45</v>
      </c>
      <c r="T56" s="128">
        <f t="shared" si="20"/>
        <v>50492.45</v>
      </c>
      <c r="U56" s="128">
        <f t="shared" si="20"/>
        <v>50492.45</v>
      </c>
      <c r="V56" s="128">
        <f t="shared" si="20"/>
        <v>50492.45</v>
      </c>
      <c r="W56" s="128">
        <f t="shared" si="20"/>
        <v>50492.45</v>
      </c>
      <c r="X56" s="128">
        <f t="shared" si="20"/>
        <v>50492.45</v>
      </c>
      <c r="Y56" s="128">
        <f t="shared" si="20"/>
        <v>61377.75</v>
      </c>
      <c r="Z56" s="128">
        <f t="shared" si="20"/>
        <v>61377.75</v>
      </c>
      <c r="AA56" s="128">
        <f t="shared" si="20"/>
        <v>61377.75</v>
      </c>
      <c r="AB56" s="128">
        <f t="shared" si="20"/>
        <v>61377.75</v>
      </c>
      <c r="AC56" s="128">
        <f t="shared" si="20"/>
        <v>80380.014908700003</v>
      </c>
      <c r="AD56" s="128">
        <f t="shared" si="20"/>
        <v>80380.014908700003</v>
      </c>
      <c r="AE56" s="128">
        <f t="shared" si="20"/>
        <v>80380.014908700003</v>
      </c>
      <c r="AF56" s="128">
        <f t="shared" si="20"/>
        <v>80380.014908700003</v>
      </c>
      <c r="AG56" s="128">
        <f t="shared" si="20"/>
        <v>80379.75</v>
      </c>
      <c r="AH56" s="128">
        <f t="shared" si="20"/>
        <v>80379.75</v>
      </c>
      <c r="AI56" s="128">
        <f t="shared" si="20"/>
        <v>61377.75</v>
      </c>
      <c r="AJ56" s="128">
        <f t="shared" si="20"/>
        <v>61377.75</v>
      </c>
      <c r="AK56" s="128">
        <f t="shared" si="20"/>
        <v>61377.75</v>
      </c>
      <c r="AL56" s="128">
        <f t="shared" si="20"/>
        <v>61377.75</v>
      </c>
      <c r="AM56" s="128">
        <f t="shared" si="20"/>
        <v>59793.525999999998</v>
      </c>
      <c r="AN56" s="128">
        <f t="shared" si="20"/>
        <v>76082.525999999998</v>
      </c>
      <c r="AO56" s="128">
        <f t="shared" si="20"/>
        <v>76082.525999999998</v>
      </c>
      <c r="AP56" s="128">
        <f t="shared" si="20"/>
        <v>76082.525999999998</v>
      </c>
      <c r="AQ56" s="128">
        <f t="shared" si="20"/>
        <v>76082.525999999998</v>
      </c>
      <c r="AR56" s="128">
        <f t="shared" si="20"/>
        <v>76082.525999999998</v>
      </c>
      <c r="AS56" s="128">
        <f t="shared" si="20"/>
        <v>76082.525999999998</v>
      </c>
      <c r="AT56" s="128">
        <f t="shared" si="20"/>
        <v>76910.656000000003</v>
      </c>
      <c r="AU56" s="128">
        <f t="shared" si="20"/>
        <v>76910.656000000003</v>
      </c>
      <c r="AV56" s="128">
        <f t="shared" si="20"/>
        <v>76910.656000000003</v>
      </c>
      <c r="AW56" s="128">
        <f t="shared" si="20"/>
        <v>76910.656000000003</v>
      </c>
      <c r="AX56" s="128">
        <f t="shared" si="20"/>
        <v>107785.746</v>
      </c>
      <c r="AY56" s="128">
        <f t="shared" si="20"/>
        <v>107785.746</v>
      </c>
      <c r="AZ56" s="128">
        <f t="shared" si="20"/>
        <v>109402.436</v>
      </c>
      <c r="BA56" s="128">
        <f t="shared" si="20"/>
        <v>107818.20600000001</v>
      </c>
      <c r="BB56" s="128">
        <f t="shared" si="20"/>
        <v>109720.266</v>
      </c>
      <c r="BC56" s="128">
        <f t="shared" si="20"/>
        <v>109720.266</v>
      </c>
      <c r="BD56" s="128">
        <f t="shared" si="20"/>
        <v>109720.266</v>
      </c>
      <c r="BE56" s="128">
        <f t="shared" si="20"/>
        <v>109720.02521237417</v>
      </c>
      <c r="BF56" s="128">
        <f t="shared" si="20"/>
        <v>40778.759212374149</v>
      </c>
      <c r="BG56" s="128">
        <f t="shared" si="20"/>
        <v>42368.099212374153</v>
      </c>
      <c r="BH56" s="128">
        <f t="shared" si="20"/>
        <v>42367.699212374151</v>
      </c>
      <c r="BI56" s="128">
        <f t="shared" si="20"/>
        <v>42367.699212374151</v>
      </c>
      <c r="BJ56" s="128">
        <f t="shared" si="20"/>
        <v>42367.699212374151</v>
      </c>
      <c r="BK56" s="128">
        <f t="shared" si="20"/>
        <v>42367.699212374151</v>
      </c>
      <c r="BL56" s="128">
        <f t="shared" si="20"/>
        <v>42367.699212374151</v>
      </c>
      <c r="BM56" s="128">
        <f t="shared" si="20"/>
        <v>42367.999312374151</v>
      </c>
      <c r="BN56" s="128">
        <f t="shared" si="20"/>
        <v>42367.999312374151</v>
      </c>
      <c r="BO56" s="128">
        <f t="shared" ref="BO56" si="21">SUM(BO57:BO67)</f>
        <v>42367.999312374151</v>
      </c>
      <c r="BP56" s="128">
        <v>42367.999312374151</v>
      </c>
      <c r="BQ56" s="128">
        <v>42367.699312374156</v>
      </c>
      <c r="BR56" s="128">
        <v>42540.579312374153</v>
      </c>
      <c r="BS56" s="128">
        <v>42540.579312374153</v>
      </c>
      <c r="BT56" s="128">
        <v>42540.579312374153</v>
      </c>
      <c r="BU56" s="128">
        <v>42540.579312374153</v>
      </c>
      <c r="BV56" s="128">
        <v>42540.578777735594</v>
      </c>
      <c r="BW56" s="128">
        <v>42540.578777735594</v>
      </c>
      <c r="BX56" s="128">
        <f>SUM(BX57:BX67)</f>
        <v>42540.869619257384</v>
      </c>
    </row>
    <row r="57" spans="1:76" ht="15" hidden="1" customHeight="1" outlineLevel="1">
      <c r="A57" t="s">
        <v>18</v>
      </c>
      <c r="B57" s="172" t="s">
        <v>2</v>
      </c>
      <c r="C57" s="137">
        <v>4466.7</v>
      </c>
      <c r="D57" s="137">
        <v>4466.7</v>
      </c>
      <c r="E57" s="137">
        <v>4466.7</v>
      </c>
      <c r="F57" s="137">
        <v>4466.7</v>
      </c>
      <c r="G57" s="137">
        <v>4466.7</v>
      </c>
      <c r="H57" s="137">
        <v>4466.7</v>
      </c>
      <c r="I57" s="137">
        <v>4466.7</v>
      </c>
      <c r="J57" s="137">
        <v>4466.7</v>
      </c>
      <c r="K57" s="137">
        <v>4466.7</v>
      </c>
      <c r="L57" s="137">
        <v>4466.7</v>
      </c>
      <c r="M57" s="137">
        <v>4466.7</v>
      </c>
      <c r="N57" s="137">
        <v>4466.7</v>
      </c>
      <c r="O57" s="137">
        <v>4466.7</v>
      </c>
      <c r="P57" s="137">
        <v>4466.7</v>
      </c>
      <c r="Q57" s="137">
        <v>4466.7</v>
      </c>
      <c r="R57" s="137">
        <v>4466.7</v>
      </c>
      <c r="S57" s="137">
        <v>4466.7</v>
      </c>
      <c r="T57" s="137">
        <v>4466.7</v>
      </c>
      <c r="U57" s="137">
        <v>4466.7</v>
      </c>
      <c r="V57" s="137">
        <v>4466.7</v>
      </c>
      <c r="W57" s="137">
        <v>4466.7</v>
      </c>
      <c r="X57" s="137">
        <v>4466.7</v>
      </c>
      <c r="Y57" s="137">
        <v>4466.7</v>
      </c>
      <c r="Z57" s="137">
        <v>4466.7</v>
      </c>
      <c r="AA57" s="137">
        <v>4466.7</v>
      </c>
      <c r="AB57" s="137">
        <v>4466.7</v>
      </c>
      <c r="AC57" s="137">
        <v>4466.7</v>
      </c>
      <c r="AD57" s="137">
        <v>4466.7</v>
      </c>
      <c r="AE57" s="137">
        <v>4466.7</v>
      </c>
      <c r="AF57" s="137">
        <v>4466.7</v>
      </c>
      <c r="AG57" s="137">
        <v>4466.7</v>
      </c>
      <c r="AH57" s="137">
        <v>4466.7</v>
      </c>
      <c r="AI57" s="137">
        <v>4466.7</v>
      </c>
      <c r="AJ57" s="137">
        <v>4466.7</v>
      </c>
      <c r="AK57" s="137">
        <v>4466.7</v>
      </c>
      <c r="AL57" s="62">
        <v>4466.7</v>
      </c>
      <c r="AM57" s="62">
        <v>4466.7</v>
      </c>
      <c r="AN57" s="62">
        <v>4466.7</v>
      </c>
      <c r="AO57" s="62">
        <v>4466.7</v>
      </c>
      <c r="AP57" s="62">
        <v>4466.7</v>
      </c>
      <c r="AQ57" s="62">
        <v>4466.7</v>
      </c>
      <c r="AR57" s="62">
        <v>4466.7</v>
      </c>
      <c r="AS57" s="62">
        <v>4466.7</v>
      </c>
      <c r="AT57" s="62">
        <v>4466.7</v>
      </c>
      <c r="AU57" s="62">
        <v>4466.7</v>
      </c>
      <c r="AV57" s="62">
        <v>4466.7</v>
      </c>
      <c r="AW57" s="62">
        <v>4466.7</v>
      </c>
      <c r="AX57" s="62">
        <v>4466.7</v>
      </c>
      <c r="AY57" s="62">
        <v>4466.7</v>
      </c>
      <c r="AZ57" s="62">
        <v>4466.7</v>
      </c>
      <c r="BA57" s="62">
        <v>4466.7</v>
      </c>
      <c r="BB57" s="62">
        <v>4466.7</v>
      </c>
      <c r="BC57" s="62">
        <v>4466.7</v>
      </c>
      <c r="BD57" s="62">
        <v>4466.7</v>
      </c>
      <c r="BE57" s="62">
        <v>4466.7</v>
      </c>
      <c r="BF57" s="62">
        <v>0</v>
      </c>
      <c r="BG57" s="137">
        <v>0</v>
      </c>
      <c r="BH57" s="137">
        <v>0</v>
      </c>
      <c r="BI57" s="137">
        <v>0</v>
      </c>
      <c r="BJ57" s="137">
        <v>0</v>
      </c>
      <c r="BK57" s="137">
        <v>0</v>
      </c>
      <c r="BL57" s="137">
        <v>0</v>
      </c>
      <c r="BM57" s="137">
        <v>0</v>
      </c>
      <c r="BN57" s="137">
        <v>0</v>
      </c>
      <c r="BO57" s="137">
        <v>0</v>
      </c>
      <c r="BP57" s="137">
        <v>0</v>
      </c>
      <c r="BQ57" s="137">
        <v>0</v>
      </c>
      <c r="BR57" s="137">
        <v>0</v>
      </c>
      <c r="BS57" s="137">
        <v>0</v>
      </c>
      <c r="BT57" s="137">
        <v>0</v>
      </c>
      <c r="BU57" s="137">
        <v>0</v>
      </c>
      <c r="BV57" s="137">
        <v>0</v>
      </c>
      <c r="BW57" s="137">
        <v>0</v>
      </c>
      <c r="BX57" s="137">
        <v>0</v>
      </c>
    </row>
    <row r="58" spans="1:76" ht="15" hidden="1" customHeight="1" outlineLevel="1">
      <c r="A58" t="s">
        <v>18</v>
      </c>
      <c r="B58" s="38" t="s">
        <v>3</v>
      </c>
      <c r="C58" s="62">
        <v>3168.46</v>
      </c>
      <c r="D58" s="62">
        <v>3168.46</v>
      </c>
      <c r="E58" s="62">
        <v>3168.46</v>
      </c>
      <c r="F58" s="62">
        <v>3168.46</v>
      </c>
      <c r="G58" s="62">
        <v>3168.46</v>
      </c>
      <c r="H58" s="62">
        <v>3168.46</v>
      </c>
      <c r="I58" s="62">
        <v>3168.46</v>
      </c>
      <c r="J58" s="62">
        <v>3168.46</v>
      </c>
      <c r="K58" s="62">
        <v>3168.46</v>
      </c>
      <c r="L58" s="62">
        <v>3168.46</v>
      </c>
      <c r="M58" s="62">
        <v>3168.46</v>
      </c>
      <c r="N58" s="62">
        <v>3168.46</v>
      </c>
      <c r="O58" s="62">
        <v>3168.46</v>
      </c>
      <c r="P58" s="62">
        <v>3168.46</v>
      </c>
      <c r="Q58" s="62">
        <v>3168.46</v>
      </c>
      <c r="R58" s="62">
        <v>3168.46</v>
      </c>
      <c r="S58" s="62">
        <v>3168.46</v>
      </c>
      <c r="T58" s="62">
        <v>3168.46</v>
      </c>
      <c r="U58" s="62">
        <v>3168.46</v>
      </c>
      <c r="V58" s="62">
        <v>3168.46</v>
      </c>
      <c r="W58" s="62">
        <v>3168.46</v>
      </c>
      <c r="X58" s="62">
        <v>3168.46</v>
      </c>
      <c r="Y58" s="62">
        <v>3168.46</v>
      </c>
      <c r="Z58" s="62">
        <v>3168.46</v>
      </c>
      <c r="AA58" s="62">
        <v>3168.46</v>
      </c>
      <c r="AB58" s="62">
        <v>3168.46</v>
      </c>
      <c r="AC58" s="62">
        <v>3168.46</v>
      </c>
      <c r="AD58" s="62">
        <v>3168.46</v>
      </c>
      <c r="AE58" s="62">
        <v>3168.46</v>
      </c>
      <c r="AF58" s="62">
        <v>3168.46</v>
      </c>
      <c r="AG58" s="62">
        <v>3168.46</v>
      </c>
      <c r="AH58" s="62">
        <v>3168.46</v>
      </c>
      <c r="AI58" s="62">
        <v>3168.46</v>
      </c>
      <c r="AJ58" s="62">
        <v>3168.46</v>
      </c>
      <c r="AK58" s="62">
        <v>3168.46</v>
      </c>
      <c r="AL58" s="62">
        <v>3168.46</v>
      </c>
      <c r="AM58" s="62">
        <v>1584.23</v>
      </c>
      <c r="AN58" s="62">
        <v>1584.23</v>
      </c>
      <c r="AO58" s="62">
        <v>1584.23</v>
      </c>
      <c r="AP58" s="62">
        <v>1584.23</v>
      </c>
      <c r="AQ58" s="62">
        <v>1584.23</v>
      </c>
      <c r="AR58" s="62">
        <v>1584.23</v>
      </c>
      <c r="AS58" s="62">
        <v>1584.23</v>
      </c>
      <c r="AT58" s="62">
        <v>1584.23</v>
      </c>
      <c r="AU58" s="62">
        <v>1584.23</v>
      </c>
      <c r="AV58" s="62">
        <v>1584.23</v>
      </c>
      <c r="AW58" s="62">
        <v>1584.23</v>
      </c>
      <c r="AX58" s="62">
        <v>1584.23</v>
      </c>
      <c r="AY58" s="62">
        <v>1584.23</v>
      </c>
      <c r="AZ58" s="62">
        <v>1584.23</v>
      </c>
      <c r="BA58" s="62">
        <v>0</v>
      </c>
      <c r="BB58" s="62">
        <v>0</v>
      </c>
      <c r="BC58" s="62">
        <v>0</v>
      </c>
      <c r="BD58" s="62">
        <v>0</v>
      </c>
      <c r="BE58" s="62">
        <v>0</v>
      </c>
      <c r="BF58" s="62">
        <v>0</v>
      </c>
      <c r="BG58" s="137">
        <v>0</v>
      </c>
      <c r="BH58" s="137">
        <v>0</v>
      </c>
      <c r="BI58" s="137">
        <v>0</v>
      </c>
      <c r="BJ58" s="137">
        <v>0</v>
      </c>
      <c r="BK58" s="137">
        <v>0</v>
      </c>
      <c r="BL58" s="137">
        <v>0</v>
      </c>
      <c r="BM58" s="137">
        <v>0</v>
      </c>
      <c r="BN58" s="137">
        <v>0</v>
      </c>
      <c r="BO58" s="137">
        <v>0</v>
      </c>
      <c r="BP58" s="137">
        <v>0</v>
      </c>
      <c r="BQ58" s="137">
        <v>0</v>
      </c>
      <c r="BR58" s="137">
        <v>0</v>
      </c>
      <c r="BS58" s="137">
        <v>0</v>
      </c>
      <c r="BT58" s="137">
        <v>0</v>
      </c>
      <c r="BU58" s="137">
        <v>0</v>
      </c>
      <c r="BV58" s="137">
        <v>0</v>
      </c>
      <c r="BW58" s="137">
        <v>0</v>
      </c>
      <c r="BX58" s="137">
        <v>0</v>
      </c>
    </row>
    <row r="59" spans="1:76" ht="15" hidden="1" customHeight="1" outlineLevel="1">
      <c r="A59" t="s">
        <v>18</v>
      </c>
      <c r="B59" s="38" t="s">
        <v>0</v>
      </c>
      <c r="C59" s="62">
        <v>18705.61</v>
      </c>
      <c r="D59" s="62">
        <v>18705.61</v>
      </c>
      <c r="E59" s="62">
        <v>18705.61</v>
      </c>
      <c r="F59" s="62">
        <v>18705.61</v>
      </c>
      <c r="G59" s="62">
        <v>18705.61</v>
      </c>
      <c r="H59" s="62">
        <v>18705.61</v>
      </c>
      <c r="I59" s="62">
        <v>18705.61</v>
      </c>
      <c r="J59" s="62">
        <v>18705.61</v>
      </c>
      <c r="K59" s="62">
        <v>18705.61</v>
      </c>
      <c r="L59" s="62">
        <v>18705.61</v>
      </c>
      <c r="M59" s="62">
        <v>18705.61</v>
      </c>
      <c r="N59" s="62">
        <v>18705.61</v>
      </c>
      <c r="O59" s="62">
        <v>18705.61</v>
      </c>
      <c r="P59" s="62">
        <v>18705.61</v>
      </c>
      <c r="Q59" s="62">
        <v>18705.61</v>
      </c>
      <c r="R59" s="62">
        <v>18705.61</v>
      </c>
      <c r="S59" s="62">
        <v>18705.61</v>
      </c>
      <c r="T59" s="62">
        <v>18705.61</v>
      </c>
      <c r="U59" s="62">
        <v>18705.61</v>
      </c>
      <c r="V59" s="62">
        <v>18705.61</v>
      </c>
      <c r="W59" s="62">
        <v>18705.61</v>
      </c>
      <c r="X59" s="62">
        <v>18705.61</v>
      </c>
      <c r="Y59" s="62">
        <v>18705.61</v>
      </c>
      <c r="Z59" s="62">
        <v>18705.61</v>
      </c>
      <c r="AA59" s="62">
        <v>18705.61</v>
      </c>
      <c r="AB59" s="62">
        <v>18705.61</v>
      </c>
      <c r="AC59" s="62">
        <v>18705.61</v>
      </c>
      <c r="AD59" s="62">
        <v>18705.61</v>
      </c>
      <c r="AE59" s="62">
        <v>18705.61</v>
      </c>
      <c r="AF59" s="62">
        <v>18705.61</v>
      </c>
      <c r="AG59" s="62">
        <v>18705.61</v>
      </c>
      <c r="AH59" s="62">
        <v>18705.61</v>
      </c>
      <c r="AI59" s="62">
        <v>18705.61</v>
      </c>
      <c r="AJ59" s="62">
        <v>18705.61</v>
      </c>
      <c r="AK59" s="62">
        <v>18705.61</v>
      </c>
      <c r="AL59" s="62">
        <v>18705.61</v>
      </c>
      <c r="AM59" s="62">
        <v>18705.61</v>
      </c>
      <c r="AN59" s="62">
        <v>18705.61</v>
      </c>
      <c r="AO59" s="62">
        <v>18705.61</v>
      </c>
      <c r="AP59" s="62">
        <v>18705.61</v>
      </c>
      <c r="AQ59" s="62">
        <v>18705.61</v>
      </c>
      <c r="AR59" s="62">
        <v>18705.61</v>
      </c>
      <c r="AS59" s="62">
        <v>18705.61</v>
      </c>
      <c r="AT59" s="62">
        <v>18705.61</v>
      </c>
      <c r="AU59" s="62">
        <v>18705.61</v>
      </c>
      <c r="AV59" s="62">
        <v>18705.61</v>
      </c>
      <c r="AW59" s="62">
        <v>18705.61</v>
      </c>
      <c r="AX59" s="62">
        <v>19687</v>
      </c>
      <c r="AY59" s="62">
        <v>19687</v>
      </c>
      <c r="AZ59" s="62">
        <v>21303.690000000002</v>
      </c>
      <c r="BA59" s="62">
        <v>21303.690000000002</v>
      </c>
      <c r="BB59" s="62">
        <v>23205.75</v>
      </c>
      <c r="BC59" s="62">
        <v>23205.75</v>
      </c>
      <c r="BD59" s="62">
        <v>23205.75</v>
      </c>
      <c r="BE59" s="62">
        <v>23205.75</v>
      </c>
      <c r="BF59" s="62">
        <v>0</v>
      </c>
      <c r="BG59" s="137">
        <v>0</v>
      </c>
      <c r="BH59" s="137">
        <v>0</v>
      </c>
      <c r="BI59" s="137">
        <v>0</v>
      </c>
      <c r="BJ59" s="137">
        <v>0</v>
      </c>
      <c r="BK59" s="137">
        <v>0</v>
      </c>
      <c r="BL59" s="137">
        <v>0</v>
      </c>
      <c r="BM59" s="137">
        <v>0</v>
      </c>
      <c r="BN59" s="137">
        <v>0</v>
      </c>
      <c r="BO59" s="137">
        <v>0</v>
      </c>
      <c r="BP59" s="137">
        <v>0</v>
      </c>
      <c r="BQ59" s="137">
        <v>0</v>
      </c>
      <c r="BR59" s="137">
        <v>0</v>
      </c>
      <c r="BS59" s="137">
        <v>0</v>
      </c>
      <c r="BT59" s="137">
        <v>0</v>
      </c>
      <c r="BU59" s="137">
        <v>0</v>
      </c>
      <c r="BV59" s="137">
        <v>0</v>
      </c>
      <c r="BW59" s="137">
        <v>0</v>
      </c>
      <c r="BX59" s="137">
        <v>0</v>
      </c>
    </row>
    <row r="60" spans="1:76" ht="15" hidden="1" customHeight="1" outlineLevel="1">
      <c r="A60" t="s">
        <v>18</v>
      </c>
      <c r="B60" s="38" t="s">
        <v>1</v>
      </c>
      <c r="C60" s="62">
        <v>12975.116000000002</v>
      </c>
      <c r="D60" s="62">
        <v>12975.116000000002</v>
      </c>
      <c r="E60" s="62">
        <v>12975.116000000002</v>
      </c>
      <c r="F60" s="62">
        <v>12975.116000000002</v>
      </c>
      <c r="G60" s="62">
        <v>12975.116000000002</v>
      </c>
      <c r="H60" s="62">
        <v>12975.116000000002</v>
      </c>
      <c r="I60" s="62">
        <v>12975.116000000002</v>
      </c>
      <c r="J60" s="62">
        <v>12975.116000000002</v>
      </c>
      <c r="K60" s="62">
        <v>12975.116000000002</v>
      </c>
      <c r="L60" s="62">
        <v>12975.116000000002</v>
      </c>
      <c r="M60" s="62">
        <v>12975.116000000002</v>
      </c>
      <c r="N60" s="62">
        <v>12975.116000000002</v>
      </c>
      <c r="O60" s="62">
        <v>12975.116000000002</v>
      </c>
      <c r="P60" s="62">
        <v>12975.116000000002</v>
      </c>
      <c r="Q60" s="62">
        <v>12975.116000000002</v>
      </c>
      <c r="R60" s="62">
        <v>12975.116000000002</v>
      </c>
      <c r="S60" s="62">
        <v>12975.116000000002</v>
      </c>
      <c r="T60" s="62">
        <v>12975.116000000002</v>
      </c>
      <c r="U60" s="62">
        <v>12975.116000000002</v>
      </c>
      <c r="V60" s="62">
        <v>12975.116000000002</v>
      </c>
      <c r="W60" s="62">
        <v>12975.116000000002</v>
      </c>
      <c r="X60" s="62">
        <v>12975.116000000002</v>
      </c>
      <c r="Y60" s="62">
        <v>12975.116000000002</v>
      </c>
      <c r="Z60" s="62">
        <v>12975.116000000002</v>
      </c>
      <c r="AA60" s="62">
        <v>12975.116000000002</v>
      </c>
      <c r="AB60" s="62">
        <v>12975.116000000002</v>
      </c>
      <c r="AC60" s="62">
        <v>12975.116000000002</v>
      </c>
      <c r="AD60" s="62">
        <v>12975.116000000002</v>
      </c>
      <c r="AE60" s="62">
        <v>12975.116000000002</v>
      </c>
      <c r="AF60" s="62">
        <v>12975.116000000002</v>
      </c>
      <c r="AG60" s="62">
        <v>12975.116000000002</v>
      </c>
      <c r="AH60" s="62">
        <v>12975.116000000002</v>
      </c>
      <c r="AI60" s="62">
        <v>12975.116000000002</v>
      </c>
      <c r="AJ60" s="62">
        <v>12975.116000000002</v>
      </c>
      <c r="AK60" s="62">
        <v>12975.116000000002</v>
      </c>
      <c r="AL60" s="62">
        <v>12975.116000000002</v>
      </c>
      <c r="AM60" s="62">
        <v>12975.116000000002</v>
      </c>
      <c r="AN60" s="62">
        <v>12975.116000000002</v>
      </c>
      <c r="AO60" s="62">
        <v>12975.116000000002</v>
      </c>
      <c r="AP60" s="62">
        <v>12975.116000000002</v>
      </c>
      <c r="AQ60" s="62">
        <v>12975.116000000002</v>
      </c>
      <c r="AR60" s="62">
        <v>12975.116000000002</v>
      </c>
      <c r="AS60" s="62">
        <v>12975.116000000002</v>
      </c>
      <c r="AT60" s="62">
        <v>12975.116000000002</v>
      </c>
      <c r="AU60" s="62">
        <v>12975.116000000002</v>
      </c>
      <c r="AV60" s="62">
        <v>12975.116000000002</v>
      </c>
      <c r="AW60" s="62">
        <v>12975.116000000002</v>
      </c>
      <c r="AX60" s="62">
        <v>12975.116000000002</v>
      </c>
      <c r="AY60" s="62">
        <v>12975.116000000002</v>
      </c>
      <c r="AZ60" s="62">
        <v>12975.116000000002</v>
      </c>
      <c r="BA60" s="62">
        <v>12975.116000000002</v>
      </c>
      <c r="BB60" s="62">
        <v>12975.116000000002</v>
      </c>
      <c r="BC60" s="62">
        <v>12975.116000000002</v>
      </c>
      <c r="BD60" s="62">
        <v>12975.116000000002</v>
      </c>
      <c r="BE60" s="62">
        <v>12975.116000000002</v>
      </c>
      <c r="BF60" s="62">
        <v>0</v>
      </c>
      <c r="BG60" s="137">
        <v>0</v>
      </c>
      <c r="BH60" s="137">
        <v>0</v>
      </c>
      <c r="BI60" s="137">
        <v>0</v>
      </c>
      <c r="BJ60" s="137">
        <v>0</v>
      </c>
      <c r="BK60" s="137">
        <v>0</v>
      </c>
      <c r="BL60" s="137">
        <v>0</v>
      </c>
      <c r="BM60" s="137">
        <v>0</v>
      </c>
      <c r="BN60" s="137">
        <v>0</v>
      </c>
      <c r="BO60" s="137">
        <v>0</v>
      </c>
      <c r="BP60" s="137">
        <v>0</v>
      </c>
      <c r="BQ60" s="137">
        <v>0</v>
      </c>
      <c r="BR60" s="137">
        <v>0</v>
      </c>
      <c r="BS60" s="137">
        <v>0</v>
      </c>
      <c r="BT60" s="137">
        <v>0</v>
      </c>
      <c r="BU60" s="137">
        <v>0</v>
      </c>
      <c r="BV60" s="137">
        <v>0</v>
      </c>
      <c r="BW60" s="137">
        <v>0</v>
      </c>
      <c r="BX60" s="137">
        <v>0</v>
      </c>
    </row>
    <row r="61" spans="1:76" ht="15" hidden="1" customHeight="1" outlineLevel="1">
      <c r="A61" t="s">
        <v>18</v>
      </c>
      <c r="B61" s="38" t="s">
        <v>33</v>
      </c>
      <c r="C61" s="62">
        <v>0</v>
      </c>
      <c r="D61" s="62">
        <v>11176.564</v>
      </c>
      <c r="E61" s="62">
        <v>11176.564</v>
      </c>
      <c r="F61" s="62">
        <v>11176.564</v>
      </c>
      <c r="G61" s="62">
        <v>11176.564</v>
      </c>
      <c r="H61" s="62">
        <v>11176.564</v>
      </c>
      <c r="I61" s="62">
        <v>11176.564</v>
      </c>
      <c r="J61" s="62">
        <v>11176.564</v>
      </c>
      <c r="K61" s="62">
        <v>11176.564</v>
      </c>
      <c r="L61" s="62">
        <v>11176.564</v>
      </c>
      <c r="M61" s="62">
        <v>11176.564</v>
      </c>
      <c r="N61" s="62">
        <v>11176.564</v>
      </c>
      <c r="O61" s="62">
        <v>11176.564</v>
      </c>
      <c r="P61" s="62">
        <v>11176.564</v>
      </c>
      <c r="Q61" s="62">
        <v>11176.564</v>
      </c>
      <c r="R61" s="62">
        <v>11176.564</v>
      </c>
      <c r="S61" s="62">
        <v>11176.564</v>
      </c>
      <c r="T61" s="62">
        <v>11176.564</v>
      </c>
      <c r="U61" s="62">
        <v>11176.564</v>
      </c>
      <c r="V61" s="62">
        <v>11176.564</v>
      </c>
      <c r="W61" s="62">
        <v>11176.564</v>
      </c>
      <c r="X61" s="62">
        <v>11176.564</v>
      </c>
      <c r="Y61" s="62">
        <v>11176.564</v>
      </c>
      <c r="Z61" s="62">
        <v>11176.564</v>
      </c>
      <c r="AA61" s="62">
        <v>11176.564</v>
      </c>
      <c r="AB61" s="62">
        <v>11176.564</v>
      </c>
      <c r="AC61" s="62">
        <v>11176.564</v>
      </c>
      <c r="AD61" s="62">
        <v>11176.564</v>
      </c>
      <c r="AE61" s="62">
        <v>11176.564</v>
      </c>
      <c r="AF61" s="62">
        <v>11176.564</v>
      </c>
      <c r="AG61" s="62">
        <v>11176.564</v>
      </c>
      <c r="AH61" s="62">
        <v>11176.564</v>
      </c>
      <c r="AI61" s="62">
        <v>11176.564</v>
      </c>
      <c r="AJ61" s="62">
        <v>11176.564</v>
      </c>
      <c r="AK61" s="62">
        <v>11176.564</v>
      </c>
      <c r="AL61" s="62">
        <v>11176.564</v>
      </c>
      <c r="AM61" s="62">
        <v>11176.57</v>
      </c>
      <c r="AN61" s="62">
        <v>11176.57</v>
      </c>
      <c r="AO61" s="62">
        <v>11176.57</v>
      </c>
      <c r="AP61" s="62">
        <v>11176.57</v>
      </c>
      <c r="AQ61" s="62">
        <v>11176.57</v>
      </c>
      <c r="AR61" s="62">
        <v>11176.57</v>
      </c>
      <c r="AS61" s="62">
        <v>11176.57</v>
      </c>
      <c r="AT61" s="62">
        <v>12004.699999999999</v>
      </c>
      <c r="AU61" s="62">
        <v>12004.699999999999</v>
      </c>
      <c r="AV61" s="62">
        <v>12004.699999999999</v>
      </c>
      <c r="AW61" s="62">
        <v>12004.699999999999</v>
      </c>
      <c r="AX61" s="62">
        <v>12004.699999999999</v>
      </c>
      <c r="AY61" s="62">
        <v>12004.699999999999</v>
      </c>
      <c r="AZ61" s="62">
        <v>12004.699999999999</v>
      </c>
      <c r="BA61" s="62">
        <v>12004.699999999999</v>
      </c>
      <c r="BB61" s="62">
        <v>12004.699999999999</v>
      </c>
      <c r="BC61" s="62">
        <v>12004.699999999999</v>
      </c>
      <c r="BD61" s="62">
        <v>12004.699999999999</v>
      </c>
      <c r="BE61" s="62">
        <v>12004.699999999999</v>
      </c>
      <c r="BF61" s="62">
        <v>0</v>
      </c>
      <c r="BG61" s="137">
        <v>0</v>
      </c>
      <c r="BH61" s="137">
        <v>0</v>
      </c>
      <c r="BI61" s="137">
        <v>0</v>
      </c>
      <c r="BJ61" s="137">
        <v>0</v>
      </c>
      <c r="BK61" s="137">
        <v>0</v>
      </c>
      <c r="BL61" s="137">
        <v>0</v>
      </c>
      <c r="BM61" s="137">
        <v>0</v>
      </c>
      <c r="BN61" s="137">
        <v>0</v>
      </c>
      <c r="BO61" s="137">
        <v>0</v>
      </c>
      <c r="BP61" s="137">
        <v>0</v>
      </c>
      <c r="BQ61" s="137">
        <v>0</v>
      </c>
      <c r="BR61" s="137">
        <v>0</v>
      </c>
      <c r="BS61" s="137">
        <v>0</v>
      </c>
      <c r="BT61" s="137">
        <v>0</v>
      </c>
      <c r="BU61" s="137">
        <v>0</v>
      </c>
      <c r="BV61" s="137">
        <v>0</v>
      </c>
      <c r="BW61" s="137">
        <v>0</v>
      </c>
      <c r="BX61" s="137">
        <v>0</v>
      </c>
    </row>
    <row r="62" spans="1:76" ht="15" hidden="1" customHeight="1" outlineLevel="1">
      <c r="A62" t="s">
        <v>216</v>
      </c>
      <c r="B62" s="38" t="s">
        <v>28</v>
      </c>
      <c r="C62" s="62">
        <v>0</v>
      </c>
      <c r="D62" s="62">
        <v>0</v>
      </c>
      <c r="E62" s="62">
        <v>0</v>
      </c>
      <c r="F62" s="62">
        <v>0</v>
      </c>
      <c r="G62" s="62">
        <v>0</v>
      </c>
      <c r="H62" s="62">
        <v>0</v>
      </c>
      <c r="I62" s="62">
        <v>0</v>
      </c>
      <c r="J62" s="62">
        <v>0</v>
      </c>
      <c r="K62" s="62">
        <v>0</v>
      </c>
      <c r="L62" s="62">
        <v>0</v>
      </c>
      <c r="M62" s="62">
        <v>0</v>
      </c>
      <c r="N62" s="62">
        <v>0</v>
      </c>
      <c r="O62" s="62">
        <v>0</v>
      </c>
      <c r="P62" s="62">
        <v>0</v>
      </c>
      <c r="Q62" s="62">
        <v>0</v>
      </c>
      <c r="R62" s="62">
        <v>0</v>
      </c>
      <c r="S62" s="62">
        <v>0</v>
      </c>
      <c r="T62" s="62">
        <v>0</v>
      </c>
      <c r="U62" s="62">
        <v>0</v>
      </c>
      <c r="V62" s="62">
        <v>0</v>
      </c>
      <c r="W62" s="62">
        <v>0</v>
      </c>
      <c r="X62" s="62">
        <v>0</v>
      </c>
      <c r="Y62" s="62">
        <v>10885.3</v>
      </c>
      <c r="Z62" s="62">
        <v>10885.3</v>
      </c>
      <c r="AA62" s="62">
        <v>10885.3</v>
      </c>
      <c r="AB62" s="62">
        <v>10885.3</v>
      </c>
      <c r="AC62" s="62">
        <v>10885.3</v>
      </c>
      <c r="AD62" s="62">
        <v>10885.3</v>
      </c>
      <c r="AE62" s="62">
        <v>10885.3</v>
      </c>
      <c r="AF62" s="62">
        <v>10885.3</v>
      </c>
      <c r="AG62" s="62">
        <v>10885.3</v>
      </c>
      <c r="AH62" s="62">
        <v>10885.3</v>
      </c>
      <c r="AI62" s="62">
        <v>10885.3</v>
      </c>
      <c r="AJ62" s="62">
        <v>10885.3</v>
      </c>
      <c r="AK62" s="62">
        <v>10885.3</v>
      </c>
      <c r="AL62" s="62">
        <v>10885.3</v>
      </c>
      <c r="AM62" s="62">
        <v>10885.3</v>
      </c>
      <c r="AN62" s="62">
        <v>10885.3</v>
      </c>
      <c r="AO62" s="62">
        <v>10885.3</v>
      </c>
      <c r="AP62" s="62">
        <v>10885.3</v>
      </c>
      <c r="AQ62" s="62">
        <v>10885.3</v>
      </c>
      <c r="AR62" s="62">
        <v>10885.3</v>
      </c>
      <c r="AS62" s="62">
        <v>10885.3</v>
      </c>
      <c r="AT62" s="62">
        <v>10885.3</v>
      </c>
      <c r="AU62" s="62">
        <v>10885.3</v>
      </c>
      <c r="AV62" s="62">
        <v>10885.3</v>
      </c>
      <c r="AW62" s="62">
        <v>10885.3</v>
      </c>
      <c r="AX62" s="62">
        <v>10886</v>
      </c>
      <c r="AY62" s="62">
        <v>10886</v>
      </c>
      <c r="AZ62" s="62">
        <v>10886</v>
      </c>
      <c r="BA62" s="62">
        <v>10886</v>
      </c>
      <c r="BB62" s="62">
        <v>10886</v>
      </c>
      <c r="BC62" s="62">
        <v>10886</v>
      </c>
      <c r="BD62" s="62">
        <v>10886</v>
      </c>
      <c r="BE62" s="62">
        <v>10886</v>
      </c>
      <c r="BF62" s="62">
        <v>10886</v>
      </c>
      <c r="BG62" s="137">
        <v>10886</v>
      </c>
      <c r="BH62" s="137">
        <v>10885.600000000002</v>
      </c>
      <c r="BI62" s="137">
        <v>10885.600000000002</v>
      </c>
      <c r="BJ62" s="137">
        <v>10885.600000000002</v>
      </c>
      <c r="BK62" s="137">
        <v>10885.600000000002</v>
      </c>
      <c r="BL62" s="137">
        <v>10885.600000000002</v>
      </c>
      <c r="BM62" s="137">
        <v>10885.900000000001</v>
      </c>
      <c r="BN62" s="137">
        <v>10885.900000000001</v>
      </c>
      <c r="BO62" s="137">
        <v>10885.900000000001</v>
      </c>
      <c r="BP62" s="137">
        <v>10885.900000000001</v>
      </c>
      <c r="BQ62" s="137">
        <v>10885.600000000002</v>
      </c>
      <c r="BR62" s="137">
        <v>10885.600000000002</v>
      </c>
      <c r="BS62" s="137">
        <v>10885.600000000002</v>
      </c>
      <c r="BT62" s="137">
        <v>10885.600000000002</v>
      </c>
      <c r="BU62" s="137">
        <v>10885.600000000002</v>
      </c>
      <c r="BV62" s="137">
        <v>10885.599465361447</v>
      </c>
      <c r="BW62" s="137">
        <v>10885.599465361447</v>
      </c>
      <c r="BX62" s="137">
        <v>10885.890306883239</v>
      </c>
    </row>
    <row r="63" spans="1:76" ht="15" hidden="1" customHeight="1" outlineLevel="1">
      <c r="A63" t="s">
        <v>18</v>
      </c>
      <c r="B63" s="38" t="s">
        <v>27</v>
      </c>
      <c r="C63" s="61">
        <v>0</v>
      </c>
      <c r="D63" s="61">
        <v>0</v>
      </c>
      <c r="E63" s="61">
        <v>0</v>
      </c>
      <c r="F63" s="61">
        <v>0</v>
      </c>
      <c r="G63" s="61">
        <v>0</v>
      </c>
      <c r="H63" s="61">
        <v>0</v>
      </c>
      <c r="I63" s="61">
        <v>0</v>
      </c>
      <c r="J63" s="61">
        <v>0</v>
      </c>
      <c r="K63" s="61">
        <v>0</v>
      </c>
      <c r="L63" s="61">
        <v>0</v>
      </c>
      <c r="M63" s="61">
        <v>0</v>
      </c>
      <c r="N63" s="61">
        <v>0</v>
      </c>
      <c r="O63" s="61">
        <v>0</v>
      </c>
      <c r="P63" s="61">
        <v>0</v>
      </c>
      <c r="Q63" s="61">
        <v>0</v>
      </c>
      <c r="R63" s="61">
        <v>0</v>
      </c>
      <c r="S63" s="61">
        <v>0</v>
      </c>
      <c r="T63" s="61">
        <v>0</v>
      </c>
      <c r="U63" s="61">
        <v>0</v>
      </c>
      <c r="V63" s="61">
        <v>0</v>
      </c>
      <c r="W63" s="61">
        <v>0</v>
      </c>
      <c r="X63" s="61">
        <v>0</v>
      </c>
      <c r="Y63" s="61">
        <v>0</v>
      </c>
      <c r="Z63" s="61">
        <v>0</v>
      </c>
      <c r="AA63" s="61">
        <v>0</v>
      </c>
      <c r="AB63" s="61">
        <v>0</v>
      </c>
      <c r="AC63" s="61">
        <v>0</v>
      </c>
      <c r="AD63" s="61">
        <v>0</v>
      </c>
      <c r="AE63" s="61">
        <v>0</v>
      </c>
      <c r="AF63" s="61">
        <v>0</v>
      </c>
      <c r="AG63" s="61">
        <v>0</v>
      </c>
      <c r="AH63" s="61">
        <v>0</v>
      </c>
      <c r="AI63" s="61">
        <v>0</v>
      </c>
      <c r="AJ63" s="61">
        <v>0</v>
      </c>
      <c r="AK63" s="61">
        <v>0</v>
      </c>
      <c r="AL63" s="61">
        <v>0</v>
      </c>
      <c r="AM63" s="61">
        <v>0</v>
      </c>
      <c r="AN63" s="62">
        <v>16289</v>
      </c>
      <c r="AO63" s="62">
        <v>16289</v>
      </c>
      <c r="AP63" s="62">
        <v>16289</v>
      </c>
      <c r="AQ63" s="62">
        <v>16289</v>
      </c>
      <c r="AR63" s="62">
        <v>16289</v>
      </c>
      <c r="AS63" s="62">
        <v>16289</v>
      </c>
      <c r="AT63" s="62">
        <v>16289</v>
      </c>
      <c r="AU63" s="62">
        <v>16289</v>
      </c>
      <c r="AV63" s="62">
        <v>16289</v>
      </c>
      <c r="AW63" s="62">
        <v>16289</v>
      </c>
      <c r="AX63" s="62">
        <v>16289</v>
      </c>
      <c r="AY63" s="62">
        <v>16289</v>
      </c>
      <c r="AZ63" s="62">
        <v>16289</v>
      </c>
      <c r="BA63" s="62">
        <v>16289</v>
      </c>
      <c r="BB63" s="62">
        <v>16289</v>
      </c>
      <c r="BC63" s="62">
        <v>16289</v>
      </c>
      <c r="BD63" s="62">
        <v>16289</v>
      </c>
      <c r="BE63" s="62">
        <v>16289</v>
      </c>
      <c r="BF63" s="62">
        <v>0</v>
      </c>
      <c r="BG63" s="137">
        <v>0</v>
      </c>
      <c r="BH63" s="137">
        <v>0</v>
      </c>
      <c r="BI63" s="137">
        <v>0</v>
      </c>
      <c r="BJ63" s="137">
        <v>0</v>
      </c>
      <c r="BK63" s="137">
        <v>0</v>
      </c>
      <c r="BL63" s="137">
        <v>0</v>
      </c>
      <c r="BM63" s="137">
        <v>0</v>
      </c>
      <c r="BN63" s="137">
        <v>0</v>
      </c>
      <c r="BO63" s="137">
        <v>0</v>
      </c>
      <c r="BP63" s="137">
        <v>0</v>
      </c>
      <c r="BQ63" s="137">
        <v>0</v>
      </c>
      <c r="BR63" s="137">
        <v>0</v>
      </c>
      <c r="BS63" s="137">
        <v>0</v>
      </c>
      <c r="BT63" s="137">
        <v>0</v>
      </c>
      <c r="BU63" s="137">
        <v>0</v>
      </c>
      <c r="BV63" s="137">
        <v>0</v>
      </c>
      <c r="BW63" s="137">
        <v>0</v>
      </c>
      <c r="BX63" s="137">
        <v>0</v>
      </c>
    </row>
    <row r="64" spans="1:76" ht="15" hidden="1" customHeight="1" outlineLevel="1">
      <c r="A64" t="s">
        <v>18</v>
      </c>
      <c r="B64" s="38" t="s">
        <v>19</v>
      </c>
      <c r="C64" s="61">
        <v>0</v>
      </c>
      <c r="D64" s="61">
        <v>0</v>
      </c>
      <c r="E64" s="61">
        <v>0</v>
      </c>
      <c r="F64" s="61">
        <v>0</v>
      </c>
      <c r="G64" s="61">
        <v>0</v>
      </c>
      <c r="H64" s="61">
        <v>0</v>
      </c>
      <c r="I64" s="61">
        <v>0</v>
      </c>
      <c r="J64" s="61">
        <v>0</v>
      </c>
      <c r="K64" s="61">
        <v>0</v>
      </c>
      <c r="L64" s="61">
        <v>0</v>
      </c>
      <c r="M64" s="61">
        <v>0</v>
      </c>
      <c r="N64" s="61">
        <v>0</v>
      </c>
      <c r="O64" s="61">
        <v>0</v>
      </c>
      <c r="P64" s="61">
        <v>0</v>
      </c>
      <c r="Q64" s="61">
        <v>0</v>
      </c>
      <c r="R64" s="61">
        <v>0</v>
      </c>
      <c r="S64" s="61">
        <v>0</v>
      </c>
      <c r="T64" s="61">
        <v>0</v>
      </c>
      <c r="U64" s="61">
        <v>0</v>
      </c>
      <c r="V64" s="61">
        <v>0</v>
      </c>
      <c r="W64" s="61">
        <v>0</v>
      </c>
      <c r="X64" s="61">
        <v>0</v>
      </c>
      <c r="Y64" s="61">
        <v>0</v>
      </c>
      <c r="Z64" s="61">
        <v>0</v>
      </c>
      <c r="AA64" s="61">
        <v>0</v>
      </c>
      <c r="AB64" s="61">
        <v>0</v>
      </c>
      <c r="AC64" s="61">
        <v>19002.264908700003</v>
      </c>
      <c r="AD64" s="61">
        <v>19002.264908700003</v>
      </c>
      <c r="AE64" s="61">
        <v>19002.264908700003</v>
      </c>
      <c r="AF64" s="61">
        <v>19002.264908700003</v>
      </c>
      <c r="AG64" s="61">
        <v>19002</v>
      </c>
      <c r="AH64" s="61">
        <v>19002</v>
      </c>
      <c r="AI64" s="137">
        <v>0</v>
      </c>
      <c r="AJ64" s="137">
        <v>0</v>
      </c>
      <c r="AK64" s="137">
        <v>0</v>
      </c>
      <c r="AL64" s="137">
        <v>0</v>
      </c>
      <c r="AM64" s="137">
        <v>0</v>
      </c>
      <c r="AN64" s="137">
        <v>0</v>
      </c>
      <c r="AO64" s="137">
        <v>0</v>
      </c>
      <c r="AP64" s="137">
        <v>0</v>
      </c>
      <c r="AQ64" s="137">
        <v>0</v>
      </c>
      <c r="AR64" s="137">
        <v>0</v>
      </c>
      <c r="AS64" s="137">
        <v>0</v>
      </c>
      <c r="AT64" s="137">
        <v>0</v>
      </c>
      <c r="AU64" s="137">
        <v>0</v>
      </c>
      <c r="AV64" s="137">
        <v>0</v>
      </c>
      <c r="AW64" s="137">
        <v>0</v>
      </c>
      <c r="AX64" s="137">
        <v>0</v>
      </c>
      <c r="AY64" s="137">
        <v>0</v>
      </c>
      <c r="AZ64" s="137">
        <v>0</v>
      </c>
      <c r="BA64" s="137">
        <v>0</v>
      </c>
      <c r="BB64" s="137">
        <v>0</v>
      </c>
      <c r="BC64" s="62">
        <v>0</v>
      </c>
      <c r="BD64" s="62">
        <v>0</v>
      </c>
      <c r="BE64" s="62">
        <v>0</v>
      </c>
      <c r="BF64" s="62">
        <v>0</v>
      </c>
      <c r="BG64" s="137">
        <v>0</v>
      </c>
      <c r="BH64" s="137">
        <v>0</v>
      </c>
      <c r="BI64" s="137">
        <v>0</v>
      </c>
      <c r="BJ64" s="137">
        <v>0</v>
      </c>
      <c r="BK64" s="137">
        <v>0</v>
      </c>
      <c r="BL64" s="137">
        <v>0</v>
      </c>
      <c r="BM64" s="137">
        <v>0</v>
      </c>
      <c r="BN64" s="137">
        <v>0</v>
      </c>
      <c r="BO64" s="137">
        <v>0</v>
      </c>
      <c r="BP64" s="137">
        <v>0</v>
      </c>
      <c r="BQ64" s="137">
        <v>0</v>
      </c>
      <c r="BR64" s="137">
        <v>0</v>
      </c>
      <c r="BS64" s="137">
        <v>0</v>
      </c>
      <c r="BT64" s="137">
        <v>0</v>
      </c>
      <c r="BU64" s="137">
        <v>0</v>
      </c>
      <c r="BV64" s="137">
        <v>0</v>
      </c>
      <c r="BW64" s="137">
        <v>0</v>
      </c>
      <c r="BX64" s="137">
        <v>0</v>
      </c>
    </row>
    <row r="65" spans="1:76" ht="15" hidden="1" customHeight="1" outlineLevel="1">
      <c r="A65" t="s">
        <v>18</v>
      </c>
      <c r="B65" s="38" t="s">
        <v>5</v>
      </c>
      <c r="C65" s="61">
        <v>0</v>
      </c>
      <c r="D65" s="61">
        <v>0</v>
      </c>
      <c r="E65" s="61">
        <v>0</v>
      </c>
      <c r="F65" s="61">
        <v>0</v>
      </c>
      <c r="G65" s="61">
        <v>7306</v>
      </c>
      <c r="H65" s="61">
        <v>7051</v>
      </c>
      <c r="I65" s="61">
        <v>7051</v>
      </c>
      <c r="J65" s="61">
        <v>6280</v>
      </c>
      <c r="K65" s="61">
        <v>4481</v>
      </c>
      <c r="L65" s="61">
        <v>1766</v>
      </c>
      <c r="M65" s="61">
        <v>1766</v>
      </c>
      <c r="N65" s="61">
        <v>1766</v>
      </c>
      <c r="O65" s="61">
        <v>1766</v>
      </c>
      <c r="P65" s="61">
        <v>0</v>
      </c>
      <c r="Q65" s="61">
        <v>0</v>
      </c>
      <c r="R65" s="61">
        <v>0</v>
      </c>
      <c r="S65" s="61">
        <v>0</v>
      </c>
      <c r="T65" s="61">
        <v>0</v>
      </c>
      <c r="U65" s="61">
        <v>0</v>
      </c>
      <c r="V65" s="61">
        <v>0</v>
      </c>
      <c r="W65" s="61">
        <v>0</v>
      </c>
      <c r="X65" s="61">
        <v>0</v>
      </c>
      <c r="Y65" s="61">
        <v>0</v>
      </c>
      <c r="Z65" s="61">
        <v>0</v>
      </c>
      <c r="AA65" s="61">
        <v>0</v>
      </c>
      <c r="AB65" s="61">
        <v>0</v>
      </c>
      <c r="AC65" s="61">
        <v>0</v>
      </c>
      <c r="AD65" s="61">
        <v>0</v>
      </c>
      <c r="AE65" s="61">
        <v>0</v>
      </c>
      <c r="AF65" s="61">
        <v>0</v>
      </c>
      <c r="AG65" s="61">
        <v>0</v>
      </c>
      <c r="AH65" s="61">
        <v>0</v>
      </c>
      <c r="AI65" s="137">
        <v>0</v>
      </c>
      <c r="AJ65" s="137">
        <v>0</v>
      </c>
      <c r="AK65" s="137">
        <v>0</v>
      </c>
      <c r="AL65" s="137">
        <v>0</v>
      </c>
      <c r="AM65" s="137">
        <v>0</v>
      </c>
      <c r="AN65" s="137">
        <v>0</v>
      </c>
      <c r="AO65" s="137">
        <v>0</v>
      </c>
      <c r="AP65" s="137">
        <v>0</v>
      </c>
      <c r="AQ65" s="137">
        <v>0</v>
      </c>
      <c r="AR65" s="137">
        <v>0</v>
      </c>
      <c r="AS65" s="137">
        <v>0</v>
      </c>
      <c r="AT65" s="137">
        <v>0</v>
      </c>
      <c r="AU65" s="137">
        <v>0</v>
      </c>
      <c r="AV65" s="137">
        <v>0</v>
      </c>
      <c r="AW65" s="137">
        <v>0</v>
      </c>
      <c r="AX65" s="137">
        <v>0</v>
      </c>
      <c r="AY65" s="137">
        <v>0</v>
      </c>
      <c r="AZ65" s="137">
        <v>0</v>
      </c>
      <c r="BA65" s="137">
        <v>0</v>
      </c>
      <c r="BB65" s="137">
        <v>0</v>
      </c>
      <c r="BC65" s="62">
        <v>0</v>
      </c>
      <c r="BD65" s="62">
        <v>0</v>
      </c>
      <c r="BE65" s="62">
        <v>0</v>
      </c>
      <c r="BF65" s="62">
        <v>0</v>
      </c>
      <c r="BG65" s="137">
        <v>0</v>
      </c>
      <c r="BH65" s="137">
        <v>0</v>
      </c>
      <c r="BI65" s="137">
        <v>0</v>
      </c>
      <c r="BJ65" s="137">
        <v>0</v>
      </c>
      <c r="BK65" s="137">
        <v>0</v>
      </c>
      <c r="BL65" s="137">
        <v>0</v>
      </c>
      <c r="BM65" s="137">
        <v>0</v>
      </c>
      <c r="BN65" s="137">
        <v>0</v>
      </c>
      <c r="BO65" s="137">
        <v>0</v>
      </c>
      <c r="BP65" s="137">
        <v>0</v>
      </c>
      <c r="BQ65" s="137">
        <v>0</v>
      </c>
      <c r="BR65" s="137">
        <v>0</v>
      </c>
      <c r="BS65" s="137">
        <v>0</v>
      </c>
      <c r="BT65" s="137">
        <v>0</v>
      </c>
      <c r="BU65" s="137">
        <v>0</v>
      </c>
      <c r="BV65" s="137">
        <v>0</v>
      </c>
      <c r="BW65" s="137">
        <v>0</v>
      </c>
      <c r="BX65" s="137">
        <v>0</v>
      </c>
    </row>
    <row r="66" spans="1:76" ht="15" hidden="1" customHeight="1" outlineLevel="1">
      <c r="A66" t="s">
        <v>217</v>
      </c>
      <c r="B66" s="38" t="s">
        <v>48</v>
      </c>
      <c r="C66" s="61">
        <v>0</v>
      </c>
      <c r="D66" s="61">
        <v>0</v>
      </c>
      <c r="E66" s="61">
        <v>0</v>
      </c>
      <c r="F66" s="61">
        <v>0</v>
      </c>
      <c r="G66" s="62">
        <v>0</v>
      </c>
      <c r="H66" s="62">
        <v>0</v>
      </c>
      <c r="I66" s="62">
        <v>0</v>
      </c>
      <c r="J66" s="62">
        <v>0</v>
      </c>
      <c r="K66" s="62">
        <v>0</v>
      </c>
      <c r="L66" s="62">
        <v>0</v>
      </c>
      <c r="M66" s="62">
        <v>0</v>
      </c>
      <c r="N66" s="62">
        <v>0</v>
      </c>
      <c r="O66" s="62">
        <v>0</v>
      </c>
      <c r="P66" s="62">
        <v>0</v>
      </c>
      <c r="Q66" s="62">
        <v>0</v>
      </c>
      <c r="R66" s="62">
        <v>0</v>
      </c>
      <c r="S66" s="62">
        <v>0</v>
      </c>
      <c r="T66" s="62">
        <v>0</v>
      </c>
      <c r="U66" s="62">
        <v>0</v>
      </c>
      <c r="V66" s="62">
        <v>0</v>
      </c>
      <c r="W66" s="62">
        <v>0</v>
      </c>
      <c r="X66" s="62">
        <v>0</v>
      </c>
      <c r="Y66" s="62">
        <v>0</v>
      </c>
      <c r="Z66" s="62">
        <v>0</v>
      </c>
      <c r="AA66" s="62">
        <v>0</v>
      </c>
      <c r="AB66" s="62">
        <v>0</v>
      </c>
      <c r="AC66" s="62">
        <v>0</v>
      </c>
      <c r="AD66" s="62">
        <v>0</v>
      </c>
      <c r="AE66" s="62">
        <v>0</v>
      </c>
      <c r="AF66" s="62">
        <v>0</v>
      </c>
      <c r="AG66" s="62">
        <v>0</v>
      </c>
      <c r="AH66" s="62">
        <v>0</v>
      </c>
      <c r="AI66" s="62">
        <v>0</v>
      </c>
      <c r="AJ66" s="62">
        <v>0</v>
      </c>
      <c r="AK66" s="62">
        <v>0</v>
      </c>
      <c r="AL66" s="62"/>
      <c r="AM66" s="62"/>
      <c r="AN66" s="62"/>
      <c r="AO66" s="62"/>
      <c r="AP66" s="62"/>
      <c r="AQ66" s="62"/>
      <c r="AR66" s="62"/>
      <c r="AS66" s="62"/>
      <c r="AT66" s="62"/>
      <c r="AU66" s="62">
        <v>0</v>
      </c>
      <c r="AV66" s="62"/>
      <c r="AW66" s="62"/>
      <c r="AX66" s="62">
        <v>10475</v>
      </c>
      <c r="AY66" s="62">
        <v>10475</v>
      </c>
      <c r="AZ66" s="62">
        <v>10475</v>
      </c>
      <c r="BA66" s="62">
        <v>10475</v>
      </c>
      <c r="BB66" s="62">
        <v>10475</v>
      </c>
      <c r="BC66" s="62">
        <v>10475</v>
      </c>
      <c r="BD66" s="62">
        <v>10475</v>
      </c>
      <c r="BE66" s="62">
        <v>10474.920000000006</v>
      </c>
      <c r="BF66" s="62">
        <v>10474.920000000006</v>
      </c>
      <c r="BG66" s="137">
        <v>12064.260000000007</v>
      </c>
      <c r="BH66" s="137">
        <v>12064.260000000007</v>
      </c>
      <c r="BI66" s="137">
        <v>12064.260000000007</v>
      </c>
      <c r="BJ66" s="137">
        <v>12064.260000000007</v>
      </c>
      <c r="BK66" s="137">
        <v>12064.260000000007</v>
      </c>
      <c r="BL66" s="137">
        <v>12064.260000000007</v>
      </c>
      <c r="BM66" s="137">
        <v>12064.260100000007</v>
      </c>
      <c r="BN66" s="137">
        <v>12064.260100000007</v>
      </c>
      <c r="BO66" s="137">
        <v>12064.260100000007</v>
      </c>
      <c r="BP66" s="137">
        <v>12064.260100000007</v>
      </c>
      <c r="BQ66" s="137">
        <v>12064.260100000007</v>
      </c>
      <c r="BR66" s="137">
        <v>12237.140100000006</v>
      </c>
      <c r="BS66" s="137">
        <v>12237.140100000006</v>
      </c>
      <c r="BT66" s="137">
        <v>12237.140100000006</v>
      </c>
      <c r="BU66" s="137">
        <v>12237.140100000006</v>
      </c>
      <c r="BV66" s="137">
        <v>12237.140100000006</v>
      </c>
      <c r="BW66" s="137">
        <v>12237.140100000006</v>
      </c>
      <c r="BX66" s="137">
        <v>12237.140100000006</v>
      </c>
    </row>
    <row r="67" spans="1:76" ht="15" hidden="1" customHeight="1" outlineLevel="1">
      <c r="A67" t="s">
        <v>218</v>
      </c>
      <c r="B67" s="38" t="s">
        <v>49</v>
      </c>
      <c r="C67" s="61">
        <v>0</v>
      </c>
      <c r="D67" s="61">
        <v>0</v>
      </c>
      <c r="E67" s="61">
        <v>0</v>
      </c>
      <c r="F67" s="61">
        <v>0</v>
      </c>
      <c r="G67" s="62">
        <v>0</v>
      </c>
      <c r="H67" s="62">
        <v>0</v>
      </c>
      <c r="I67" s="62">
        <v>0</v>
      </c>
      <c r="J67" s="62">
        <v>0</v>
      </c>
      <c r="K67" s="62">
        <v>0</v>
      </c>
      <c r="L67" s="62">
        <v>0</v>
      </c>
      <c r="M67" s="62">
        <v>0</v>
      </c>
      <c r="N67" s="62">
        <v>0</v>
      </c>
      <c r="O67" s="62">
        <v>0</v>
      </c>
      <c r="P67" s="62">
        <v>0</v>
      </c>
      <c r="Q67" s="62">
        <v>0</v>
      </c>
      <c r="R67" s="62">
        <v>0</v>
      </c>
      <c r="S67" s="62">
        <v>0</v>
      </c>
      <c r="T67" s="62">
        <v>0</v>
      </c>
      <c r="U67" s="62">
        <v>0</v>
      </c>
      <c r="V67" s="62">
        <v>0</v>
      </c>
      <c r="W67" s="62">
        <v>0</v>
      </c>
      <c r="X67" s="62">
        <v>0</v>
      </c>
      <c r="Y67" s="62">
        <v>0</v>
      </c>
      <c r="Z67" s="62">
        <v>0</v>
      </c>
      <c r="AA67" s="62">
        <v>0</v>
      </c>
      <c r="AB67" s="62">
        <v>0</v>
      </c>
      <c r="AC67" s="62">
        <v>0</v>
      </c>
      <c r="AD67" s="62">
        <v>0</v>
      </c>
      <c r="AE67" s="62">
        <v>0</v>
      </c>
      <c r="AF67" s="62">
        <v>0</v>
      </c>
      <c r="AG67" s="62">
        <v>0</v>
      </c>
      <c r="AH67" s="62">
        <v>0</v>
      </c>
      <c r="AI67" s="62">
        <v>0</v>
      </c>
      <c r="AJ67" s="62">
        <v>0</v>
      </c>
      <c r="AK67" s="62">
        <v>0</v>
      </c>
      <c r="AL67" s="62"/>
      <c r="AM67" s="62"/>
      <c r="AN67" s="62"/>
      <c r="AO67" s="62"/>
      <c r="AP67" s="62"/>
      <c r="AQ67" s="62"/>
      <c r="AR67" s="62"/>
      <c r="AS67" s="62"/>
      <c r="AT67" s="62"/>
      <c r="AU67" s="62">
        <v>0</v>
      </c>
      <c r="AV67" s="62"/>
      <c r="AW67" s="62"/>
      <c r="AX67" s="62">
        <v>19418</v>
      </c>
      <c r="AY67" s="62">
        <v>19418</v>
      </c>
      <c r="AZ67" s="62">
        <v>19418</v>
      </c>
      <c r="BA67" s="62">
        <v>19418</v>
      </c>
      <c r="BB67" s="62">
        <v>19418</v>
      </c>
      <c r="BC67" s="62">
        <v>19418</v>
      </c>
      <c r="BD67" s="62">
        <v>19418</v>
      </c>
      <c r="BE67" s="62">
        <v>19417.839212374143</v>
      </c>
      <c r="BF67" s="62">
        <v>19417.839212374143</v>
      </c>
      <c r="BG67" s="137">
        <v>19417.839212374143</v>
      </c>
      <c r="BH67" s="137">
        <v>19417.839212374143</v>
      </c>
      <c r="BI67" s="137">
        <v>19417.839212374143</v>
      </c>
      <c r="BJ67" s="137">
        <v>19417.839212374143</v>
      </c>
      <c r="BK67" s="137">
        <v>19417.839212374143</v>
      </c>
      <c r="BL67" s="137">
        <v>19417.839212374143</v>
      </c>
      <c r="BM67" s="137">
        <v>19417.839212374143</v>
      </c>
      <c r="BN67" s="137">
        <v>19417.839212374143</v>
      </c>
      <c r="BO67" s="137">
        <v>19417.839212374143</v>
      </c>
      <c r="BP67" s="137">
        <v>19417.839212374143</v>
      </c>
      <c r="BQ67" s="137">
        <v>19417.839212374143</v>
      </c>
      <c r="BR67" s="137">
        <v>19417.839212374143</v>
      </c>
      <c r="BS67" s="137">
        <v>19417.839212374143</v>
      </c>
      <c r="BT67" s="137">
        <v>19417.839212374143</v>
      </c>
      <c r="BU67" s="137">
        <v>19417.839212374143</v>
      </c>
      <c r="BV67" s="137">
        <v>19417.839212374143</v>
      </c>
      <c r="BW67" s="137">
        <v>19417.839212374143</v>
      </c>
      <c r="BX67" s="137">
        <v>19417.839212374143</v>
      </c>
    </row>
    <row r="68" spans="1:76" s="30" customFormat="1" ht="15" customHeight="1" collapsed="1">
      <c r="B68" s="81" t="str">
        <f>IF('Sumário | Summary'!P1=1,"Escritórios Classe A","Class A Offices")</f>
        <v>Escritórios Classe A</v>
      </c>
      <c r="C68" s="128">
        <f t="shared" ref="C68:BN68" si="22">SUM(C69:C76)</f>
        <v>37571.189999999995</v>
      </c>
      <c r="D68" s="128">
        <f t="shared" si="22"/>
        <v>41421.189999999995</v>
      </c>
      <c r="E68" s="128">
        <f t="shared" si="22"/>
        <v>41421.189999999995</v>
      </c>
      <c r="F68" s="128">
        <f t="shared" si="22"/>
        <v>41421.189999999995</v>
      </c>
      <c r="G68" s="128">
        <f t="shared" si="22"/>
        <v>41421.189999999995</v>
      </c>
      <c r="H68" s="128">
        <f t="shared" si="22"/>
        <v>41421.189999999995</v>
      </c>
      <c r="I68" s="128">
        <f t="shared" si="22"/>
        <v>41421.189999999995</v>
      </c>
      <c r="J68" s="128">
        <f t="shared" si="22"/>
        <v>41421.189999999995</v>
      </c>
      <c r="K68" s="128">
        <f t="shared" si="22"/>
        <v>41421.189999999995</v>
      </c>
      <c r="L68" s="128">
        <f t="shared" si="22"/>
        <v>41421.189999999995</v>
      </c>
      <c r="M68" s="128">
        <f t="shared" si="22"/>
        <v>41421.189999999995</v>
      </c>
      <c r="N68" s="128">
        <f t="shared" si="22"/>
        <v>41421.189999999995</v>
      </c>
      <c r="O68" s="128">
        <f t="shared" si="22"/>
        <v>41421.189999999995</v>
      </c>
      <c r="P68" s="128">
        <f t="shared" si="22"/>
        <v>41421.189999999995</v>
      </c>
      <c r="Q68" s="128">
        <f t="shared" si="22"/>
        <v>41421.189999999995</v>
      </c>
      <c r="R68" s="128">
        <f t="shared" si="22"/>
        <v>41421.189999999995</v>
      </c>
      <c r="S68" s="128">
        <f t="shared" si="22"/>
        <v>41421.189999999995</v>
      </c>
      <c r="T68" s="128">
        <f t="shared" si="22"/>
        <v>41421.189999999995</v>
      </c>
      <c r="U68" s="128">
        <f t="shared" si="22"/>
        <v>41421.189999999995</v>
      </c>
      <c r="V68" s="128">
        <f t="shared" si="22"/>
        <v>41421.189999999995</v>
      </c>
      <c r="W68" s="128">
        <f t="shared" si="22"/>
        <v>41421.189999999995</v>
      </c>
      <c r="X68" s="128">
        <f t="shared" si="22"/>
        <v>41421.24</v>
      </c>
      <c r="Y68" s="128">
        <f t="shared" si="22"/>
        <v>41421.24</v>
      </c>
      <c r="Z68" s="128">
        <f t="shared" si="22"/>
        <v>41421.24</v>
      </c>
      <c r="AA68" s="128">
        <f t="shared" si="22"/>
        <v>41421.24</v>
      </c>
      <c r="AB68" s="128">
        <f t="shared" si="22"/>
        <v>41421.24</v>
      </c>
      <c r="AC68" s="128">
        <f t="shared" si="22"/>
        <v>41421.24</v>
      </c>
      <c r="AD68" s="128">
        <f t="shared" si="22"/>
        <v>41421.189999999995</v>
      </c>
      <c r="AE68" s="128">
        <f t="shared" si="22"/>
        <v>41421.189999999995</v>
      </c>
      <c r="AF68" s="128">
        <f t="shared" si="22"/>
        <v>38577.549999999996</v>
      </c>
      <c r="AG68" s="128">
        <f t="shared" si="22"/>
        <v>38577.129999999997</v>
      </c>
      <c r="AH68" s="128">
        <f t="shared" si="22"/>
        <v>38577.129999999997</v>
      </c>
      <c r="AI68" s="128">
        <f t="shared" si="22"/>
        <v>38577.549999999996</v>
      </c>
      <c r="AJ68" s="128">
        <f t="shared" si="22"/>
        <v>38577.549999999996</v>
      </c>
      <c r="AK68" s="128">
        <f t="shared" si="22"/>
        <v>38577.31</v>
      </c>
      <c r="AL68" s="128">
        <f t="shared" si="22"/>
        <v>27992.249999999996</v>
      </c>
      <c r="AM68" s="128">
        <f t="shared" si="22"/>
        <v>27992.489999999998</v>
      </c>
      <c r="AN68" s="128">
        <f t="shared" si="22"/>
        <v>27992.069999999996</v>
      </c>
      <c r="AO68" s="128">
        <f t="shared" si="22"/>
        <v>27992.489999999998</v>
      </c>
      <c r="AP68" s="128">
        <f t="shared" si="22"/>
        <v>27992.489999999998</v>
      </c>
      <c r="AQ68" s="128">
        <f t="shared" si="22"/>
        <v>27992.489999999998</v>
      </c>
      <c r="AR68" s="128">
        <f t="shared" si="22"/>
        <v>27992.489999999998</v>
      </c>
      <c r="AS68" s="128">
        <f t="shared" si="22"/>
        <v>27992.489999999998</v>
      </c>
      <c r="AT68" s="128">
        <f t="shared" si="22"/>
        <v>27992.489999999998</v>
      </c>
      <c r="AU68" s="128">
        <f t="shared" si="22"/>
        <v>38577.489999999991</v>
      </c>
      <c r="AV68" s="128">
        <f t="shared" si="22"/>
        <v>40154.49</v>
      </c>
      <c r="AW68" s="128">
        <f t="shared" si="22"/>
        <v>50159.489999999991</v>
      </c>
      <c r="AX68" s="128">
        <f t="shared" si="22"/>
        <v>47236.13</v>
      </c>
      <c r="AY68" s="128">
        <f t="shared" si="22"/>
        <v>47236.13</v>
      </c>
      <c r="AZ68" s="128">
        <f t="shared" si="22"/>
        <v>47236.13</v>
      </c>
      <c r="BA68" s="128">
        <f t="shared" si="22"/>
        <v>47236.13</v>
      </c>
      <c r="BB68" s="128">
        <f t="shared" si="22"/>
        <v>47236.13</v>
      </c>
      <c r="BC68" s="128">
        <f t="shared" si="22"/>
        <v>47236.19</v>
      </c>
      <c r="BD68" s="128">
        <f t="shared" si="22"/>
        <v>47236.19</v>
      </c>
      <c r="BE68" s="128">
        <f t="shared" si="22"/>
        <v>47236.19</v>
      </c>
      <c r="BF68" s="128">
        <f t="shared" si="22"/>
        <v>47236.13</v>
      </c>
      <c r="BG68" s="128">
        <f t="shared" si="22"/>
        <v>47236.19</v>
      </c>
      <c r="BH68" s="128">
        <f t="shared" si="22"/>
        <v>47236.240000000005</v>
      </c>
      <c r="BI68" s="128">
        <f t="shared" si="22"/>
        <v>47236.240000000005</v>
      </c>
      <c r="BJ68" s="128">
        <f t="shared" si="22"/>
        <v>47236.240000000005</v>
      </c>
      <c r="BK68" s="128">
        <f t="shared" si="22"/>
        <v>47236.240000000005</v>
      </c>
      <c r="BL68" s="128">
        <f t="shared" si="22"/>
        <v>47236.240000000005</v>
      </c>
      <c r="BM68" s="128">
        <f t="shared" si="22"/>
        <v>47236.240000000005</v>
      </c>
      <c r="BN68" s="128">
        <f t="shared" si="22"/>
        <v>43386.239999999998</v>
      </c>
      <c r="BO68" s="128">
        <f t="shared" ref="BO68" si="23">SUM(BO69:BO76)</f>
        <v>43386.239999999998</v>
      </c>
      <c r="BP68" s="128">
        <v>43386.239999999998</v>
      </c>
      <c r="BQ68" s="128">
        <v>43386.240000000005</v>
      </c>
      <c r="BR68" s="128">
        <v>43386.240000000005</v>
      </c>
      <c r="BS68" s="128">
        <v>36074.85</v>
      </c>
      <c r="BT68" s="128">
        <v>35305.229999999996</v>
      </c>
      <c r="BU68" s="128">
        <v>34150.800000000003</v>
      </c>
      <c r="BV68" s="128">
        <v>33381.18</v>
      </c>
      <c r="BW68" s="128">
        <v>33381.18</v>
      </c>
      <c r="BX68" s="128">
        <f>SUM(BX69:BX76)</f>
        <v>33381.18</v>
      </c>
    </row>
    <row r="69" spans="1:76" ht="15" hidden="1" customHeight="1" outlineLevel="1">
      <c r="A69" t="s">
        <v>219</v>
      </c>
      <c r="B69" s="38" t="s">
        <v>6</v>
      </c>
      <c r="C69" s="62">
        <v>11987.249999999996</v>
      </c>
      <c r="D69" s="62">
        <v>11987.249999999996</v>
      </c>
      <c r="E69" s="62">
        <v>11987.249999999996</v>
      </c>
      <c r="F69" s="62">
        <v>11987.249999999996</v>
      </c>
      <c r="G69" s="62">
        <v>11987.249999999996</v>
      </c>
      <c r="H69" s="62">
        <v>11987.249999999996</v>
      </c>
      <c r="I69" s="62">
        <v>11987.249999999996</v>
      </c>
      <c r="J69" s="62">
        <v>11987.249999999996</v>
      </c>
      <c r="K69" s="62">
        <v>11987.249999999996</v>
      </c>
      <c r="L69" s="62">
        <v>11987.249999999996</v>
      </c>
      <c r="M69" s="62">
        <v>11987.249999999996</v>
      </c>
      <c r="N69" s="62">
        <v>11987.249999999996</v>
      </c>
      <c r="O69" s="62">
        <v>11987.249999999996</v>
      </c>
      <c r="P69" s="62">
        <v>11987.249999999996</v>
      </c>
      <c r="Q69" s="62">
        <v>11987.249999999996</v>
      </c>
      <c r="R69" s="62">
        <v>11987.249999999996</v>
      </c>
      <c r="S69" s="62">
        <v>11987.249999999996</v>
      </c>
      <c r="T69" s="62">
        <v>11987.249999999996</v>
      </c>
      <c r="U69" s="62">
        <v>11987.249999999996</v>
      </c>
      <c r="V69" s="62">
        <v>11987.249999999996</v>
      </c>
      <c r="W69" s="62">
        <v>11987.249999999996</v>
      </c>
      <c r="X69" s="62">
        <v>11987.249999999996</v>
      </c>
      <c r="Y69" s="62">
        <v>11987.249999999996</v>
      </c>
      <c r="Z69" s="62">
        <v>11987.249999999996</v>
      </c>
      <c r="AA69" s="62">
        <v>11987.249999999996</v>
      </c>
      <c r="AB69" s="62">
        <v>11987.249999999996</v>
      </c>
      <c r="AC69" s="62">
        <v>11987.249999999996</v>
      </c>
      <c r="AD69" s="62">
        <v>11987.249999999996</v>
      </c>
      <c r="AE69" s="62">
        <v>11987.249999999996</v>
      </c>
      <c r="AF69" s="62">
        <v>11987.249999999996</v>
      </c>
      <c r="AG69" s="62">
        <v>11987.249999999996</v>
      </c>
      <c r="AH69" s="62">
        <v>11987.249999999996</v>
      </c>
      <c r="AI69" s="62">
        <v>11987.249999999996</v>
      </c>
      <c r="AJ69" s="62">
        <v>11987.249999999996</v>
      </c>
      <c r="AK69" s="62">
        <v>11987.249999999996</v>
      </c>
      <c r="AL69" s="62">
        <v>11987.249999999996</v>
      </c>
      <c r="AM69" s="62">
        <v>11987.249999999996</v>
      </c>
      <c r="AN69" s="62">
        <v>11987.249999999996</v>
      </c>
      <c r="AO69" s="62">
        <v>11987.249999999996</v>
      </c>
      <c r="AP69" s="62">
        <v>11987.249999999996</v>
      </c>
      <c r="AQ69" s="62">
        <v>11987.249999999996</v>
      </c>
      <c r="AR69" s="62">
        <v>11987.249999999996</v>
      </c>
      <c r="AS69" s="62">
        <v>11987.249999999996</v>
      </c>
      <c r="AT69" s="62">
        <v>11987.249999999996</v>
      </c>
      <c r="AU69" s="62">
        <v>11987.249999999996</v>
      </c>
      <c r="AV69" s="62">
        <v>11987.249999999996</v>
      </c>
      <c r="AW69" s="62">
        <v>11987.249999999996</v>
      </c>
      <c r="AX69" s="62">
        <v>11987.249999999996</v>
      </c>
      <c r="AY69" s="62">
        <v>11987.249999999996</v>
      </c>
      <c r="AZ69" s="62">
        <v>11987.249999999996</v>
      </c>
      <c r="BA69" s="62">
        <v>11987.249999999996</v>
      </c>
      <c r="BB69" s="62">
        <v>11987.249999999996</v>
      </c>
      <c r="BC69" s="62">
        <v>11987.249999999996</v>
      </c>
      <c r="BD69" s="62">
        <v>11987.249999999996</v>
      </c>
      <c r="BE69" s="62">
        <v>11987.249999999996</v>
      </c>
      <c r="BF69" s="62">
        <v>11987.249999999996</v>
      </c>
      <c r="BG69" s="137">
        <v>11987.249999999996</v>
      </c>
      <c r="BH69" s="137">
        <v>11987.249999999996</v>
      </c>
      <c r="BI69" s="137">
        <v>11987.249999999996</v>
      </c>
      <c r="BJ69" s="137">
        <v>11987.249999999996</v>
      </c>
      <c r="BK69" s="137">
        <v>11987.249999999996</v>
      </c>
      <c r="BL69" s="137">
        <v>11987.249999999996</v>
      </c>
      <c r="BM69" s="137">
        <v>11987.249999999996</v>
      </c>
      <c r="BN69" s="137">
        <v>11987.249999999996</v>
      </c>
      <c r="BO69" s="137">
        <v>11987.249999999996</v>
      </c>
      <c r="BP69" s="137">
        <v>11987.249999999996</v>
      </c>
      <c r="BQ69" s="137">
        <v>11987.249999999996</v>
      </c>
      <c r="BR69" s="137">
        <v>11987.249999999996</v>
      </c>
      <c r="BS69" s="137">
        <v>11987.249999999996</v>
      </c>
      <c r="BT69" s="137">
        <v>11987.249999999996</v>
      </c>
      <c r="BU69" s="137">
        <v>11987.249999999996</v>
      </c>
      <c r="BV69" s="137">
        <v>11987.249999999996</v>
      </c>
      <c r="BW69" s="137">
        <v>11987.249999999996</v>
      </c>
      <c r="BX69" s="137">
        <v>11987.249999999996</v>
      </c>
    </row>
    <row r="70" spans="1:76" ht="15" hidden="1" customHeight="1" outlineLevel="1">
      <c r="A70" t="s">
        <v>220</v>
      </c>
      <c r="B70" s="38" t="s">
        <v>7</v>
      </c>
      <c r="C70" s="62">
        <v>8385.82</v>
      </c>
      <c r="D70" s="62">
        <v>8385.82</v>
      </c>
      <c r="E70" s="62">
        <v>8385.82</v>
      </c>
      <c r="F70" s="62">
        <v>8385.82</v>
      </c>
      <c r="G70" s="62">
        <v>8385.82</v>
      </c>
      <c r="H70" s="62">
        <v>8385.82</v>
      </c>
      <c r="I70" s="62">
        <v>8385.82</v>
      </c>
      <c r="J70" s="62">
        <v>8385.82</v>
      </c>
      <c r="K70" s="62">
        <v>8385.82</v>
      </c>
      <c r="L70" s="62">
        <v>8385.82</v>
      </c>
      <c r="M70" s="62">
        <v>8385.82</v>
      </c>
      <c r="N70" s="62">
        <v>8385.82</v>
      </c>
      <c r="O70" s="62">
        <v>8385.82</v>
      </c>
      <c r="P70" s="62">
        <v>8385.82</v>
      </c>
      <c r="Q70" s="62">
        <v>8385.82</v>
      </c>
      <c r="R70" s="62">
        <v>8385.82</v>
      </c>
      <c r="S70" s="62">
        <v>8385.82</v>
      </c>
      <c r="T70" s="62">
        <v>8385.82</v>
      </c>
      <c r="U70" s="62">
        <v>8385.82</v>
      </c>
      <c r="V70" s="62">
        <v>8385.82</v>
      </c>
      <c r="W70" s="62">
        <v>8385.82</v>
      </c>
      <c r="X70" s="62">
        <v>8385.82</v>
      </c>
      <c r="Y70" s="62">
        <v>8385.82</v>
      </c>
      <c r="Z70" s="62">
        <v>8385.82</v>
      </c>
      <c r="AA70" s="62">
        <v>8385.82</v>
      </c>
      <c r="AB70" s="62">
        <v>8385.82</v>
      </c>
      <c r="AC70" s="62">
        <v>8385.82</v>
      </c>
      <c r="AD70" s="62">
        <v>8385.82</v>
      </c>
      <c r="AE70" s="62">
        <v>8385.82</v>
      </c>
      <c r="AF70" s="62">
        <v>8385.82</v>
      </c>
      <c r="AG70" s="62">
        <v>8385.82</v>
      </c>
      <c r="AH70" s="62">
        <v>8385.82</v>
      </c>
      <c r="AI70" s="62">
        <v>8385.82</v>
      </c>
      <c r="AJ70" s="62">
        <v>8385.82</v>
      </c>
      <c r="AK70" s="62">
        <v>8386</v>
      </c>
      <c r="AL70" s="62">
        <v>8386</v>
      </c>
      <c r="AM70" s="62">
        <v>8385.82</v>
      </c>
      <c r="AN70" s="62">
        <v>8385.82</v>
      </c>
      <c r="AO70" s="62">
        <v>8385.82</v>
      </c>
      <c r="AP70" s="62">
        <v>8385.82</v>
      </c>
      <c r="AQ70" s="62">
        <v>8385.82</v>
      </c>
      <c r="AR70" s="62">
        <v>8385.82</v>
      </c>
      <c r="AS70" s="62">
        <v>8385.82</v>
      </c>
      <c r="AT70" s="62">
        <v>8385.82</v>
      </c>
      <c r="AU70" s="62">
        <v>8385.82</v>
      </c>
      <c r="AV70" s="62">
        <v>8385.82</v>
      </c>
      <c r="AW70" s="62">
        <v>8385.82</v>
      </c>
      <c r="AX70" s="62">
        <v>8385.82</v>
      </c>
      <c r="AY70" s="62">
        <v>8385.82</v>
      </c>
      <c r="AZ70" s="62">
        <v>8385.82</v>
      </c>
      <c r="BA70" s="62">
        <v>8385.82</v>
      </c>
      <c r="BB70" s="62">
        <v>8385.82</v>
      </c>
      <c r="BC70" s="62">
        <v>8385.82</v>
      </c>
      <c r="BD70" s="62">
        <v>8385.82</v>
      </c>
      <c r="BE70" s="62">
        <v>8385.82</v>
      </c>
      <c r="BF70" s="62">
        <v>8385.82</v>
      </c>
      <c r="BG70" s="137">
        <v>8385.82</v>
      </c>
      <c r="BH70" s="137">
        <v>8385.82</v>
      </c>
      <c r="BI70" s="137">
        <v>8385.82</v>
      </c>
      <c r="BJ70" s="137">
        <v>8385.82</v>
      </c>
      <c r="BK70" s="137">
        <v>8385.82</v>
      </c>
      <c r="BL70" s="137">
        <v>8385.82</v>
      </c>
      <c r="BM70" s="137">
        <v>8385.82</v>
      </c>
      <c r="BN70" s="137">
        <v>8385.82</v>
      </c>
      <c r="BO70" s="137">
        <v>8385.82</v>
      </c>
      <c r="BP70" s="137">
        <v>8385.82</v>
      </c>
      <c r="BQ70" s="137">
        <v>8385.82</v>
      </c>
      <c r="BR70" s="137">
        <v>8385.82</v>
      </c>
      <c r="BS70" s="137">
        <v>8385.82</v>
      </c>
      <c r="BT70" s="137">
        <v>8385.82</v>
      </c>
      <c r="BU70" s="137">
        <v>8385.82</v>
      </c>
      <c r="BV70" s="137">
        <v>8385.82</v>
      </c>
      <c r="BW70" s="137">
        <v>8385.82</v>
      </c>
      <c r="BX70" s="137">
        <v>8385.82</v>
      </c>
    </row>
    <row r="71" spans="1:76" ht="15" hidden="1" customHeight="1" outlineLevel="1">
      <c r="A71" t="s">
        <v>18</v>
      </c>
      <c r="B71" s="38" t="s">
        <v>29</v>
      </c>
      <c r="C71" s="61">
        <v>2923</v>
      </c>
      <c r="D71" s="61">
        <v>2923</v>
      </c>
      <c r="E71" s="61">
        <v>2923</v>
      </c>
      <c r="F71" s="61">
        <v>2923</v>
      </c>
      <c r="G71" s="61">
        <v>2923</v>
      </c>
      <c r="H71" s="61">
        <v>2923</v>
      </c>
      <c r="I71" s="61">
        <v>2923</v>
      </c>
      <c r="J71" s="61">
        <v>2923</v>
      </c>
      <c r="K71" s="61">
        <v>2923</v>
      </c>
      <c r="L71" s="61">
        <v>2923</v>
      </c>
      <c r="M71" s="61">
        <v>2923</v>
      </c>
      <c r="N71" s="61">
        <v>2923</v>
      </c>
      <c r="O71" s="61">
        <v>2923</v>
      </c>
      <c r="P71" s="61">
        <v>2923</v>
      </c>
      <c r="Q71" s="61">
        <v>2923</v>
      </c>
      <c r="R71" s="61">
        <v>2923</v>
      </c>
      <c r="S71" s="61">
        <v>2923</v>
      </c>
      <c r="T71" s="61">
        <v>2923</v>
      </c>
      <c r="U71" s="61">
        <v>2923</v>
      </c>
      <c r="V71" s="61">
        <v>2923</v>
      </c>
      <c r="W71" s="61">
        <v>2923</v>
      </c>
      <c r="X71" s="61">
        <v>2923</v>
      </c>
      <c r="Y71" s="61">
        <v>2923</v>
      </c>
      <c r="Z71" s="61">
        <v>2923</v>
      </c>
      <c r="AA71" s="61">
        <v>2923</v>
      </c>
      <c r="AB71" s="61">
        <v>2923</v>
      </c>
      <c r="AC71" s="61">
        <v>2923</v>
      </c>
      <c r="AD71" s="61">
        <v>2923</v>
      </c>
      <c r="AE71" s="61">
        <v>2923</v>
      </c>
      <c r="AF71" s="61">
        <v>2923.36</v>
      </c>
      <c r="AG71" s="61">
        <v>2923</v>
      </c>
      <c r="AH71" s="61">
        <v>2923</v>
      </c>
      <c r="AI71" s="61">
        <v>2923.36</v>
      </c>
      <c r="AJ71" s="62">
        <v>2923.36</v>
      </c>
      <c r="AK71" s="62">
        <v>2923</v>
      </c>
      <c r="AL71" s="62">
        <v>2923</v>
      </c>
      <c r="AM71" s="62">
        <v>2923.36</v>
      </c>
      <c r="AN71" s="62">
        <v>2923</v>
      </c>
      <c r="AO71" s="62">
        <v>2923.36</v>
      </c>
      <c r="AP71" s="62">
        <v>2923.36</v>
      </c>
      <c r="AQ71" s="62">
        <v>2923.36</v>
      </c>
      <c r="AR71" s="62">
        <v>2923.36</v>
      </c>
      <c r="AS71" s="62">
        <v>2923.36</v>
      </c>
      <c r="AT71" s="62">
        <v>2923.36</v>
      </c>
      <c r="AU71" s="62">
        <v>2923.36</v>
      </c>
      <c r="AV71" s="62">
        <v>2923.36</v>
      </c>
      <c r="AW71" s="62">
        <v>2923.36</v>
      </c>
      <c r="AX71" s="137">
        <v>0</v>
      </c>
      <c r="AY71" s="137">
        <v>0</v>
      </c>
      <c r="AZ71" s="137">
        <v>0</v>
      </c>
      <c r="BA71" s="137">
        <v>0</v>
      </c>
      <c r="BB71" s="137">
        <v>0</v>
      </c>
      <c r="BC71" s="62">
        <v>0</v>
      </c>
      <c r="BD71" s="62">
        <v>0</v>
      </c>
      <c r="BE71" s="62">
        <v>0</v>
      </c>
      <c r="BF71" s="62">
        <v>0</v>
      </c>
      <c r="BG71" s="137">
        <v>0</v>
      </c>
      <c r="BH71" s="137">
        <v>0</v>
      </c>
      <c r="BI71" s="137">
        <v>0</v>
      </c>
      <c r="BJ71" s="137">
        <v>0</v>
      </c>
      <c r="BK71" s="137">
        <v>0</v>
      </c>
      <c r="BL71" s="137">
        <v>0</v>
      </c>
      <c r="BM71" s="137">
        <v>0</v>
      </c>
      <c r="BN71" s="137">
        <v>0</v>
      </c>
      <c r="BO71" s="137">
        <v>0</v>
      </c>
      <c r="BP71" s="137">
        <v>0</v>
      </c>
      <c r="BQ71" s="137">
        <v>0</v>
      </c>
      <c r="BR71" s="137">
        <v>0</v>
      </c>
      <c r="BS71" s="137">
        <v>0</v>
      </c>
      <c r="BT71" s="137">
        <v>0</v>
      </c>
      <c r="BU71" s="137">
        <v>0</v>
      </c>
      <c r="BV71" s="137">
        <v>0</v>
      </c>
      <c r="BW71" s="137">
        <v>0</v>
      </c>
      <c r="BX71" s="137">
        <v>0</v>
      </c>
    </row>
    <row r="72" spans="1:76" ht="15" hidden="1" customHeight="1" outlineLevel="1">
      <c r="A72" t="s">
        <v>222</v>
      </c>
      <c r="B72" s="38" t="s">
        <v>9</v>
      </c>
      <c r="C72" s="62">
        <v>10585.060000000001</v>
      </c>
      <c r="D72" s="62">
        <v>10585.060000000001</v>
      </c>
      <c r="E72" s="62">
        <v>10585.060000000001</v>
      </c>
      <c r="F72" s="62">
        <v>10585.060000000001</v>
      </c>
      <c r="G72" s="62">
        <v>10585.060000000001</v>
      </c>
      <c r="H72" s="62">
        <v>10585.060000000001</v>
      </c>
      <c r="I72" s="62">
        <v>10585.060000000001</v>
      </c>
      <c r="J72" s="62">
        <v>10585.060000000001</v>
      </c>
      <c r="K72" s="62">
        <v>10585.060000000001</v>
      </c>
      <c r="L72" s="62">
        <v>10585.060000000001</v>
      </c>
      <c r="M72" s="62">
        <v>10585.060000000001</v>
      </c>
      <c r="N72" s="62">
        <v>10585.060000000001</v>
      </c>
      <c r="O72" s="62">
        <v>10585.060000000001</v>
      </c>
      <c r="P72" s="62">
        <v>10585.060000000001</v>
      </c>
      <c r="Q72" s="62">
        <v>10585.060000000001</v>
      </c>
      <c r="R72" s="62">
        <v>10585.060000000001</v>
      </c>
      <c r="S72" s="62">
        <v>10585.060000000001</v>
      </c>
      <c r="T72" s="62">
        <v>10585.060000000001</v>
      </c>
      <c r="U72" s="62">
        <v>10585.060000000001</v>
      </c>
      <c r="V72" s="62">
        <v>10585.060000000001</v>
      </c>
      <c r="W72" s="62">
        <v>10585.060000000001</v>
      </c>
      <c r="X72" s="62">
        <v>10585.060000000001</v>
      </c>
      <c r="Y72" s="62">
        <v>10585.060000000001</v>
      </c>
      <c r="Z72" s="62">
        <v>10585.060000000001</v>
      </c>
      <c r="AA72" s="62">
        <v>10585.060000000001</v>
      </c>
      <c r="AB72" s="62">
        <v>10585.060000000001</v>
      </c>
      <c r="AC72" s="62">
        <v>10585.060000000001</v>
      </c>
      <c r="AD72" s="62">
        <v>10585.060000000001</v>
      </c>
      <c r="AE72" s="62">
        <v>10585.060000000001</v>
      </c>
      <c r="AF72" s="62">
        <v>10585.060000000001</v>
      </c>
      <c r="AG72" s="62">
        <v>10585.060000000001</v>
      </c>
      <c r="AH72" s="62">
        <v>10585.060000000001</v>
      </c>
      <c r="AI72" s="62">
        <v>10585.060000000001</v>
      </c>
      <c r="AJ72" s="62">
        <v>10585.060000000001</v>
      </c>
      <c r="AK72" s="62">
        <v>10585.060000000001</v>
      </c>
      <c r="AL72" s="61">
        <v>0</v>
      </c>
      <c r="AM72" s="61">
        <v>0</v>
      </c>
      <c r="AN72" s="61">
        <v>0</v>
      </c>
      <c r="AO72" s="61">
        <v>0</v>
      </c>
      <c r="AP72" s="61">
        <v>0</v>
      </c>
      <c r="AQ72" s="61">
        <v>0</v>
      </c>
      <c r="AR72" s="61">
        <v>0</v>
      </c>
      <c r="AS72" s="61">
        <v>0</v>
      </c>
      <c r="AT72" s="61">
        <v>0</v>
      </c>
      <c r="AU72" s="137">
        <v>10585</v>
      </c>
      <c r="AV72" s="61">
        <v>0</v>
      </c>
      <c r="AW72" s="137">
        <v>10005</v>
      </c>
      <c r="AX72" s="137">
        <v>10005</v>
      </c>
      <c r="AY72" s="137">
        <v>10005</v>
      </c>
      <c r="AZ72" s="137">
        <v>10005</v>
      </c>
      <c r="BA72" s="137">
        <v>10005</v>
      </c>
      <c r="BB72" s="137">
        <v>10005</v>
      </c>
      <c r="BC72" s="137">
        <v>10005.06</v>
      </c>
      <c r="BD72" s="137">
        <v>10005.06</v>
      </c>
      <c r="BE72" s="137">
        <v>10005.06</v>
      </c>
      <c r="BF72" s="137">
        <v>10005</v>
      </c>
      <c r="BG72" s="137">
        <v>10005.06</v>
      </c>
      <c r="BH72" s="137">
        <v>10005.06</v>
      </c>
      <c r="BI72" s="137">
        <v>10005.06</v>
      </c>
      <c r="BJ72" s="137">
        <v>10005.06</v>
      </c>
      <c r="BK72" s="137">
        <v>10005.06</v>
      </c>
      <c r="BL72" s="137">
        <v>10005.06</v>
      </c>
      <c r="BM72" s="137">
        <v>10005.06</v>
      </c>
      <c r="BN72" s="137">
        <v>10005.06</v>
      </c>
      <c r="BO72" s="137">
        <v>10005.06</v>
      </c>
      <c r="BP72" s="137">
        <v>10005.06</v>
      </c>
      <c r="BQ72" s="137">
        <v>10005.060000000001</v>
      </c>
      <c r="BR72" s="137">
        <v>10005.060000000001</v>
      </c>
      <c r="BS72" s="137">
        <v>2693.6699999999996</v>
      </c>
      <c r="BT72" s="137">
        <v>1924.0499999999997</v>
      </c>
      <c r="BU72" s="137">
        <v>769.61999999999989</v>
      </c>
      <c r="BV72" s="137" t="s">
        <v>321</v>
      </c>
      <c r="BW72" s="137">
        <v>0</v>
      </c>
      <c r="BX72" s="137" t="s">
        <v>321</v>
      </c>
    </row>
    <row r="73" spans="1:76" ht="15" hidden="1" customHeight="1" outlineLevel="1">
      <c r="A73" t="s">
        <v>223</v>
      </c>
      <c r="B73" s="38" t="s">
        <v>10</v>
      </c>
      <c r="C73" s="61">
        <v>846.06</v>
      </c>
      <c r="D73" s="61">
        <v>846.06</v>
      </c>
      <c r="E73" s="61">
        <v>846.06</v>
      </c>
      <c r="F73" s="61">
        <v>846.06</v>
      </c>
      <c r="G73" s="61">
        <v>846.06</v>
      </c>
      <c r="H73" s="61">
        <v>846.06</v>
      </c>
      <c r="I73" s="61">
        <v>846.06</v>
      </c>
      <c r="J73" s="61">
        <v>846.06</v>
      </c>
      <c r="K73" s="61">
        <v>846.06</v>
      </c>
      <c r="L73" s="61">
        <v>846.06</v>
      </c>
      <c r="M73" s="61">
        <v>846.06</v>
      </c>
      <c r="N73" s="61">
        <v>846.06</v>
      </c>
      <c r="O73" s="61">
        <v>846.06</v>
      </c>
      <c r="P73" s="61">
        <v>846.06</v>
      </c>
      <c r="Q73" s="61">
        <v>846.06</v>
      </c>
      <c r="R73" s="61">
        <v>846.06</v>
      </c>
      <c r="S73" s="61">
        <v>846.06</v>
      </c>
      <c r="T73" s="61">
        <v>846.06</v>
      </c>
      <c r="U73" s="61">
        <v>846.06</v>
      </c>
      <c r="V73" s="61">
        <v>846.06</v>
      </c>
      <c r="W73" s="61">
        <v>846.06</v>
      </c>
      <c r="X73" s="61">
        <v>846.06</v>
      </c>
      <c r="Y73" s="61">
        <v>846.06</v>
      </c>
      <c r="Z73" s="61">
        <v>846.06</v>
      </c>
      <c r="AA73" s="61">
        <v>846.06</v>
      </c>
      <c r="AB73" s="61">
        <v>846.06</v>
      </c>
      <c r="AC73" s="61">
        <v>846.06</v>
      </c>
      <c r="AD73" s="61">
        <v>846.06</v>
      </c>
      <c r="AE73" s="61">
        <v>846.06</v>
      </c>
      <c r="AF73" s="61">
        <v>846.06</v>
      </c>
      <c r="AG73" s="61">
        <v>846</v>
      </c>
      <c r="AH73" s="61">
        <v>846</v>
      </c>
      <c r="AI73" s="61">
        <v>846.06</v>
      </c>
      <c r="AJ73" s="62">
        <v>846.06</v>
      </c>
      <c r="AK73" s="62">
        <v>846</v>
      </c>
      <c r="AL73" s="62">
        <v>846</v>
      </c>
      <c r="AM73" s="62">
        <v>846.06</v>
      </c>
      <c r="AN73" s="62">
        <v>846</v>
      </c>
      <c r="AO73" s="62">
        <v>846.06</v>
      </c>
      <c r="AP73" s="62">
        <v>846.06</v>
      </c>
      <c r="AQ73" s="62">
        <v>846.06</v>
      </c>
      <c r="AR73" s="62">
        <v>846.06</v>
      </c>
      <c r="AS73" s="62">
        <v>846.06</v>
      </c>
      <c r="AT73" s="62">
        <v>846.06</v>
      </c>
      <c r="AU73" s="62">
        <v>846.06</v>
      </c>
      <c r="AV73" s="62">
        <v>846.06</v>
      </c>
      <c r="AW73" s="62">
        <v>846.06</v>
      </c>
      <c r="AX73" s="62">
        <v>846.06</v>
      </c>
      <c r="AY73" s="62">
        <v>846.06</v>
      </c>
      <c r="AZ73" s="62">
        <v>846.06</v>
      </c>
      <c r="BA73" s="62">
        <v>846.06</v>
      </c>
      <c r="BB73" s="62">
        <v>846.06</v>
      </c>
      <c r="BC73" s="62">
        <v>846.06</v>
      </c>
      <c r="BD73" s="62">
        <v>846.06</v>
      </c>
      <c r="BE73" s="62">
        <v>846.06</v>
      </c>
      <c r="BF73" s="62">
        <v>846.06</v>
      </c>
      <c r="BG73" s="137">
        <v>846.06</v>
      </c>
      <c r="BH73" s="137">
        <v>846.06</v>
      </c>
      <c r="BI73" s="137">
        <v>846.06</v>
      </c>
      <c r="BJ73" s="137">
        <v>846.06</v>
      </c>
      <c r="BK73" s="137">
        <v>846.06</v>
      </c>
      <c r="BL73" s="137">
        <v>846.06</v>
      </c>
      <c r="BM73" s="137">
        <v>846.06</v>
      </c>
      <c r="BN73" s="137">
        <v>846.06</v>
      </c>
      <c r="BO73" s="137">
        <v>846.06</v>
      </c>
      <c r="BP73" s="137">
        <v>846.06</v>
      </c>
      <c r="BQ73" s="137">
        <v>846.06</v>
      </c>
      <c r="BR73" s="137">
        <v>846.06</v>
      </c>
      <c r="BS73" s="137">
        <v>846.06</v>
      </c>
      <c r="BT73" s="137">
        <v>846.06</v>
      </c>
      <c r="BU73" s="137">
        <v>846.06</v>
      </c>
      <c r="BV73" s="137">
        <v>846.06</v>
      </c>
      <c r="BW73" s="137">
        <v>846.06</v>
      </c>
      <c r="BX73" s="137">
        <v>846.06</v>
      </c>
    </row>
    <row r="74" spans="1:76" ht="15" hidden="1" customHeight="1" outlineLevel="1">
      <c r="A74" t="s">
        <v>224</v>
      </c>
      <c r="B74" s="38" t="s">
        <v>11</v>
      </c>
      <c r="C74" s="61">
        <v>0</v>
      </c>
      <c r="D74" s="61">
        <v>3850</v>
      </c>
      <c r="E74" s="61">
        <v>3850</v>
      </c>
      <c r="F74" s="61">
        <v>3850</v>
      </c>
      <c r="G74" s="61">
        <v>3850</v>
      </c>
      <c r="H74" s="61">
        <v>3850</v>
      </c>
      <c r="I74" s="61">
        <v>3850</v>
      </c>
      <c r="J74" s="61">
        <v>3850</v>
      </c>
      <c r="K74" s="61">
        <v>3850</v>
      </c>
      <c r="L74" s="61">
        <v>3850</v>
      </c>
      <c r="M74" s="61">
        <v>3850</v>
      </c>
      <c r="N74" s="61">
        <v>3850</v>
      </c>
      <c r="O74" s="61">
        <v>3850</v>
      </c>
      <c r="P74" s="61">
        <v>3850</v>
      </c>
      <c r="Q74" s="61">
        <v>3850</v>
      </c>
      <c r="R74" s="61">
        <v>3850</v>
      </c>
      <c r="S74" s="61">
        <v>3850</v>
      </c>
      <c r="T74" s="61">
        <v>3850</v>
      </c>
      <c r="U74" s="61">
        <v>3850</v>
      </c>
      <c r="V74" s="61">
        <v>3850</v>
      </c>
      <c r="W74" s="61">
        <v>3850</v>
      </c>
      <c r="X74" s="61">
        <v>3850</v>
      </c>
      <c r="Y74" s="61">
        <v>3850</v>
      </c>
      <c r="Z74" s="61">
        <v>3850</v>
      </c>
      <c r="AA74" s="61">
        <v>3850</v>
      </c>
      <c r="AB74" s="61">
        <v>3850</v>
      </c>
      <c r="AC74" s="61">
        <v>3850</v>
      </c>
      <c r="AD74" s="61">
        <v>3850</v>
      </c>
      <c r="AE74" s="61">
        <v>3850</v>
      </c>
      <c r="AF74" s="61">
        <v>3850</v>
      </c>
      <c r="AG74" s="61">
        <v>3850</v>
      </c>
      <c r="AH74" s="61">
        <v>3850</v>
      </c>
      <c r="AI74" s="61">
        <v>3850</v>
      </c>
      <c r="AJ74" s="62">
        <v>3850</v>
      </c>
      <c r="AK74" s="62">
        <v>3850</v>
      </c>
      <c r="AL74" s="62">
        <v>3850</v>
      </c>
      <c r="AM74" s="62">
        <v>3850</v>
      </c>
      <c r="AN74" s="62">
        <v>3850</v>
      </c>
      <c r="AO74" s="62">
        <v>3850</v>
      </c>
      <c r="AP74" s="62">
        <v>3850</v>
      </c>
      <c r="AQ74" s="62">
        <v>3850</v>
      </c>
      <c r="AR74" s="62">
        <v>3850</v>
      </c>
      <c r="AS74" s="62">
        <v>3850</v>
      </c>
      <c r="AT74" s="62">
        <v>3850</v>
      </c>
      <c r="AU74" s="62">
        <v>3850</v>
      </c>
      <c r="AV74" s="62">
        <v>3850</v>
      </c>
      <c r="AW74" s="62">
        <v>3850</v>
      </c>
      <c r="AX74" s="62">
        <v>3850</v>
      </c>
      <c r="AY74" s="62">
        <v>3850</v>
      </c>
      <c r="AZ74" s="62">
        <v>3850</v>
      </c>
      <c r="BA74" s="62">
        <v>3850</v>
      </c>
      <c r="BB74" s="62">
        <v>3850</v>
      </c>
      <c r="BC74" s="62">
        <v>3850</v>
      </c>
      <c r="BD74" s="62">
        <v>3850</v>
      </c>
      <c r="BE74" s="62">
        <v>3850</v>
      </c>
      <c r="BF74" s="62">
        <v>3850</v>
      </c>
      <c r="BG74" s="137">
        <v>3850</v>
      </c>
      <c r="BH74" s="137">
        <v>3850</v>
      </c>
      <c r="BI74" s="137">
        <v>3850</v>
      </c>
      <c r="BJ74" s="137">
        <v>3850</v>
      </c>
      <c r="BK74" s="137">
        <v>3850</v>
      </c>
      <c r="BL74" s="137">
        <v>3850</v>
      </c>
      <c r="BM74" s="137">
        <v>3850</v>
      </c>
      <c r="BN74" s="137">
        <v>0</v>
      </c>
      <c r="BO74" s="137">
        <v>0</v>
      </c>
      <c r="BP74" s="137">
        <v>0</v>
      </c>
      <c r="BQ74" s="137">
        <v>0</v>
      </c>
      <c r="BR74" s="137">
        <v>0</v>
      </c>
      <c r="BS74" s="137">
        <v>0</v>
      </c>
      <c r="BT74" s="137">
        <v>0</v>
      </c>
      <c r="BU74" s="137">
        <v>0</v>
      </c>
      <c r="BV74" s="137">
        <v>0</v>
      </c>
      <c r="BW74" s="137">
        <v>0</v>
      </c>
      <c r="BX74" s="137">
        <v>0</v>
      </c>
    </row>
    <row r="75" spans="1:76" ht="15" hidden="1" customHeight="1" outlineLevel="1">
      <c r="A75" t="s">
        <v>18</v>
      </c>
      <c r="B75" s="38" t="s">
        <v>8</v>
      </c>
      <c r="C75" s="61">
        <v>2844</v>
      </c>
      <c r="D75" s="61">
        <v>2844</v>
      </c>
      <c r="E75" s="61">
        <v>2844</v>
      </c>
      <c r="F75" s="61">
        <v>2844</v>
      </c>
      <c r="G75" s="61">
        <v>2844</v>
      </c>
      <c r="H75" s="61">
        <v>2844</v>
      </c>
      <c r="I75" s="61">
        <v>2844</v>
      </c>
      <c r="J75" s="61">
        <v>2844</v>
      </c>
      <c r="K75" s="61">
        <v>2844</v>
      </c>
      <c r="L75" s="61">
        <v>2844</v>
      </c>
      <c r="M75" s="61">
        <v>2844</v>
      </c>
      <c r="N75" s="61">
        <v>2844</v>
      </c>
      <c r="O75" s="61">
        <v>2844</v>
      </c>
      <c r="P75" s="61">
        <v>2844</v>
      </c>
      <c r="Q75" s="61">
        <v>2844</v>
      </c>
      <c r="R75" s="61">
        <v>2844</v>
      </c>
      <c r="S75" s="61">
        <v>2844</v>
      </c>
      <c r="T75" s="61">
        <v>2844</v>
      </c>
      <c r="U75" s="61">
        <v>2844</v>
      </c>
      <c r="V75" s="61">
        <v>2844</v>
      </c>
      <c r="W75" s="61">
        <v>2844</v>
      </c>
      <c r="X75" s="61">
        <v>2844.05</v>
      </c>
      <c r="Y75" s="61">
        <v>2844.05</v>
      </c>
      <c r="Z75" s="61">
        <v>2844.05</v>
      </c>
      <c r="AA75" s="61">
        <v>2844.05</v>
      </c>
      <c r="AB75" s="61">
        <v>2844.05</v>
      </c>
      <c r="AC75" s="61">
        <v>2844.05</v>
      </c>
      <c r="AD75" s="61">
        <v>2844</v>
      </c>
      <c r="AE75" s="61">
        <v>2844</v>
      </c>
      <c r="AF75" s="62">
        <v>0</v>
      </c>
      <c r="AG75" s="62">
        <v>0</v>
      </c>
      <c r="AH75" s="62">
        <v>0</v>
      </c>
      <c r="AI75" s="62">
        <v>0</v>
      </c>
      <c r="AJ75" s="62">
        <v>0</v>
      </c>
      <c r="AK75" s="62">
        <v>0</v>
      </c>
      <c r="AL75" s="62">
        <v>0</v>
      </c>
      <c r="AM75" s="62">
        <v>0</v>
      </c>
      <c r="AN75" s="62">
        <v>0</v>
      </c>
      <c r="AO75" s="62">
        <v>0</v>
      </c>
      <c r="AP75" s="62">
        <v>0</v>
      </c>
      <c r="AQ75" s="62">
        <v>0</v>
      </c>
      <c r="AR75" s="62">
        <v>0</v>
      </c>
      <c r="AS75" s="62">
        <v>0</v>
      </c>
      <c r="AT75" s="62">
        <v>0</v>
      </c>
      <c r="AU75" s="62">
        <v>0</v>
      </c>
      <c r="AV75" s="62">
        <v>0</v>
      </c>
      <c r="AW75" s="62">
        <v>0</v>
      </c>
      <c r="AX75" s="62">
        <v>0</v>
      </c>
      <c r="AY75" s="62">
        <v>0</v>
      </c>
      <c r="AZ75" s="62">
        <v>0</v>
      </c>
      <c r="BA75" s="62">
        <v>0</v>
      </c>
      <c r="BB75" s="62">
        <v>0</v>
      </c>
      <c r="BC75" s="62">
        <v>0</v>
      </c>
      <c r="BD75" s="62">
        <v>0</v>
      </c>
      <c r="BE75" s="62">
        <v>0</v>
      </c>
      <c r="BF75" s="62">
        <v>0</v>
      </c>
      <c r="BG75" s="137">
        <v>0</v>
      </c>
      <c r="BH75" s="137">
        <v>0</v>
      </c>
      <c r="BI75" s="137">
        <v>0</v>
      </c>
      <c r="BJ75" s="137">
        <v>0</v>
      </c>
      <c r="BK75" s="137">
        <v>0</v>
      </c>
      <c r="BL75" s="137">
        <v>0</v>
      </c>
      <c r="BM75" s="137">
        <v>0</v>
      </c>
      <c r="BN75" s="137">
        <v>0</v>
      </c>
      <c r="BO75" s="137">
        <v>0</v>
      </c>
      <c r="BP75" s="137">
        <v>0</v>
      </c>
      <c r="BQ75" s="137">
        <v>0</v>
      </c>
      <c r="BR75" s="137">
        <v>0</v>
      </c>
      <c r="BS75" s="137">
        <v>0</v>
      </c>
      <c r="BT75" s="137">
        <v>0</v>
      </c>
      <c r="BU75" s="137">
        <v>0</v>
      </c>
      <c r="BV75" s="137">
        <v>0</v>
      </c>
      <c r="BW75" s="137">
        <v>0</v>
      </c>
      <c r="BX75" s="137">
        <v>0</v>
      </c>
    </row>
    <row r="76" spans="1:76" ht="15" hidden="1" customHeight="1" outlineLevel="1">
      <c r="A76" t="s">
        <v>225</v>
      </c>
      <c r="B76" s="38" t="s">
        <v>45</v>
      </c>
      <c r="C76" s="61" t="s">
        <v>18</v>
      </c>
      <c r="D76" s="61" t="s">
        <v>18</v>
      </c>
      <c r="E76" s="61" t="s">
        <v>18</v>
      </c>
      <c r="F76" s="61" t="s">
        <v>18</v>
      </c>
      <c r="G76" s="61" t="s">
        <v>18</v>
      </c>
      <c r="H76" s="61" t="s">
        <v>18</v>
      </c>
      <c r="I76" s="61" t="s">
        <v>18</v>
      </c>
      <c r="J76" s="61" t="s">
        <v>18</v>
      </c>
      <c r="K76" s="61" t="s">
        <v>18</v>
      </c>
      <c r="L76" s="61" t="s">
        <v>18</v>
      </c>
      <c r="M76" s="61" t="s">
        <v>18</v>
      </c>
      <c r="N76" s="61" t="s">
        <v>18</v>
      </c>
      <c r="O76" s="61" t="s">
        <v>18</v>
      </c>
      <c r="P76" s="61" t="s">
        <v>18</v>
      </c>
      <c r="Q76" s="61" t="s">
        <v>18</v>
      </c>
      <c r="R76" s="61" t="s">
        <v>18</v>
      </c>
      <c r="S76" s="61" t="s">
        <v>18</v>
      </c>
      <c r="T76" s="61" t="s">
        <v>18</v>
      </c>
      <c r="U76" s="61" t="s">
        <v>18</v>
      </c>
      <c r="V76" s="61" t="s">
        <v>18</v>
      </c>
      <c r="W76" s="61" t="s">
        <v>18</v>
      </c>
      <c r="X76" s="61" t="s">
        <v>18</v>
      </c>
      <c r="Y76" s="61" t="s">
        <v>18</v>
      </c>
      <c r="Z76" s="61" t="s">
        <v>18</v>
      </c>
      <c r="AA76" s="61" t="s">
        <v>18</v>
      </c>
      <c r="AB76" s="61" t="s">
        <v>18</v>
      </c>
      <c r="AC76" s="61" t="s">
        <v>18</v>
      </c>
      <c r="AD76" s="61" t="s">
        <v>18</v>
      </c>
      <c r="AE76" s="61" t="s">
        <v>18</v>
      </c>
      <c r="AF76" s="61" t="s">
        <v>18</v>
      </c>
      <c r="AG76" s="61" t="s">
        <v>18</v>
      </c>
      <c r="AH76" s="61" t="s">
        <v>18</v>
      </c>
      <c r="AI76" s="61" t="s">
        <v>18</v>
      </c>
      <c r="AJ76" s="61" t="s">
        <v>18</v>
      </c>
      <c r="AK76" s="61" t="s">
        <v>18</v>
      </c>
      <c r="AL76" s="150" t="s">
        <v>18</v>
      </c>
      <c r="AM76" s="150" t="s">
        <v>18</v>
      </c>
      <c r="AN76" s="150" t="s">
        <v>18</v>
      </c>
      <c r="AO76" s="150" t="s">
        <v>18</v>
      </c>
      <c r="AP76" s="150" t="s">
        <v>18</v>
      </c>
      <c r="AQ76" s="150" t="s">
        <v>18</v>
      </c>
      <c r="AR76" s="150" t="s">
        <v>18</v>
      </c>
      <c r="AS76" s="150" t="s">
        <v>18</v>
      </c>
      <c r="AT76" s="150" t="s">
        <v>18</v>
      </c>
      <c r="AU76" s="150">
        <v>0</v>
      </c>
      <c r="AV76" s="62">
        <v>12162</v>
      </c>
      <c r="AW76" s="62">
        <v>12162</v>
      </c>
      <c r="AX76" s="62">
        <v>12162</v>
      </c>
      <c r="AY76" s="62">
        <v>12162</v>
      </c>
      <c r="AZ76" s="62">
        <v>12162</v>
      </c>
      <c r="BA76" s="62">
        <v>12162</v>
      </c>
      <c r="BB76" s="62">
        <v>12162</v>
      </c>
      <c r="BC76" s="62">
        <v>12162</v>
      </c>
      <c r="BD76" s="62">
        <v>12162</v>
      </c>
      <c r="BE76" s="62">
        <v>12162</v>
      </c>
      <c r="BF76" s="62">
        <v>12162</v>
      </c>
      <c r="BG76" s="137">
        <v>12162</v>
      </c>
      <c r="BH76" s="137">
        <v>12162.05</v>
      </c>
      <c r="BI76" s="137">
        <v>12162.05</v>
      </c>
      <c r="BJ76" s="137">
        <v>12162.05</v>
      </c>
      <c r="BK76" s="137">
        <v>12162.05</v>
      </c>
      <c r="BL76" s="137">
        <v>12162.05</v>
      </c>
      <c r="BM76" s="137">
        <v>12162.05</v>
      </c>
      <c r="BN76" s="137">
        <v>12162.05</v>
      </c>
      <c r="BO76" s="137">
        <v>12162.05</v>
      </c>
      <c r="BP76" s="137">
        <v>12162.05</v>
      </c>
      <c r="BQ76" s="137">
        <v>12162.050000000003</v>
      </c>
      <c r="BR76" s="137">
        <v>12162.050000000003</v>
      </c>
      <c r="BS76" s="137">
        <v>12162.050000000003</v>
      </c>
      <c r="BT76" s="137">
        <v>12162.050000000003</v>
      </c>
      <c r="BU76" s="137">
        <v>12162.050000000003</v>
      </c>
      <c r="BV76" s="137">
        <v>12162.050000000003</v>
      </c>
      <c r="BW76" s="137">
        <v>12162.050000000003</v>
      </c>
      <c r="BX76" s="137">
        <v>12162.050000000003</v>
      </c>
    </row>
    <row r="77" spans="1:76" s="15" customFormat="1" ht="15" customHeight="1" collapsed="1">
      <c r="B77" s="80" t="s">
        <v>15</v>
      </c>
      <c r="C77" s="128">
        <f t="shared" ref="C77:BN77" si="24">SUM(C78:C85)</f>
        <v>64416</v>
      </c>
      <c r="D77" s="128">
        <f t="shared" si="24"/>
        <v>64416</v>
      </c>
      <c r="E77" s="128">
        <f t="shared" si="24"/>
        <v>64416</v>
      </c>
      <c r="F77" s="128">
        <f t="shared" si="24"/>
        <v>64416</v>
      </c>
      <c r="G77" s="128">
        <f t="shared" si="24"/>
        <v>64416</v>
      </c>
      <c r="H77" s="128">
        <f t="shared" si="24"/>
        <v>64416</v>
      </c>
      <c r="I77" s="128">
        <f t="shared" si="24"/>
        <v>64713</v>
      </c>
      <c r="J77" s="128">
        <f t="shared" si="24"/>
        <v>68400</v>
      </c>
      <c r="K77" s="128">
        <f t="shared" si="24"/>
        <v>68400</v>
      </c>
      <c r="L77" s="128">
        <f t="shared" si="24"/>
        <v>68400</v>
      </c>
      <c r="M77" s="128">
        <f t="shared" si="24"/>
        <v>69247</v>
      </c>
      <c r="N77" s="128">
        <f t="shared" si="24"/>
        <v>69247</v>
      </c>
      <c r="O77" s="128">
        <f t="shared" si="24"/>
        <v>69247</v>
      </c>
      <c r="P77" s="128">
        <f t="shared" si="24"/>
        <v>69247</v>
      </c>
      <c r="Q77" s="128">
        <f t="shared" si="24"/>
        <v>69247</v>
      </c>
      <c r="R77" s="128">
        <f t="shared" si="24"/>
        <v>69247</v>
      </c>
      <c r="S77" s="128">
        <f t="shared" si="24"/>
        <v>69247</v>
      </c>
      <c r="T77" s="128">
        <f t="shared" si="24"/>
        <v>134509</v>
      </c>
      <c r="U77" s="128">
        <f t="shared" si="24"/>
        <v>134509</v>
      </c>
      <c r="V77" s="128">
        <f t="shared" si="24"/>
        <v>149043</v>
      </c>
      <c r="W77" s="128">
        <f t="shared" si="24"/>
        <v>149043</v>
      </c>
      <c r="X77" s="128">
        <f t="shared" si="24"/>
        <v>144531</v>
      </c>
      <c r="Y77" s="128">
        <f t="shared" si="24"/>
        <v>144530.8303</v>
      </c>
      <c r="Z77" s="128">
        <f t="shared" si="24"/>
        <v>223865.8303</v>
      </c>
      <c r="AA77" s="128">
        <f t="shared" si="24"/>
        <v>223865.8303</v>
      </c>
      <c r="AB77" s="128">
        <f t="shared" si="24"/>
        <v>223865.8303</v>
      </c>
      <c r="AC77" s="128">
        <f t="shared" si="24"/>
        <v>224665.13484346194</v>
      </c>
      <c r="AD77" s="128">
        <f t="shared" si="24"/>
        <v>224664.24381208274</v>
      </c>
      <c r="AE77" s="128">
        <f t="shared" si="24"/>
        <v>224664.24381208274</v>
      </c>
      <c r="AF77" s="128">
        <f t="shared" si="24"/>
        <v>242763.72575104475</v>
      </c>
      <c r="AG77" s="128">
        <f t="shared" si="24"/>
        <v>242763.72575104475</v>
      </c>
      <c r="AH77" s="128">
        <f t="shared" si="24"/>
        <v>241910.72575104478</v>
      </c>
      <c r="AI77" s="128">
        <f t="shared" si="24"/>
        <v>241851.59534031298</v>
      </c>
      <c r="AJ77" s="128">
        <f t="shared" si="24"/>
        <v>268642.85063107818</v>
      </c>
      <c r="AK77" s="128">
        <f t="shared" si="24"/>
        <v>268536.13427490514</v>
      </c>
      <c r="AL77" s="128">
        <f t="shared" si="24"/>
        <v>203025.74907705461</v>
      </c>
      <c r="AM77" s="128">
        <f t="shared" si="24"/>
        <v>202560.07980271135</v>
      </c>
      <c r="AN77" s="128">
        <f t="shared" si="24"/>
        <v>202647.52</v>
      </c>
      <c r="AO77" s="128">
        <f t="shared" si="24"/>
        <v>203386.55000000002</v>
      </c>
      <c r="AP77" s="128">
        <f t="shared" si="24"/>
        <v>204937.75187099999</v>
      </c>
      <c r="AQ77" s="128">
        <f t="shared" si="24"/>
        <v>203576.48907099996</v>
      </c>
      <c r="AR77" s="128">
        <f t="shared" si="24"/>
        <v>203835.94889199996</v>
      </c>
      <c r="AS77" s="128">
        <f t="shared" si="24"/>
        <v>203863.76950699999</v>
      </c>
      <c r="AT77" s="128">
        <f t="shared" si="24"/>
        <v>203877.07950699999</v>
      </c>
      <c r="AU77" s="128">
        <f t="shared" si="24"/>
        <v>260951.64</v>
      </c>
      <c r="AV77" s="128">
        <f t="shared" si="24"/>
        <v>203141.73053333332</v>
      </c>
      <c r="AW77" s="128">
        <f t="shared" si="24"/>
        <v>240424.45719999998</v>
      </c>
      <c r="AX77" s="128">
        <f t="shared" si="24"/>
        <v>241850.03999999998</v>
      </c>
      <c r="AY77" s="128">
        <f t="shared" si="24"/>
        <v>241892.15197433333</v>
      </c>
      <c r="AZ77" s="128">
        <f t="shared" si="24"/>
        <v>241907.448641</v>
      </c>
      <c r="BA77" s="128">
        <f t="shared" si="24"/>
        <v>241938.15197433333</v>
      </c>
      <c r="BB77" s="128">
        <f t="shared" si="24"/>
        <v>242184.34340266671</v>
      </c>
      <c r="BC77" s="128">
        <f t="shared" si="24"/>
        <v>241999.16673600001</v>
      </c>
      <c r="BD77" s="128">
        <f t="shared" si="24"/>
        <v>240663.913936</v>
      </c>
      <c r="BE77" s="128">
        <f t="shared" si="24"/>
        <v>240130.03393600002</v>
      </c>
      <c r="BF77" s="128">
        <f t="shared" si="24"/>
        <v>203098.37470866667</v>
      </c>
      <c r="BG77" s="128">
        <f t="shared" si="24"/>
        <v>203136.83132166663</v>
      </c>
      <c r="BH77" s="128">
        <f t="shared" si="24"/>
        <v>203142.30132166666</v>
      </c>
      <c r="BI77" s="128">
        <f t="shared" si="24"/>
        <v>203173.75253199998</v>
      </c>
      <c r="BJ77" s="128">
        <f t="shared" si="24"/>
        <v>176329.62119166669</v>
      </c>
      <c r="BK77" s="128">
        <f t="shared" si="24"/>
        <v>176426.227766</v>
      </c>
      <c r="BL77" s="128">
        <f t="shared" si="24"/>
        <v>176578.24286599999</v>
      </c>
      <c r="BM77" s="128">
        <f t="shared" si="24"/>
        <v>176702.99523399997</v>
      </c>
      <c r="BN77" s="128">
        <f t="shared" si="24"/>
        <v>176706.54063799998</v>
      </c>
      <c r="BO77" s="128">
        <f t="shared" ref="BO77" si="25">SUM(BO78:BO85)</f>
        <v>167906.32030199998</v>
      </c>
      <c r="BP77" s="128">
        <v>102124.19807800002</v>
      </c>
      <c r="BQ77" s="128">
        <v>102356.37644173493</v>
      </c>
      <c r="BR77" s="128">
        <v>67118.260041666683</v>
      </c>
      <c r="BS77" s="128">
        <v>67098.849589000005</v>
      </c>
      <c r="BT77" s="128">
        <v>67096.576045000023</v>
      </c>
      <c r="BU77" s="128">
        <v>67092.028957000017</v>
      </c>
      <c r="BV77" s="128">
        <v>56330.254708000008</v>
      </c>
      <c r="BW77" s="128">
        <v>56330.214708</v>
      </c>
      <c r="BX77" s="128">
        <f>SUM(BX78:BX85)</f>
        <v>56330.497166000001</v>
      </c>
    </row>
    <row r="78" spans="1:76" ht="15" hidden="1" customHeight="1" outlineLevel="1">
      <c r="A78" t="s">
        <v>226</v>
      </c>
      <c r="B78" s="38" t="s">
        <v>12</v>
      </c>
      <c r="C78" s="61">
        <v>4443</v>
      </c>
      <c r="D78" s="61">
        <v>4443</v>
      </c>
      <c r="E78" s="61">
        <v>4443</v>
      </c>
      <c r="F78" s="61">
        <v>4443</v>
      </c>
      <c r="G78" s="61">
        <v>4443</v>
      </c>
      <c r="H78" s="61">
        <v>4443</v>
      </c>
      <c r="I78" s="61">
        <v>4759</v>
      </c>
      <c r="J78" s="61">
        <v>8446</v>
      </c>
      <c r="K78" s="61">
        <v>8446</v>
      </c>
      <c r="L78" s="61">
        <v>8446</v>
      </c>
      <c r="M78" s="61">
        <v>9293</v>
      </c>
      <c r="N78" s="61">
        <v>9293</v>
      </c>
      <c r="O78" s="61">
        <v>9293</v>
      </c>
      <c r="P78" s="61">
        <v>9293</v>
      </c>
      <c r="Q78" s="61">
        <v>9293</v>
      </c>
      <c r="R78" s="61">
        <v>9293</v>
      </c>
      <c r="S78" s="61">
        <v>9293</v>
      </c>
      <c r="T78" s="61">
        <v>9293</v>
      </c>
      <c r="U78" s="61">
        <v>9293</v>
      </c>
      <c r="V78" s="61">
        <v>9293</v>
      </c>
      <c r="W78" s="61">
        <v>9293</v>
      </c>
      <c r="X78" s="61">
        <v>9293</v>
      </c>
      <c r="Y78" s="61">
        <v>9292.8302999999996</v>
      </c>
      <c r="Z78" s="61">
        <v>9292.8302999999996</v>
      </c>
      <c r="AA78" s="61">
        <v>9292.8302999999996</v>
      </c>
      <c r="AB78" s="61">
        <v>9292.8302999999996</v>
      </c>
      <c r="AC78" s="61">
        <v>9294.7257000000009</v>
      </c>
      <c r="AD78" s="61">
        <v>9295</v>
      </c>
      <c r="AE78" s="61">
        <v>9295</v>
      </c>
      <c r="AF78" s="61">
        <v>9294.7699260000009</v>
      </c>
      <c r="AG78" s="61">
        <v>9294.7699260000009</v>
      </c>
      <c r="AH78" s="61">
        <v>9294.7699260000009</v>
      </c>
      <c r="AI78" s="61">
        <v>9294.7193820000011</v>
      </c>
      <c r="AJ78" s="61">
        <v>9383.1777000000002</v>
      </c>
      <c r="AK78" s="61">
        <v>9383</v>
      </c>
      <c r="AL78" s="61">
        <v>9383</v>
      </c>
      <c r="AM78" s="61">
        <v>8915.2318709999981</v>
      </c>
      <c r="AN78" s="62">
        <v>8915</v>
      </c>
      <c r="AO78" s="62">
        <v>8915</v>
      </c>
      <c r="AP78" s="62">
        <v>8915.2318709999981</v>
      </c>
      <c r="AQ78" s="62">
        <v>8915.231871</v>
      </c>
      <c r="AR78" s="62">
        <v>9174.9616919999989</v>
      </c>
      <c r="AS78" s="62">
        <v>9086.4623069999998</v>
      </c>
      <c r="AT78" s="62">
        <v>9086.4623069999998</v>
      </c>
      <c r="AU78" s="137">
        <v>28764</v>
      </c>
      <c r="AV78" s="62">
        <v>9150</v>
      </c>
      <c r="AW78" s="137">
        <v>9413</v>
      </c>
      <c r="AX78" s="137">
        <v>9413</v>
      </c>
      <c r="AY78" s="62">
        <v>9414.4486410000009</v>
      </c>
      <c r="AZ78" s="62">
        <v>9414.4486410000009</v>
      </c>
      <c r="BA78" s="62">
        <v>9414.4486410000009</v>
      </c>
      <c r="BB78" s="62">
        <v>9413.5167359999996</v>
      </c>
      <c r="BC78" s="62">
        <v>9413.5167360000014</v>
      </c>
      <c r="BD78" s="62">
        <v>9413.5167360000014</v>
      </c>
      <c r="BE78" s="62">
        <v>9413.5167360000014</v>
      </c>
      <c r="BF78" s="62">
        <v>9371.3988420000005</v>
      </c>
      <c r="BG78" s="137">
        <v>9409.8554550000008</v>
      </c>
      <c r="BH78" s="137">
        <v>9409.8554550000008</v>
      </c>
      <c r="BI78" s="137">
        <v>9412.8133320000015</v>
      </c>
      <c r="BJ78" s="137">
        <v>9418.7290859999994</v>
      </c>
      <c r="BK78" s="137">
        <v>9481.9059269999998</v>
      </c>
      <c r="BL78" s="137">
        <v>9481.9059269999998</v>
      </c>
      <c r="BM78" s="137">
        <v>9481.9059269999998</v>
      </c>
      <c r="BN78" s="137">
        <v>9481.9059270000016</v>
      </c>
      <c r="BO78" s="137">
        <v>9481.9059270000016</v>
      </c>
      <c r="BP78" s="137">
        <v>10766.570611000003</v>
      </c>
      <c r="BQ78" s="137">
        <v>10766.570611000005</v>
      </c>
      <c r="BR78" s="137">
        <v>10781.224701666672</v>
      </c>
      <c r="BS78" s="137">
        <v>10761.814249000003</v>
      </c>
      <c r="BT78" s="137">
        <v>10761.814249000003</v>
      </c>
      <c r="BU78" s="137">
        <v>10761.814249000003</v>
      </c>
      <c r="BV78" s="137" t="s">
        <v>321</v>
      </c>
      <c r="BW78" s="137">
        <v>0</v>
      </c>
      <c r="BX78" s="137" t="s">
        <v>321</v>
      </c>
    </row>
    <row r="79" spans="1:76" ht="15" hidden="1" customHeight="1" outlineLevel="1">
      <c r="A79" t="s">
        <v>227</v>
      </c>
      <c r="B79" s="38" t="s">
        <v>30</v>
      </c>
      <c r="C79" s="61">
        <v>59973</v>
      </c>
      <c r="D79" s="61">
        <v>59973</v>
      </c>
      <c r="E79" s="61">
        <v>59973</v>
      </c>
      <c r="F79" s="61">
        <v>59973</v>
      </c>
      <c r="G79" s="61">
        <v>59973</v>
      </c>
      <c r="H79" s="61">
        <v>59973</v>
      </c>
      <c r="I79" s="61">
        <v>59954</v>
      </c>
      <c r="J79" s="61">
        <v>59954</v>
      </c>
      <c r="K79" s="61">
        <v>59954</v>
      </c>
      <c r="L79" s="61">
        <v>59954</v>
      </c>
      <c r="M79" s="61">
        <v>59954</v>
      </c>
      <c r="N79" s="61">
        <v>59954</v>
      </c>
      <c r="O79" s="61">
        <v>59954</v>
      </c>
      <c r="P79" s="61">
        <v>59954</v>
      </c>
      <c r="Q79" s="61">
        <v>59954</v>
      </c>
      <c r="R79" s="61">
        <v>59954</v>
      </c>
      <c r="S79" s="61">
        <v>59954</v>
      </c>
      <c r="T79" s="61">
        <v>59954</v>
      </c>
      <c r="U79" s="61">
        <v>59954</v>
      </c>
      <c r="V79" s="61">
        <v>74488</v>
      </c>
      <c r="W79" s="61">
        <v>74488</v>
      </c>
      <c r="X79" s="61">
        <v>69976</v>
      </c>
      <c r="Y79" s="61">
        <v>69976</v>
      </c>
      <c r="Z79" s="61">
        <v>69976</v>
      </c>
      <c r="AA79" s="61">
        <v>69976</v>
      </c>
      <c r="AB79" s="61">
        <v>69976</v>
      </c>
      <c r="AC79" s="61">
        <v>69518.509143461968</v>
      </c>
      <c r="AD79" s="61">
        <v>69517.993812082728</v>
      </c>
      <c r="AE79" s="61">
        <v>69517.993812082728</v>
      </c>
      <c r="AF79" s="61">
        <v>69650.875825044772</v>
      </c>
      <c r="AG79" s="61">
        <v>69650.875825044772</v>
      </c>
      <c r="AH79" s="61">
        <v>69650.875825044786</v>
      </c>
      <c r="AI79" s="61">
        <v>69653.515958312986</v>
      </c>
      <c r="AJ79" s="61">
        <v>69634.514999185805</v>
      </c>
      <c r="AK79" s="61">
        <v>69618.954567659996</v>
      </c>
      <c r="AL79" s="61">
        <v>69614.069369809484</v>
      </c>
      <c r="AM79" s="61">
        <v>69614.240000000005</v>
      </c>
      <c r="AN79" s="62">
        <v>69509.95</v>
      </c>
      <c r="AO79" s="62">
        <v>69509.95</v>
      </c>
      <c r="AP79" s="62">
        <v>69503.009999999995</v>
      </c>
      <c r="AQ79" s="62">
        <v>69503.009999999995</v>
      </c>
      <c r="AR79" s="62">
        <v>69503.009999999995</v>
      </c>
      <c r="AS79" s="62">
        <v>69503.009999999995</v>
      </c>
      <c r="AT79" s="62">
        <v>69503.009999999995</v>
      </c>
      <c r="AU79" s="137">
        <v>69535</v>
      </c>
      <c r="AV79" s="62">
        <v>69550.039999999994</v>
      </c>
      <c r="AW79" s="137">
        <v>69533</v>
      </c>
      <c r="AX79" s="137">
        <v>69261</v>
      </c>
      <c r="AY79" s="62">
        <v>69260.963333333333</v>
      </c>
      <c r="AZ79" s="137">
        <v>69261</v>
      </c>
      <c r="BA79" s="62">
        <v>69260.963333333333</v>
      </c>
      <c r="BB79" s="62">
        <v>69260.97</v>
      </c>
      <c r="BC79" s="62">
        <v>69261</v>
      </c>
      <c r="BD79" s="62">
        <v>69260.969999999987</v>
      </c>
      <c r="BE79" s="62">
        <v>69260.969999999987</v>
      </c>
      <c r="BF79" s="62">
        <v>69619.66</v>
      </c>
      <c r="BG79" s="137">
        <v>69619.659999999989</v>
      </c>
      <c r="BH79" s="137">
        <v>69619.82666666666</v>
      </c>
      <c r="BI79" s="137">
        <v>69620.159999999989</v>
      </c>
      <c r="BJ79" s="137">
        <v>42753.513038999998</v>
      </c>
      <c r="BK79" s="137">
        <v>42753.513038999998</v>
      </c>
      <c r="BL79" s="137">
        <v>42760.268138999993</v>
      </c>
      <c r="BM79" s="137">
        <v>42885.020506999994</v>
      </c>
      <c r="BN79" s="137">
        <v>42888.565911000005</v>
      </c>
      <c r="BO79" s="137">
        <v>42895.345574999999</v>
      </c>
      <c r="BP79" s="137">
        <v>42294.829467000003</v>
      </c>
      <c r="BQ79" s="137">
        <v>42527.007830734925</v>
      </c>
      <c r="BR79" s="137">
        <v>7274.2373400000006</v>
      </c>
      <c r="BS79" s="137">
        <v>7274.2373399999997</v>
      </c>
      <c r="BT79" s="137">
        <v>7271.963796</v>
      </c>
      <c r="BU79" s="137">
        <v>7267.4167080000007</v>
      </c>
      <c r="BV79" s="137">
        <v>7267.4167080000007</v>
      </c>
      <c r="BW79" s="137">
        <v>7267.4167080000007</v>
      </c>
      <c r="BX79" s="137">
        <v>7267.6991659999994</v>
      </c>
    </row>
    <row r="80" spans="1:76" ht="15" hidden="1" customHeight="1" outlineLevel="1">
      <c r="A80" t="s">
        <v>18</v>
      </c>
      <c r="B80" s="38" t="s">
        <v>31</v>
      </c>
      <c r="C80" s="61">
        <v>0</v>
      </c>
      <c r="D80" s="61">
        <v>0</v>
      </c>
      <c r="E80" s="61">
        <v>0</v>
      </c>
      <c r="F80" s="61">
        <v>0</v>
      </c>
      <c r="G80" s="61">
        <v>0</v>
      </c>
      <c r="H80" s="61">
        <v>0</v>
      </c>
      <c r="I80" s="61">
        <v>0</v>
      </c>
      <c r="J80" s="61">
        <v>0</v>
      </c>
      <c r="K80" s="61">
        <v>0</v>
      </c>
      <c r="L80" s="61">
        <v>0</v>
      </c>
      <c r="M80" s="61">
        <v>0</v>
      </c>
      <c r="N80" s="61">
        <v>0</v>
      </c>
      <c r="O80" s="61">
        <v>0</v>
      </c>
      <c r="P80" s="61">
        <v>0</v>
      </c>
      <c r="Q80" s="61">
        <v>0</v>
      </c>
      <c r="R80" s="61">
        <v>0</v>
      </c>
      <c r="S80" s="61">
        <v>0</v>
      </c>
      <c r="T80" s="61">
        <v>33982</v>
      </c>
      <c r="U80" s="61">
        <v>33982</v>
      </c>
      <c r="V80" s="61">
        <v>33982</v>
      </c>
      <c r="W80" s="61">
        <v>33982</v>
      </c>
      <c r="X80" s="61">
        <v>33982</v>
      </c>
      <c r="Y80" s="61">
        <v>33982</v>
      </c>
      <c r="Z80" s="61">
        <v>33982</v>
      </c>
      <c r="AA80" s="61">
        <v>33982</v>
      </c>
      <c r="AB80" s="61">
        <v>33982</v>
      </c>
      <c r="AC80" s="61">
        <v>35297.5</v>
      </c>
      <c r="AD80" s="61">
        <v>35297.5</v>
      </c>
      <c r="AE80" s="61">
        <v>35297.5</v>
      </c>
      <c r="AF80" s="61">
        <v>35295.21</v>
      </c>
      <c r="AG80" s="61">
        <v>35295.21</v>
      </c>
      <c r="AH80" s="61">
        <v>35536.400000000001</v>
      </c>
      <c r="AI80" s="61">
        <v>35536.400000000001</v>
      </c>
      <c r="AJ80" s="61">
        <v>35536.400000000001</v>
      </c>
      <c r="AK80" s="61">
        <v>35537.5</v>
      </c>
      <c r="AL80" s="61">
        <v>0</v>
      </c>
      <c r="AM80" s="61">
        <v>0</v>
      </c>
      <c r="AN80" s="62">
        <v>0</v>
      </c>
      <c r="AO80" s="62">
        <v>0</v>
      </c>
      <c r="AP80" s="62">
        <v>0</v>
      </c>
      <c r="AQ80" s="62">
        <v>0</v>
      </c>
      <c r="AR80" s="62">
        <v>0</v>
      </c>
      <c r="AS80" s="62">
        <v>0</v>
      </c>
      <c r="AT80" s="62">
        <v>0</v>
      </c>
      <c r="AU80" s="137">
        <v>36947</v>
      </c>
      <c r="AV80" s="62">
        <v>0</v>
      </c>
      <c r="AW80" s="137">
        <v>37011</v>
      </c>
      <c r="AX80" s="137">
        <v>37351</v>
      </c>
      <c r="AY80" s="137">
        <v>37391</v>
      </c>
      <c r="AZ80" s="137">
        <v>37407</v>
      </c>
      <c r="BA80" s="137">
        <v>37437</v>
      </c>
      <c r="BB80" s="137">
        <v>37454</v>
      </c>
      <c r="BC80" s="137">
        <v>37462.51</v>
      </c>
      <c r="BD80" s="137">
        <v>37462.51</v>
      </c>
      <c r="BE80" s="137">
        <v>37462.510000000009</v>
      </c>
      <c r="BF80" s="137">
        <v>0</v>
      </c>
      <c r="BG80" s="137">
        <v>0</v>
      </c>
      <c r="BH80" s="137">
        <v>0</v>
      </c>
      <c r="BI80" s="137">
        <v>0</v>
      </c>
      <c r="BJ80" s="137">
        <v>0</v>
      </c>
      <c r="BK80" s="137">
        <v>0</v>
      </c>
      <c r="BL80" s="137">
        <v>0</v>
      </c>
      <c r="BM80" s="137">
        <v>0</v>
      </c>
      <c r="BN80" s="137">
        <v>0</v>
      </c>
      <c r="BO80" s="137">
        <v>0</v>
      </c>
      <c r="BP80" s="137">
        <v>0</v>
      </c>
      <c r="BQ80" s="137">
        <v>0</v>
      </c>
      <c r="BR80" s="137">
        <v>0</v>
      </c>
      <c r="BS80" s="137">
        <v>0</v>
      </c>
      <c r="BT80" s="137">
        <v>0</v>
      </c>
      <c r="BU80" s="137">
        <v>0</v>
      </c>
      <c r="BV80" s="137">
        <v>0</v>
      </c>
      <c r="BW80" s="137">
        <v>0</v>
      </c>
      <c r="BX80" s="137">
        <v>0</v>
      </c>
    </row>
    <row r="81" spans="1:76" ht="15" hidden="1" customHeight="1" outlineLevel="1">
      <c r="A81" t="s">
        <v>228</v>
      </c>
      <c r="B81" s="38" t="s">
        <v>16</v>
      </c>
      <c r="C81" s="61">
        <v>0</v>
      </c>
      <c r="D81" s="61">
        <v>0</v>
      </c>
      <c r="E81" s="61">
        <v>0</v>
      </c>
      <c r="F81" s="61">
        <v>0</v>
      </c>
      <c r="G81" s="61">
        <v>0</v>
      </c>
      <c r="H81" s="61">
        <v>0</v>
      </c>
      <c r="I81" s="61">
        <v>0</v>
      </c>
      <c r="J81" s="61">
        <v>0</v>
      </c>
      <c r="K81" s="61">
        <v>0</v>
      </c>
      <c r="L81" s="61">
        <v>0</v>
      </c>
      <c r="M81" s="61">
        <v>0</v>
      </c>
      <c r="N81" s="61">
        <v>0</v>
      </c>
      <c r="O81" s="61">
        <v>0</v>
      </c>
      <c r="P81" s="61">
        <v>0</v>
      </c>
      <c r="Q81" s="61">
        <v>0</v>
      </c>
      <c r="R81" s="61">
        <v>0</v>
      </c>
      <c r="S81" s="61">
        <v>0</v>
      </c>
      <c r="T81" s="61">
        <v>0</v>
      </c>
      <c r="U81" s="61">
        <v>0</v>
      </c>
      <c r="V81" s="61">
        <v>0</v>
      </c>
      <c r="W81" s="61">
        <v>0</v>
      </c>
      <c r="X81" s="61">
        <v>0</v>
      </c>
      <c r="Y81" s="61">
        <v>0</v>
      </c>
      <c r="Z81" s="61">
        <v>43275</v>
      </c>
      <c r="AA81" s="61">
        <v>43275</v>
      </c>
      <c r="AB81" s="61">
        <v>43275</v>
      </c>
      <c r="AC81" s="61">
        <v>44114</v>
      </c>
      <c r="AD81" s="61">
        <v>44113.75</v>
      </c>
      <c r="AE81" s="61">
        <v>44113.75</v>
      </c>
      <c r="AF81" s="61">
        <v>44114.459999999985</v>
      </c>
      <c r="AG81" s="61">
        <v>44114.459999999985</v>
      </c>
      <c r="AH81" s="61">
        <v>44114.459999999985</v>
      </c>
      <c r="AI81" s="61">
        <v>44113.64</v>
      </c>
      <c r="AJ81" s="61">
        <v>44156</v>
      </c>
      <c r="AK81" s="61">
        <v>44113.75</v>
      </c>
      <c r="AL81" s="62">
        <v>44113.75</v>
      </c>
      <c r="AM81" s="62">
        <v>44114.23</v>
      </c>
      <c r="AN81" s="62">
        <v>44135.44</v>
      </c>
      <c r="AO81" s="62">
        <v>44135.44</v>
      </c>
      <c r="AP81" s="62">
        <v>44135.44</v>
      </c>
      <c r="AQ81" s="62">
        <v>44122.13</v>
      </c>
      <c r="AR81" s="62">
        <v>44122.130000000005</v>
      </c>
      <c r="AS81" s="62">
        <v>44122.130000000005</v>
      </c>
      <c r="AT81" s="62">
        <v>44135.44</v>
      </c>
      <c r="AU81" s="137">
        <v>44119</v>
      </c>
      <c r="AV81" s="62">
        <v>44119.233333333337</v>
      </c>
      <c r="AW81" s="137">
        <v>44113</v>
      </c>
      <c r="AX81" s="137">
        <v>44116</v>
      </c>
      <c r="AY81" s="62">
        <v>44116.18</v>
      </c>
      <c r="AZ81" s="137">
        <v>44116</v>
      </c>
      <c r="BA81" s="62">
        <v>44116.18</v>
      </c>
      <c r="BB81" s="62">
        <v>44108.366666666669</v>
      </c>
      <c r="BC81" s="62">
        <v>44035</v>
      </c>
      <c r="BD81" s="62">
        <v>44035.01</v>
      </c>
      <c r="BE81" s="62">
        <v>44035.01</v>
      </c>
      <c r="BF81" s="62">
        <v>44001.53666666666</v>
      </c>
      <c r="BG81" s="137">
        <v>44001.53666666666</v>
      </c>
      <c r="BH81" s="137">
        <v>44035.010000000009</v>
      </c>
      <c r="BI81" s="137">
        <v>44035</v>
      </c>
      <c r="BJ81" s="137">
        <v>44035</v>
      </c>
      <c r="BK81" s="137">
        <v>44035</v>
      </c>
      <c r="BL81" s="137">
        <v>44035</v>
      </c>
      <c r="BM81" s="137">
        <v>44035</v>
      </c>
      <c r="BN81" s="137">
        <v>44035</v>
      </c>
      <c r="BO81" s="137">
        <v>35228</v>
      </c>
      <c r="BP81" s="137">
        <v>35228</v>
      </c>
      <c r="BQ81" s="137">
        <v>35228</v>
      </c>
      <c r="BR81" s="137">
        <v>35228.000000000007</v>
      </c>
      <c r="BS81" s="137">
        <v>35228.000000000007</v>
      </c>
      <c r="BT81" s="137">
        <v>35228.000000000022</v>
      </c>
      <c r="BU81" s="137">
        <v>35228.000000000015</v>
      </c>
      <c r="BV81" s="137">
        <v>35228.040000000008</v>
      </c>
      <c r="BW81" s="137">
        <v>35228</v>
      </c>
      <c r="BX81" s="137">
        <v>35228.000000000007</v>
      </c>
    </row>
    <row r="82" spans="1:76" ht="15" hidden="1" customHeight="1" outlineLevel="1">
      <c r="A82" t="s">
        <v>229</v>
      </c>
      <c r="B82" s="38" t="s">
        <v>17</v>
      </c>
      <c r="C82" s="61">
        <v>0</v>
      </c>
      <c r="D82" s="61">
        <v>0</v>
      </c>
      <c r="E82" s="61">
        <v>0</v>
      </c>
      <c r="F82" s="61">
        <v>0</v>
      </c>
      <c r="G82" s="61">
        <v>0</v>
      </c>
      <c r="H82" s="61">
        <v>0</v>
      </c>
      <c r="I82" s="61">
        <v>0</v>
      </c>
      <c r="J82" s="61">
        <v>0</v>
      </c>
      <c r="K82" s="61">
        <v>0</v>
      </c>
      <c r="L82" s="61">
        <v>0</v>
      </c>
      <c r="M82" s="61">
        <v>0</v>
      </c>
      <c r="N82" s="61">
        <v>0</v>
      </c>
      <c r="O82" s="61">
        <v>0</v>
      </c>
      <c r="P82" s="61">
        <v>0</v>
      </c>
      <c r="Q82" s="61">
        <v>0</v>
      </c>
      <c r="R82" s="61">
        <v>0</v>
      </c>
      <c r="S82" s="61">
        <v>0</v>
      </c>
      <c r="T82" s="61">
        <v>0</v>
      </c>
      <c r="U82" s="61">
        <v>0</v>
      </c>
      <c r="V82" s="61">
        <v>0</v>
      </c>
      <c r="W82" s="61">
        <v>0</v>
      </c>
      <c r="X82" s="61">
        <v>0</v>
      </c>
      <c r="Y82" s="61">
        <v>0</v>
      </c>
      <c r="Z82" s="61">
        <v>36060</v>
      </c>
      <c r="AA82" s="61">
        <v>36060</v>
      </c>
      <c r="AB82" s="61">
        <v>36060</v>
      </c>
      <c r="AC82" s="61">
        <v>36661</v>
      </c>
      <c r="AD82" s="61">
        <v>36660</v>
      </c>
      <c r="AE82" s="61">
        <v>36660</v>
      </c>
      <c r="AF82" s="61">
        <v>36714.189999999995</v>
      </c>
      <c r="AG82" s="61">
        <v>36714.189999999995</v>
      </c>
      <c r="AH82" s="61">
        <v>36657</v>
      </c>
      <c r="AI82" s="61">
        <v>36659</v>
      </c>
      <c r="AJ82" s="61">
        <v>36657</v>
      </c>
      <c r="AK82" s="61">
        <v>36656</v>
      </c>
      <c r="AL82" s="61">
        <v>36656</v>
      </c>
      <c r="AM82" s="61">
        <v>36656.379999999983</v>
      </c>
      <c r="AN82" s="62">
        <v>36656.379999999983</v>
      </c>
      <c r="AO82" s="62">
        <v>37395</v>
      </c>
      <c r="AP82" s="62">
        <v>37395</v>
      </c>
      <c r="AQ82" s="62">
        <v>37360.039999999994</v>
      </c>
      <c r="AR82" s="62">
        <v>37360.039999999994</v>
      </c>
      <c r="AS82" s="62">
        <v>37360.039999999986</v>
      </c>
      <c r="AT82" s="62">
        <v>37360.039999999994</v>
      </c>
      <c r="AU82" s="137">
        <v>37360</v>
      </c>
      <c r="AV82" s="62">
        <v>37360.039999999994</v>
      </c>
      <c r="AW82" s="62">
        <v>37360.039999999994</v>
      </c>
      <c r="AX82" s="62">
        <v>37360.039999999994</v>
      </c>
      <c r="AY82" s="62">
        <v>37360.039999999986</v>
      </c>
      <c r="AZ82" s="137">
        <v>37360</v>
      </c>
      <c r="BA82" s="62">
        <v>37360.039999999986</v>
      </c>
      <c r="BB82" s="62">
        <v>37578.223333333321</v>
      </c>
      <c r="BC82" s="62">
        <v>37448</v>
      </c>
      <c r="BD82" s="62">
        <v>37448.019999999997</v>
      </c>
      <c r="BE82" s="62">
        <v>36914.14</v>
      </c>
      <c r="BF82" s="62">
        <v>36914.14</v>
      </c>
      <c r="BG82" s="137">
        <v>36914.14</v>
      </c>
      <c r="BH82" s="137">
        <v>36885.97</v>
      </c>
      <c r="BI82" s="137">
        <v>36914.14</v>
      </c>
      <c r="BJ82" s="137">
        <v>36914.14</v>
      </c>
      <c r="BK82" s="137">
        <v>36914.14</v>
      </c>
      <c r="BL82" s="137">
        <v>36914.14</v>
      </c>
      <c r="BM82" s="137">
        <v>36914.14</v>
      </c>
      <c r="BN82" s="137">
        <v>36914.139999999992</v>
      </c>
      <c r="BO82" s="137">
        <v>36914.139999999992</v>
      </c>
      <c r="BP82" s="137">
        <v>3691.4140000000002</v>
      </c>
      <c r="BQ82" s="137">
        <v>3691.4139999999993</v>
      </c>
      <c r="BR82" s="137">
        <v>3691.4140000000002</v>
      </c>
      <c r="BS82" s="137">
        <v>3691.4140000000002</v>
      </c>
      <c r="BT82" s="137">
        <v>3691.4140000000002</v>
      </c>
      <c r="BU82" s="137">
        <v>3691.4140000000002</v>
      </c>
      <c r="BV82" s="137">
        <v>3691.4140000000007</v>
      </c>
      <c r="BW82" s="137">
        <v>3691.414000000002</v>
      </c>
      <c r="BX82" s="137">
        <v>3691.4140000000007</v>
      </c>
    </row>
    <row r="83" spans="1:76" ht="15" hidden="1" customHeight="1" outlineLevel="1">
      <c r="A83" t="s">
        <v>230</v>
      </c>
      <c r="B83" s="38" t="s">
        <v>20</v>
      </c>
      <c r="C83" s="62">
        <v>0</v>
      </c>
      <c r="D83" s="62">
        <v>0</v>
      </c>
      <c r="E83" s="62">
        <v>0</v>
      </c>
      <c r="F83" s="62">
        <v>0</v>
      </c>
      <c r="G83" s="62">
        <v>0</v>
      </c>
      <c r="H83" s="62">
        <v>0</v>
      </c>
      <c r="I83" s="62">
        <v>0</v>
      </c>
      <c r="J83" s="62">
        <v>0</v>
      </c>
      <c r="K83" s="62">
        <v>0</v>
      </c>
      <c r="L83" s="62">
        <v>0</v>
      </c>
      <c r="M83" s="62">
        <v>0</v>
      </c>
      <c r="N83" s="62">
        <v>0</v>
      </c>
      <c r="O83" s="62">
        <v>0</v>
      </c>
      <c r="P83" s="62">
        <v>0</v>
      </c>
      <c r="Q83" s="62">
        <v>0</v>
      </c>
      <c r="R83" s="62">
        <v>0</v>
      </c>
      <c r="S83" s="62">
        <v>0</v>
      </c>
      <c r="T83" s="62">
        <v>0</v>
      </c>
      <c r="U83" s="62">
        <v>0</v>
      </c>
      <c r="V83" s="62">
        <v>0</v>
      </c>
      <c r="W83" s="62">
        <v>0</v>
      </c>
      <c r="X83" s="62">
        <v>0</v>
      </c>
      <c r="Y83" s="62">
        <v>0</v>
      </c>
      <c r="Z83" s="62">
        <v>0</v>
      </c>
      <c r="AA83" s="62">
        <v>0</v>
      </c>
      <c r="AB83" s="62">
        <v>0</v>
      </c>
      <c r="AC83" s="62">
        <v>0</v>
      </c>
      <c r="AD83" s="62">
        <v>0</v>
      </c>
      <c r="AE83" s="62">
        <v>0</v>
      </c>
      <c r="AF83" s="62">
        <v>17680.659999999993</v>
      </c>
      <c r="AG83" s="62">
        <v>17680.659999999993</v>
      </c>
      <c r="AH83" s="62">
        <v>16643.66</v>
      </c>
      <c r="AI83" s="62">
        <v>16626.469999999998</v>
      </c>
      <c r="AJ83" s="62">
        <v>16626</v>
      </c>
      <c r="AK83" s="62">
        <v>16626</v>
      </c>
      <c r="AL83" s="61">
        <v>16626</v>
      </c>
      <c r="AM83" s="61">
        <v>16626.469999999998</v>
      </c>
      <c r="AN83" s="62">
        <v>16619</v>
      </c>
      <c r="AO83" s="62">
        <v>16619.41</v>
      </c>
      <c r="AP83" s="62">
        <v>16619.41</v>
      </c>
      <c r="AQ83" s="62">
        <v>15306.4172</v>
      </c>
      <c r="AR83" s="62">
        <v>15306.4172</v>
      </c>
      <c r="AS83" s="62">
        <v>15306.417199999998</v>
      </c>
      <c r="AT83" s="62">
        <v>15306.4172</v>
      </c>
      <c r="AU83" s="137">
        <v>16637</v>
      </c>
      <c r="AV83" s="62">
        <v>15306.4172</v>
      </c>
      <c r="AW83" s="62">
        <v>15306.4172</v>
      </c>
      <c r="AX83" s="137">
        <v>16661</v>
      </c>
      <c r="AY83" s="62">
        <v>16661.04</v>
      </c>
      <c r="AZ83" s="137">
        <v>16661</v>
      </c>
      <c r="BA83" s="62">
        <v>16661.04</v>
      </c>
      <c r="BB83" s="62">
        <v>16680.786666666667</v>
      </c>
      <c r="BC83" s="137">
        <v>16690.66</v>
      </c>
      <c r="BD83" s="62">
        <v>15355.4072</v>
      </c>
      <c r="BE83" s="62">
        <v>15355.4072</v>
      </c>
      <c r="BF83" s="62">
        <v>15503.1592</v>
      </c>
      <c r="BG83" s="137">
        <v>15503.1592</v>
      </c>
      <c r="BH83" s="137">
        <v>15503.1592</v>
      </c>
      <c r="BI83" s="137">
        <v>15503.1592</v>
      </c>
      <c r="BJ83" s="137">
        <v>15519.759066666667</v>
      </c>
      <c r="BK83" s="137">
        <v>15553.1888</v>
      </c>
      <c r="BL83" s="137">
        <v>15553.1888</v>
      </c>
      <c r="BM83" s="137">
        <v>15553.1888</v>
      </c>
      <c r="BN83" s="137">
        <v>15553.1888</v>
      </c>
      <c r="BO83" s="137">
        <v>15553.1888</v>
      </c>
      <c r="BP83" s="137">
        <v>10143.384000000002</v>
      </c>
      <c r="BQ83" s="137">
        <v>10143.384000000002</v>
      </c>
      <c r="BR83" s="137">
        <v>10143.384000000002</v>
      </c>
      <c r="BS83" s="137">
        <v>10143.384</v>
      </c>
      <c r="BT83" s="137">
        <v>10143.383999999998</v>
      </c>
      <c r="BU83" s="137">
        <v>10143.383999999996</v>
      </c>
      <c r="BV83" s="137">
        <v>10143.383999999995</v>
      </c>
      <c r="BW83" s="137">
        <v>10143.383999999995</v>
      </c>
      <c r="BX83" s="137">
        <v>10143.383999999995</v>
      </c>
    </row>
    <row r="84" spans="1:76" ht="15" hidden="1" customHeight="1" outlineLevel="1">
      <c r="A84" t="s">
        <v>231</v>
      </c>
      <c r="B84" s="38" t="s">
        <v>23</v>
      </c>
      <c r="C84" s="61">
        <v>0</v>
      </c>
      <c r="D84" s="61">
        <v>0</v>
      </c>
      <c r="E84" s="61">
        <v>0</v>
      </c>
      <c r="F84" s="61">
        <v>0</v>
      </c>
      <c r="G84" s="61">
        <v>0</v>
      </c>
      <c r="H84" s="61">
        <v>0</v>
      </c>
      <c r="I84" s="61">
        <v>0</v>
      </c>
      <c r="J84" s="61">
        <v>0</v>
      </c>
      <c r="K84" s="61">
        <v>0</v>
      </c>
      <c r="L84" s="61">
        <v>0</v>
      </c>
      <c r="M84" s="61">
        <v>0</v>
      </c>
      <c r="N84" s="61">
        <v>0</v>
      </c>
      <c r="O84" s="61">
        <v>0</v>
      </c>
      <c r="P84" s="61">
        <v>0</v>
      </c>
      <c r="Q84" s="61">
        <v>0</v>
      </c>
      <c r="R84" s="61">
        <v>0</v>
      </c>
      <c r="S84" s="61">
        <v>0</v>
      </c>
      <c r="T84" s="61">
        <v>0</v>
      </c>
      <c r="U84" s="61">
        <v>0</v>
      </c>
      <c r="V84" s="61">
        <v>0</v>
      </c>
      <c r="W84" s="61">
        <v>0</v>
      </c>
      <c r="X84" s="61">
        <v>0</v>
      </c>
      <c r="Y84" s="61">
        <v>0</v>
      </c>
      <c r="Z84" s="61">
        <v>0</v>
      </c>
      <c r="AA84" s="61">
        <v>0</v>
      </c>
      <c r="AB84" s="61">
        <v>0</v>
      </c>
      <c r="AC84" s="61">
        <v>0</v>
      </c>
      <c r="AD84" s="61">
        <v>0</v>
      </c>
      <c r="AE84" s="61">
        <v>0</v>
      </c>
      <c r="AF84" s="61">
        <v>0</v>
      </c>
      <c r="AG84" s="61">
        <v>0</v>
      </c>
      <c r="AH84" s="61">
        <v>0</v>
      </c>
      <c r="AI84" s="61">
        <v>0</v>
      </c>
      <c r="AJ84" s="137">
        <v>26633.517931892377</v>
      </c>
      <c r="AK84" s="137">
        <v>26632.929707245155</v>
      </c>
      <c r="AL84" s="61">
        <v>26632.929707245155</v>
      </c>
      <c r="AM84" s="61">
        <v>26633.527931711385</v>
      </c>
      <c r="AN84" s="62">
        <v>26811.75</v>
      </c>
      <c r="AO84" s="62">
        <v>26811.75</v>
      </c>
      <c r="AP84" s="62">
        <v>28369.66</v>
      </c>
      <c r="AQ84" s="62">
        <v>28369.66</v>
      </c>
      <c r="AR84" s="62">
        <v>28369.389999999996</v>
      </c>
      <c r="AS84" s="62">
        <v>28485.710000000006</v>
      </c>
      <c r="AT84" s="62">
        <v>28485.71</v>
      </c>
      <c r="AU84" s="62">
        <v>27589.640000000003</v>
      </c>
      <c r="AV84" s="62">
        <v>27656</v>
      </c>
      <c r="AW84" s="137">
        <v>27688</v>
      </c>
      <c r="AX84" s="137">
        <v>27688</v>
      </c>
      <c r="AY84" s="62">
        <v>27688.48</v>
      </c>
      <c r="AZ84" s="137">
        <v>27688</v>
      </c>
      <c r="BA84" s="62">
        <v>27688.48</v>
      </c>
      <c r="BB84" s="62">
        <v>27688.48</v>
      </c>
      <c r="BC84" s="62">
        <v>27688.480000000003</v>
      </c>
      <c r="BD84" s="62">
        <v>27688.48</v>
      </c>
      <c r="BE84" s="62">
        <v>27688.48</v>
      </c>
      <c r="BF84" s="62">
        <v>27688.48</v>
      </c>
      <c r="BG84" s="137">
        <v>27688.48</v>
      </c>
      <c r="BH84" s="137">
        <v>27688.48</v>
      </c>
      <c r="BI84" s="137">
        <v>27688.48</v>
      </c>
      <c r="BJ84" s="137">
        <v>27688.48</v>
      </c>
      <c r="BK84" s="137">
        <v>27688.48</v>
      </c>
      <c r="BL84" s="137">
        <v>27833.74</v>
      </c>
      <c r="BM84" s="137">
        <v>27833.74</v>
      </c>
      <c r="BN84" s="137">
        <v>27833.74</v>
      </c>
      <c r="BO84" s="137">
        <v>27833.74</v>
      </c>
      <c r="BP84" s="137">
        <v>0</v>
      </c>
      <c r="BQ84" s="137" t="s">
        <v>321</v>
      </c>
      <c r="BR84" s="137" t="s">
        <v>321</v>
      </c>
      <c r="BS84" s="137">
        <v>0</v>
      </c>
      <c r="BT84" s="137" t="s">
        <v>321</v>
      </c>
      <c r="BU84" s="137" t="s">
        <v>321</v>
      </c>
      <c r="BV84" s="137" t="s">
        <v>321</v>
      </c>
      <c r="BW84" s="137">
        <v>0</v>
      </c>
      <c r="BX84" s="137" t="s">
        <v>321</v>
      </c>
    </row>
    <row r="85" spans="1:76" ht="15" hidden="1" customHeight="1" outlineLevel="1">
      <c r="A85" t="s">
        <v>18</v>
      </c>
      <c r="B85" s="38" t="s">
        <v>13</v>
      </c>
      <c r="C85" s="61">
        <v>0</v>
      </c>
      <c r="D85" s="61">
        <v>0</v>
      </c>
      <c r="E85" s="61">
        <v>0</v>
      </c>
      <c r="F85" s="61">
        <v>0</v>
      </c>
      <c r="G85" s="61">
        <v>0</v>
      </c>
      <c r="H85" s="61">
        <v>0</v>
      </c>
      <c r="I85" s="61">
        <v>0</v>
      </c>
      <c r="J85" s="61">
        <v>0</v>
      </c>
      <c r="K85" s="61">
        <v>0</v>
      </c>
      <c r="L85" s="61">
        <v>0</v>
      </c>
      <c r="M85" s="61">
        <v>0</v>
      </c>
      <c r="N85" s="61">
        <v>0</v>
      </c>
      <c r="O85" s="61">
        <v>0</v>
      </c>
      <c r="P85" s="61">
        <v>0</v>
      </c>
      <c r="Q85" s="61">
        <v>0</v>
      </c>
      <c r="R85" s="61">
        <v>0</v>
      </c>
      <c r="S85" s="61">
        <v>0</v>
      </c>
      <c r="T85" s="61">
        <v>31280</v>
      </c>
      <c r="U85" s="61">
        <v>31280</v>
      </c>
      <c r="V85" s="61">
        <v>31280</v>
      </c>
      <c r="W85" s="61">
        <v>31280</v>
      </c>
      <c r="X85" s="61">
        <v>31280</v>
      </c>
      <c r="Y85" s="61">
        <v>31280</v>
      </c>
      <c r="Z85" s="61">
        <v>31280</v>
      </c>
      <c r="AA85" s="61">
        <v>31280</v>
      </c>
      <c r="AB85" s="61">
        <v>31280</v>
      </c>
      <c r="AC85" s="61">
        <v>29779.4</v>
      </c>
      <c r="AD85" s="61">
        <v>29780</v>
      </c>
      <c r="AE85" s="61">
        <v>29780</v>
      </c>
      <c r="AF85" s="61">
        <v>30013.559999999998</v>
      </c>
      <c r="AG85" s="61">
        <v>30013.559999999998</v>
      </c>
      <c r="AH85" s="61">
        <v>30013.559999999998</v>
      </c>
      <c r="AI85" s="61">
        <v>29967.85</v>
      </c>
      <c r="AJ85" s="61">
        <v>30016.239999999998</v>
      </c>
      <c r="AK85" s="61">
        <v>29968</v>
      </c>
      <c r="AL85" s="61">
        <v>0</v>
      </c>
      <c r="AM85" s="61">
        <v>0</v>
      </c>
      <c r="AN85" s="62">
        <v>0</v>
      </c>
      <c r="AO85" s="62">
        <v>0</v>
      </c>
      <c r="AP85" s="62">
        <v>0</v>
      </c>
      <c r="AQ85" s="62">
        <v>0</v>
      </c>
      <c r="AR85" s="62">
        <v>0</v>
      </c>
      <c r="AS85" s="62">
        <v>0</v>
      </c>
      <c r="AT85" s="62">
        <v>0</v>
      </c>
      <c r="AU85" s="62">
        <v>0</v>
      </c>
      <c r="AV85" s="107">
        <v>0</v>
      </c>
      <c r="AW85" s="107">
        <v>0</v>
      </c>
      <c r="AX85" s="107">
        <v>0</v>
      </c>
      <c r="AY85" s="107">
        <v>0</v>
      </c>
      <c r="AZ85" s="107">
        <v>0</v>
      </c>
      <c r="BA85" s="107">
        <v>0</v>
      </c>
      <c r="BB85" s="107">
        <v>0</v>
      </c>
      <c r="BC85" s="107">
        <v>0</v>
      </c>
      <c r="BD85" s="107">
        <v>0</v>
      </c>
      <c r="BE85" s="107">
        <v>0</v>
      </c>
      <c r="BF85" s="107">
        <v>0</v>
      </c>
      <c r="BG85" s="137">
        <v>0</v>
      </c>
      <c r="BH85" s="137">
        <v>0</v>
      </c>
      <c r="BI85" s="137">
        <v>0</v>
      </c>
      <c r="BJ85" s="137">
        <v>0</v>
      </c>
      <c r="BK85" s="137">
        <v>0</v>
      </c>
      <c r="BL85" s="137">
        <v>0</v>
      </c>
      <c r="BM85" s="137">
        <v>0</v>
      </c>
      <c r="BN85" s="137">
        <v>0</v>
      </c>
      <c r="BO85" s="137">
        <v>0</v>
      </c>
      <c r="BP85" s="137">
        <v>0</v>
      </c>
      <c r="BQ85" s="137">
        <v>0</v>
      </c>
      <c r="BR85" s="137">
        <v>0</v>
      </c>
      <c r="BS85" s="137">
        <v>0</v>
      </c>
      <c r="BT85" s="137">
        <v>0</v>
      </c>
      <c r="BU85" s="137">
        <v>0</v>
      </c>
      <c r="BV85" s="137">
        <v>0</v>
      </c>
      <c r="BW85" s="137">
        <v>0</v>
      </c>
      <c r="BX85" s="137">
        <v>0</v>
      </c>
    </row>
    <row r="86" spans="1:76" s="15" customFormat="1" ht="15" customHeight="1" collapsed="1">
      <c r="B86" s="80" t="str">
        <f>IF('Sumário | Summary'!P1=1,"Galpões Logísticos","Distribution Centers")</f>
        <v>Galpões Logísticos</v>
      </c>
      <c r="C86" s="128">
        <f t="shared" ref="C86:BN86" si="26">SUM(C87:C97)</f>
        <v>40349.839999999997</v>
      </c>
      <c r="D86" s="128">
        <f t="shared" si="26"/>
        <v>40349.839999999997</v>
      </c>
      <c r="E86" s="128">
        <f t="shared" si="26"/>
        <v>40349.839999999997</v>
      </c>
      <c r="F86" s="128">
        <f t="shared" si="26"/>
        <v>40349.839999999997</v>
      </c>
      <c r="G86" s="128">
        <f t="shared" si="26"/>
        <v>40349.839999999997</v>
      </c>
      <c r="H86" s="128">
        <f t="shared" si="26"/>
        <v>40349.839999999997</v>
      </c>
      <c r="I86" s="128">
        <f t="shared" si="26"/>
        <v>40349.839999999997</v>
      </c>
      <c r="J86" s="128">
        <f t="shared" si="26"/>
        <v>40349.839999999997</v>
      </c>
      <c r="K86" s="128">
        <f t="shared" si="26"/>
        <v>40349.839999999997</v>
      </c>
      <c r="L86" s="128">
        <f t="shared" si="26"/>
        <v>40349.839999999997</v>
      </c>
      <c r="M86" s="128">
        <f t="shared" si="26"/>
        <v>40349.839999999997</v>
      </c>
      <c r="N86" s="128">
        <f t="shared" si="26"/>
        <v>40349.839999999997</v>
      </c>
      <c r="O86" s="128">
        <f t="shared" si="26"/>
        <v>40349.839999999997</v>
      </c>
      <c r="P86" s="128">
        <f t="shared" si="26"/>
        <v>40349.839999999997</v>
      </c>
      <c r="Q86" s="128">
        <f t="shared" si="26"/>
        <v>95946.84</v>
      </c>
      <c r="R86" s="128">
        <f t="shared" si="26"/>
        <v>127573.84</v>
      </c>
      <c r="S86" s="128">
        <f t="shared" si="26"/>
        <v>155417.11000000002</v>
      </c>
      <c r="T86" s="128">
        <f t="shared" si="26"/>
        <v>155417.11000000002</v>
      </c>
      <c r="U86" s="128">
        <f t="shared" si="26"/>
        <v>155417.11000000002</v>
      </c>
      <c r="V86" s="128">
        <f t="shared" si="26"/>
        <v>155417.11000000002</v>
      </c>
      <c r="W86" s="128">
        <f t="shared" si="26"/>
        <v>231392.71000000002</v>
      </c>
      <c r="X86" s="128">
        <f t="shared" si="26"/>
        <v>334489.96000000008</v>
      </c>
      <c r="Y86" s="128">
        <f t="shared" si="26"/>
        <v>334489.96000000008</v>
      </c>
      <c r="Z86" s="128">
        <f t="shared" si="26"/>
        <v>500161.32000000007</v>
      </c>
      <c r="AA86" s="128">
        <f t="shared" si="26"/>
        <v>500161.32000000007</v>
      </c>
      <c r="AB86" s="128">
        <f t="shared" si="26"/>
        <v>554614.67000000004</v>
      </c>
      <c r="AC86" s="128">
        <f t="shared" si="26"/>
        <v>618316.12</v>
      </c>
      <c r="AD86" s="128">
        <f t="shared" si="26"/>
        <v>618316.12</v>
      </c>
      <c r="AE86" s="128">
        <f t="shared" si="26"/>
        <v>618316.12</v>
      </c>
      <c r="AF86" s="128">
        <f t="shared" si="26"/>
        <v>618316.12</v>
      </c>
      <c r="AG86" s="128">
        <f t="shared" si="26"/>
        <v>618316.12</v>
      </c>
      <c r="AH86" s="128">
        <f t="shared" si="26"/>
        <v>618316.12</v>
      </c>
      <c r="AI86" s="128">
        <f t="shared" si="26"/>
        <v>732391.3</v>
      </c>
      <c r="AJ86" s="128">
        <f t="shared" si="26"/>
        <v>892870.3</v>
      </c>
      <c r="AK86" s="128">
        <f t="shared" si="26"/>
        <v>880007.3899999999</v>
      </c>
      <c r="AL86" s="128">
        <f t="shared" si="26"/>
        <v>311313.08999999997</v>
      </c>
      <c r="AM86" s="128">
        <f t="shared" si="26"/>
        <v>311313.08999999997</v>
      </c>
      <c r="AN86" s="128">
        <f t="shared" si="26"/>
        <v>311313.08999999997</v>
      </c>
      <c r="AO86" s="128">
        <f t="shared" si="26"/>
        <v>12862.59</v>
      </c>
      <c r="AP86" s="128">
        <f t="shared" si="26"/>
        <v>12862.59</v>
      </c>
      <c r="AQ86" s="128">
        <f t="shared" si="26"/>
        <v>12862.59</v>
      </c>
      <c r="AR86" s="128">
        <f t="shared" si="26"/>
        <v>0</v>
      </c>
      <c r="AS86" s="128">
        <f t="shared" si="26"/>
        <v>0</v>
      </c>
      <c r="AT86" s="128">
        <f t="shared" si="26"/>
        <v>0</v>
      </c>
      <c r="AU86" s="128">
        <f t="shared" si="26"/>
        <v>0</v>
      </c>
      <c r="AV86" s="128">
        <f t="shared" si="26"/>
        <v>0</v>
      </c>
      <c r="AW86" s="128">
        <f t="shared" si="26"/>
        <v>0</v>
      </c>
      <c r="AX86" s="128">
        <f t="shared" si="26"/>
        <v>0</v>
      </c>
      <c r="AY86" s="128">
        <f t="shared" si="26"/>
        <v>0</v>
      </c>
      <c r="AZ86" s="128">
        <f t="shared" si="26"/>
        <v>0</v>
      </c>
      <c r="BA86" s="128">
        <f t="shared" si="26"/>
        <v>0</v>
      </c>
      <c r="BB86" s="128">
        <f t="shared" si="26"/>
        <v>0</v>
      </c>
      <c r="BC86" s="128">
        <f t="shared" si="26"/>
        <v>0</v>
      </c>
      <c r="BD86" s="128">
        <f t="shared" si="26"/>
        <v>0</v>
      </c>
      <c r="BE86" s="128">
        <f t="shared" si="26"/>
        <v>0</v>
      </c>
      <c r="BF86" s="128">
        <f t="shared" si="26"/>
        <v>0</v>
      </c>
      <c r="BG86" s="128">
        <f t="shared" si="26"/>
        <v>0</v>
      </c>
      <c r="BH86" s="128">
        <f t="shared" si="26"/>
        <v>0</v>
      </c>
      <c r="BI86" s="128">
        <f t="shared" si="26"/>
        <v>0</v>
      </c>
      <c r="BJ86" s="128">
        <f t="shared" si="26"/>
        <v>0</v>
      </c>
      <c r="BK86" s="128">
        <f t="shared" si="26"/>
        <v>0</v>
      </c>
      <c r="BL86" s="128">
        <f t="shared" si="26"/>
        <v>0</v>
      </c>
      <c r="BM86" s="128">
        <f t="shared" si="26"/>
        <v>0</v>
      </c>
      <c r="BN86" s="128">
        <f t="shared" si="26"/>
        <v>38678.961750000002</v>
      </c>
      <c r="BO86" s="128">
        <f t="shared" ref="BO86" si="27">SUM(BO87:BO97)</f>
        <v>38678.961750000002</v>
      </c>
      <c r="BP86" s="128">
        <v>38678.961750000002</v>
      </c>
      <c r="BQ86" s="128">
        <v>38678.961750000002</v>
      </c>
      <c r="BR86" s="128">
        <v>38678.961750000002</v>
      </c>
      <c r="BS86" s="128">
        <v>38678.927690000004</v>
      </c>
      <c r="BT86" s="128">
        <v>63129.367014999996</v>
      </c>
      <c r="BU86" s="128">
        <v>63129.367014999996</v>
      </c>
      <c r="BV86" s="128">
        <v>95106.981189999991</v>
      </c>
      <c r="BW86" s="128">
        <v>109431.47618</v>
      </c>
      <c r="BX86" s="128">
        <f t="shared" ref="BX86" si="28">SUM(BX87:BX97)</f>
        <v>109238.70199999999</v>
      </c>
    </row>
    <row r="87" spans="1:76" ht="15" hidden="1" customHeight="1" outlineLevel="1">
      <c r="A87" t="s">
        <v>316</v>
      </c>
      <c r="B87" s="38" t="s">
        <v>314</v>
      </c>
      <c r="C87" s="137">
        <v>0</v>
      </c>
      <c r="D87" s="137">
        <v>0</v>
      </c>
      <c r="E87" s="137">
        <v>0</v>
      </c>
      <c r="F87" s="137">
        <v>0</v>
      </c>
      <c r="G87" s="137">
        <v>0</v>
      </c>
      <c r="H87" s="137">
        <v>0</v>
      </c>
      <c r="I87" s="137">
        <v>0</v>
      </c>
      <c r="J87" s="137">
        <v>0</v>
      </c>
      <c r="K87" s="137">
        <v>0</v>
      </c>
      <c r="L87" s="137">
        <v>0</v>
      </c>
      <c r="M87" s="137">
        <v>0</v>
      </c>
      <c r="N87" s="137">
        <v>0</v>
      </c>
      <c r="O87" s="137">
        <v>0</v>
      </c>
      <c r="P87" s="137">
        <v>0</v>
      </c>
      <c r="Q87" s="137">
        <v>0</v>
      </c>
      <c r="R87" s="137">
        <v>0</v>
      </c>
      <c r="S87" s="137">
        <v>0</v>
      </c>
      <c r="T87" s="137">
        <v>0</v>
      </c>
      <c r="U87" s="137">
        <v>0</v>
      </c>
      <c r="V87" s="137">
        <v>0</v>
      </c>
      <c r="W87" s="137">
        <v>0</v>
      </c>
      <c r="X87" s="137">
        <v>0</v>
      </c>
      <c r="Y87" s="137">
        <v>0</v>
      </c>
      <c r="Z87" s="137">
        <v>0</v>
      </c>
      <c r="AA87" s="137">
        <v>0</v>
      </c>
      <c r="AB87" s="137">
        <v>0</v>
      </c>
      <c r="AC87" s="137">
        <v>0</v>
      </c>
      <c r="AD87" s="137">
        <v>0</v>
      </c>
      <c r="AE87" s="137">
        <v>0</v>
      </c>
      <c r="AF87" s="137">
        <v>0</v>
      </c>
      <c r="AG87" s="137">
        <v>0</v>
      </c>
      <c r="AH87" s="137">
        <v>0</v>
      </c>
      <c r="AI87" s="137">
        <v>0</v>
      </c>
      <c r="AJ87" s="137">
        <v>0</v>
      </c>
      <c r="AK87" s="137">
        <v>0</v>
      </c>
      <c r="AL87" s="137">
        <v>0</v>
      </c>
      <c r="AM87" s="137">
        <v>0</v>
      </c>
      <c r="AN87" s="137">
        <v>0</v>
      </c>
      <c r="AO87" s="137">
        <v>0</v>
      </c>
      <c r="AP87" s="137">
        <v>0</v>
      </c>
      <c r="AQ87" s="137">
        <v>0</v>
      </c>
      <c r="AR87" s="137">
        <v>0</v>
      </c>
      <c r="AS87" s="137">
        <v>0</v>
      </c>
      <c r="AT87" s="137">
        <v>0</v>
      </c>
      <c r="AU87" s="137">
        <v>0</v>
      </c>
      <c r="AV87" s="137">
        <v>0</v>
      </c>
      <c r="AW87" s="137">
        <v>0</v>
      </c>
      <c r="AX87" s="137">
        <v>0</v>
      </c>
      <c r="AY87" s="137">
        <v>0</v>
      </c>
      <c r="AZ87" s="137">
        <v>0</v>
      </c>
      <c r="BA87" s="137">
        <v>0</v>
      </c>
      <c r="BB87" s="137">
        <v>0</v>
      </c>
      <c r="BC87" s="137">
        <v>0</v>
      </c>
      <c r="BD87" s="137">
        <v>0</v>
      </c>
      <c r="BE87" s="137">
        <v>0</v>
      </c>
      <c r="BF87" s="137">
        <v>0</v>
      </c>
      <c r="BG87" s="137">
        <v>0</v>
      </c>
      <c r="BH87" s="137">
        <v>0</v>
      </c>
      <c r="BI87" s="137">
        <v>0</v>
      </c>
      <c r="BJ87" s="137">
        <v>0</v>
      </c>
      <c r="BK87" s="137">
        <v>0</v>
      </c>
      <c r="BL87" s="137">
        <v>0</v>
      </c>
      <c r="BM87" s="137">
        <v>0</v>
      </c>
      <c r="BN87" s="137">
        <v>38678.961750000002</v>
      </c>
      <c r="BO87" s="137">
        <v>38678.961750000002</v>
      </c>
      <c r="BP87" s="137">
        <v>38678.961750000002</v>
      </c>
      <c r="BQ87" s="137">
        <v>38678.961750000002</v>
      </c>
      <c r="BR87" s="137">
        <v>38678.961750000002</v>
      </c>
      <c r="BS87" s="137">
        <v>38678.927690000004</v>
      </c>
      <c r="BT87" s="137">
        <v>63129.367014999996</v>
      </c>
      <c r="BU87" s="137">
        <v>63129.367014999996</v>
      </c>
      <c r="BV87" s="137">
        <v>95106.981189999991</v>
      </c>
      <c r="BW87" s="137">
        <v>109431.47618</v>
      </c>
      <c r="BX87" s="137">
        <v>109238.70199999999</v>
      </c>
    </row>
    <row r="88" spans="1:76" ht="15" hidden="1" customHeight="1" outlineLevel="1">
      <c r="A88" t="s">
        <v>18</v>
      </c>
      <c r="B88" s="38" t="s">
        <v>32</v>
      </c>
      <c r="C88" s="61">
        <v>40349.839999999997</v>
      </c>
      <c r="D88" s="61">
        <v>40349.839999999997</v>
      </c>
      <c r="E88" s="61">
        <v>40349.839999999997</v>
      </c>
      <c r="F88" s="61">
        <v>40349.839999999997</v>
      </c>
      <c r="G88" s="61">
        <v>40349.839999999997</v>
      </c>
      <c r="H88" s="61">
        <v>40349.839999999997</v>
      </c>
      <c r="I88" s="61">
        <v>40349.839999999997</v>
      </c>
      <c r="J88" s="61">
        <v>40349.839999999997</v>
      </c>
      <c r="K88" s="61">
        <v>40349.839999999997</v>
      </c>
      <c r="L88" s="61">
        <v>40349.839999999997</v>
      </c>
      <c r="M88" s="61">
        <v>40349.839999999997</v>
      </c>
      <c r="N88" s="61">
        <v>40349.839999999997</v>
      </c>
      <c r="O88" s="61">
        <v>40349.839999999997</v>
      </c>
      <c r="P88" s="61">
        <v>40349.839999999997</v>
      </c>
      <c r="Q88" s="61">
        <v>40349.839999999997</v>
      </c>
      <c r="R88" s="61">
        <v>40349.839999999997</v>
      </c>
      <c r="S88" s="61">
        <v>40349.839999999997</v>
      </c>
      <c r="T88" s="61">
        <v>40349.839999999997</v>
      </c>
      <c r="U88" s="61">
        <v>40349.839999999997</v>
      </c>
      <c r="V88" s="61">
        <v>40349.839999999997</v>
      </c>
      <c r="W88" s="61">
        <v>40349.839999999997</v>
      </c>
      <c r="X88" s="61">
        <v>40349.839999999997</v>
      </c>
      <c r="Y88" s="61">
        <v>40349.839999999997</v>
      </c>
      <c r="Z88" s="61">
        <v>40349.839999999997</v>
      </c>
      <c r="AA88" s="61">
        <v>40349.839999999997</v>
      </c>
      <c r="AB88" s="61">
        <v>40349.839999999997</v>
      </c>
      <c r="AC88" s="61">
        <v>40349.839999999997</v>
      </c>
      <c r="AD88" s="61">
        <v>40349.839999999997</v>
      </c>
      <c r="AE88" s="61">
        <v>40349.839999999997</v>
      </c>
      <c r="AF88" s="61">
        <v>40349.839999999997</v>
      </c>
      <c r="AG88" s="61">
        <v>40349.839999999997</v>
      </c>
      <c r="AH88" s="61">
        <v>40349.839999999997</v>
      </c>
      <c r="AI88" s="61">
        <v>40349.839999999997</v>
      </c>
      <c r="AJ88" s="61">
        <v>40349.839999999997</v>
      </c>
      <c r="AK88" s="62">
        <v>27486.93</v>
      </c>
      <c r="AL88" s="61">
        <v>27486.93</v>
      </c>
      <c r="AM88" s="61">
        <v>27486.93</v>
      </c>
      <c r="AN88" s="62">
        <v>27486.93</v>
      </c>
      <c r="AO88" s="62">
        <v>12862.59</v>
      </c>
      <c r="AP88" s="62">
        <v>12862.59</v>
      </c>
      <c r="AQ88" s="62">
        <v>12862.59</v>
      </c>
      <c r="AR88" s="62">
        <v>0</v>
      </c>
      <c r="AS88" s="62">
        <v>0</v>
      </c>
      <c r="AT88" s="62">
        <v>0</v>
      </c>
      <c r="AU88" s="62">
        <v>0</v>
      </c>
      <c r="AV88" s="107">
        <v>0</v>
      </c>
      <c r="AW88" s="107">
        <v>0</v>
      </c>
      <c r="AX88" s="107">
        <v>0</v>
      </c>
      <c r="AY88" s="107">
        <v>0</v>
      </c>
      <c r="AZ88" s="107">
        <v>0</v>
      </c>
      <c r="BA88" s="107">
        <v>0</v>
      </c>
      <c r="BB88" s="107">
        <v>0</v>
      </c>
      <c r="BC88" s="107">
        <v>0</v>
      </c>
      <c r="BD88" s="107">
        <v>0</v>
      </c>
      <c r="BE88" s="107">
        <v>0</v>
      </c>
      <c r="BF88" s="107">
        <v>0</v>
      </c>
      <c r="BG88" s="137">
        <v>0</v>
      </c>
      <c r="BH88" s="137">
        <v>0</v>
      </c>
      <c r="BI88" s="137">
        <v>0</v>
      </c>
      <c r="BJ88" s="137">
        <v>0</v>
      </c>
      <c r="BK88" s="137">
        <v>0</v>
      </c>
      <c r="BL88" s="137">
        <v>0</v>
      </c>
      <c r="BM88" s="137">
        <v>0</v>
      </c>
      <c r="BN88" s="137">
        <v>0</v>
      </c>
      <c r="BO88" s="137">
        <v>0</v>
      </c>
      <c r="BP88" s="137">
        <v>0</v>
      </c>
      <c r="BQ88" s="137">
        <v>0</v>
      </c>
      <c r="BR88" s="137">
        <v>0</v>
      </c>
      <c r="BS88" s="137">
        <v>0</v>
      </c>
      <c r="BT88" s="137">
        <v>0</v>
      </c>
      <c r="BU88" s="137">
        <v>0</v>
      </c>
      <c r="BV88" s="137">
        <v>0</v>
      </c>
      <c r="BW88" s="137">
        <v>0</v>
      </c>
      <c r="BX88" s="137">
        <v>0</v>
      </c>
    </row>
    <row r="89" spans="1:76" ht="15" hidden="1" customHeight="1" outlineLevel="1">
      <c r="A89" t="s">
        <v>18</v>
      </c>
      <c r="B89" s="38" t="s">
        <v>34</v>
      </c>
      <c r="C89" s="62">
        <v>0</v>
      </c>
      <c r="D89" s="62">
        <v>0</v>
      </c>
      <c r="E89" s="62">
        <v>0</v>
      </c>
      <c r="F89" s="62">
        <v>0</v>
      </c>
      <c r="G89" s="62">
        <v>0</v>
      </c>
      <c r="H89" s="62">
        <v>0</v>
      </c>
      <c r="I89" s="62">
        <v>0</v>
      </c>
      <c r="J89" s="62">
        <v>0</v>
      </c>
      <c r="K89" s="62">
        <v>0</v>
      </c>
      <c r="L89" s="62">
        <v>0</v>
      </c>
      <c r="M89" s="62">
        <v>0</v>
      </c>
      <c r="N89" s="62">
        <v>0</v>
      </c>
      <c r="O89" s="62">
        <v>0</v>
      </c>
      <c r="P89" s="62">
        <v>0</v>
      </c>
      <c r="Q89" s="62">
        <v>55597</v>
      </c>
      <c r="R89" s="62">
        <v>87224</v>
      </c>
      <c r="S89" s="62">
        <v>115067.27000000002</v>
      </c>
      <c r="T89" s="62">
        <v>115067.27000000002</v>
      </c>
      <c r="U89" s="62">
        <v>115067.27000000002</v>
      </c>
      <c r="V89" s="62">
        <v>115067.27000000002</v>
      </c>
      <c r="W89" s="62">
        <v>115067.27000000002</v>
      </c>
      <c r="X89" s="62">
        <v>115067.27000000002</v>
      </c>
      <c r="Y89" s="62">
        <v>115067.27000000002</v>
      </c>
      <c r="Z89" s="62">
        <v>115067.27000000002</v>
      </c>
      <c r="AA89" s="62">
        <v>115067.27000000002</v>
      </c>
      <c r="AB89" s="62">
        <v>115067.27000000002</v>
      </c>
      <c r="AC89" s="62">
        <v>115067.27000000002</v>
      </c>
      <c r="AD89" s="62">
        <v>115067.27000000002</v>
      </c>
      <c r="AE89" s="62">
        <v>115067.27000000002</v>
      </c>
      <c r="AF89" s="62">
        <v>115067.27000000002</v>
      </c>
      <c r="AG89" s="62">
        <v>115067.27000000002</v>
      </c>
      <c r="AH89" s="62">
        <v>115067.27000000002</v>
      </c>
      <c r="AI89" s="62">
        <v>115067.27000000002</v>
      </c>
      <c r="AJ89" s="62">
        <v>115067.27000000002</v>
      </c>
      <c r="AK89" s="62">
        <v>115067.27000000002</v>
      </c>
      <c r="AL89" s="61">
        <v>0</v>
      </c>
      <c r="AM89" s="61">
        <v>0</v>
      </c>
      <c r="AN89" s="62">
        <v>0</v>
      </c>
      <c r="AO89" s="62">
        <v>0</v>
      </c>
      <c r="AP89" s="62">
        <v>0</v>
      </c>
      <c r="AQ89" s="62">
        <v>0</v>
      </c>
      <c r="AR89" s="62">
        <v>0</v>
      </c>
      <c r="AS89" s="62">
        <v>0</v>
      </c>
      <c r="AT89" s="62">
        <v>0</v>
      </c>
      <c r="AU89" s="62">
        <v>0</v>
      </c>
      <c r="AV89" s="107">
        <v>0</v>
      </c>
      <c r="AW89" s="107">
        <v>0</v>
      </c>
      <c r="AX89" s="107">
        <v>0</v>
      </c>
      <c r="AY89" s="107">
        <v>0</v>
      </c>
      <c r="AZ89" s="107">
        <v>0</v>
      </c>
      <c r="BA89" s="107">
        <v>0</v>
      </c>
      <c r="BB89" s="107">
        <v>0</v>
      </c>
      <c r="BC89" s="107">
        <v>0</v>
      </c>
      <c r="BD89" s="107">
        <v>0</v>
      </c>
      <c r="BE89" s="107">
        <v>0</v>
      </c>
      <c r="BF89" s="107">
        <v>0</v>
      </c>
      <c r="BG89" s="137">
        <v>0</v>
      </c>
      <c r="BH89" s="137">
        <v>0</v>
      </c>
      <c r="BI89" s="137">
        <v>0</v>
      </c>
      <c r="BJ89" s="137">
        <v>0</v>
      </c>
      <c r="BK89" s="137">
        <v>0</v>
      </c>
      <c r="BL89" s="137">
        <v>0</v>
      </c>
      <c r="BM89" s="137">
        <v>0</v>
      </c>
      <c r="BN89" s="137">
        <v>0</v>
      </c>
      <c r="BO89" s="137">
        <v>0</v>
      </c>
      <c r="BP89" s="137">
        <v>0</v>
      </c>
      <c r="BQ89" s="137">
        <v>0</v>
      </c>
      <c r="BR89" s="137">
        <v>0</v>
      </c>
      <c r="BS89" s="137">
        <v>0</v>
      </c>
      <c r="BT89" s="137">
        <v>0</v>
      </c>
      <c r="BU89" s="137">
        <v>0</v>
      </c>
      <c r="BV89" s="137">
        <v>0</v>
      </c>
      <c r="BW89" s="137">
        <v>0</v>
      </c>
      <c r="BX89" s="137">
        <v>0</v>
      </c>
    </row>
    <row r="90" spans="1:76" ht="15" hidden="1" customHeight="1" outlineLevel="1">
      <c r="A90" t="s">
        <v>18</v>
      </c>
      <c r="B90" s="38" t="s">
        <v>36</v>
      </c>
      <c r="C90" s="62">
        <v>0</v>
      </c>
      <c r="D90" s="62">
        <v>0</v>
      </c>
      <c r="E90" s="62">
        <v>0</v>
      </c>
      <c r="F90" s="62">
        <v>0</v>
      </c>
      <c r="G90" s="62">
        <v>0</v>
      </c>
      <c r="H90" s="62">
        <v>0</v>
      </c>
      <c r="I90" s="62">
        <v>0</v>
      </c>
      <c r="J90" s="62">
        <v>0</v>
      </c>
      <c r="K90" s="62">
        <v>0</v>
      </c>
      <c r="L90" s="62">
        <v>0</v>
      </c>
      <c r="M90" s="62">
        <v>0</v>
      </c>
      <c r="N90" s="62">
        <v>0</v>
      </c>
      <c r="O90" s="62">
        <v>0</v>
      </c>
      <c r="P90" s="62">
        <v>0</v>
      </c>
      <c r="Q90" s="62">
        <v>0</v>
      </c>
      <c r="R90" s="62">
        <v>0</v>
      </c>
      <c r="S90" s="62">
        <v>0</v>
      </c>
      <c r="T90" s="62">
        <v>0</v>
      </c>
      <c r="U90" s="62">
        <v>0</v>
      </c>
      <c r="V90" s="62">
        <v>0</v>
      </c>
      <c r="W90" s="62">
        <v>75975.600000000006</v>
      </c>
      <c r="X90" s="62">
        <v>75975.600000000006</v>
      </c>
      <c r="Y90" s="62">
        <v>75975.600000000006</v>
      </c>
      <c r="Z90" s="62">
        <v>75975.600000000006</v>
      </c>
      <c r="AA90" s="62">
        <v>75975.600000000006</v>
      </c>
      <c r="AB90" s="62">
        <v>75975.600000000006</v>
      </c>
      <c r="AC90" s="62">
        <v>75975.600000000006</v>
      </c>
      <c r="AD90" s="62">
        <v>75975.600000000006</v>
      </c>
      <c r="AE90" s="62">
        <v>75975.600000000006</v>
      </c>
      <c r="AF90" s="62">
        <v>75975.600000000006</v>
      </c>
      <c r="AG90" s="62">
        <v>75975.600000000006</v>
      </c>
      <c r="AH90" s="62">
        <v>75975.600000000006</v>
      </c>
      <c r="AI90" s="62">
        <v>75975.600000000006</v>
      </c>
      <c r="AJ90" s="62">
        <v>75975.600000000006</v>
      </c>
      <c r="AK90" s="62">
        <v>75975.600000000006</v>
      </c>
      <c r="AL90" s="61">
        <v>0</v>
      </c>
      <c r="AM90" s="61">
        <v>0</v>
      </c>
      <c r="AN90" s="62">
        <v>0</v>
      </c>
      <c r="AO90" s="62">
        <v>0</v>
      </c>
      <c r="AP90" s="62">
        <v>0</v>
      </c>
      <c r="AQ90" s="62">
        <v>0</v>
      </c>
      <c r="AR90" s="62">
        <v>0</v>
      </c>
      <c r="AS90" s="62">
        <v>0</v>
      </c>
      <c r="AT90" s="62">
        <v>0</v>
      </c>
      <c r="AU90" s="62">
        <v>0</v>
      </c>
      <c r="AV90" s="107">
        <v>0</v>
      </c>
      <c r="AW90" s="107">
        <v>0</v>
      </c>
      <c r="AX90" s="107">
        <v>0</v>
      </c>
      <c r="AY90" s="107">
        <v>0</v>
      </c>
      <c r="AZ90" s="107">
        <v>0</v>
      </c>
      <c r="BA90" s="107">
        <v>0</v>
      </c>
      <c r="BB90" s="107">
        <v>0</v>
      </c>
      <c r="BC90" s="107">
        <v>0</v>
      </c>
      <c r="BD90" s="107">
        <v>0</v>
      </c>
      <c r="BE90" s="107">
        <v>0</v>
      </c>
      <c r="BF90" s="107">
        <v>0</v>
      </c>
      <c r="BG90" s="137">
        <v>0</v>
      </c>
      <c r="BH90" s="137">
        <v>0</v>
      </c>
      <c r="BI90" s="137">
        <v>0</v>
      </c>
      <c r="BJ90" s="137">
        <v>0</v>
      </c>
      <c r="BK90" s="137">
        <v>0</v>
      </c>
      <c r="BL90" s="137">
        <v>0</v>
      </c>
      <c r="BM90" s="137">
        <v>0</v>
      </c>
      <c r="BN90" s="137">
        <v>0</v>
      </c>
      <c r="BO90" s="137">
        <v>0</v>
      </c>
      <c r="BP90" s="137">
        <v>0</v>
      </c>
      <c r="BQ90" s="137">
        <v>0</v>
      </c>
      <c r="BR90" s="137">
        <v>0</v>
      </c>
      <c r="BS90" s="137">
        <v>0</v>
      </c>
      <c r="BT90" s="137">
        <v>0</v>
      </c>
      <c r="BU90" s="137">
        <v>0</v>
      </c>
      <c r="BV90" s="137">
        <v>0</v>
      </c>
      <c r="BW90" s="137">
        <v>0</v>
      </c>
      <c r="BX90" s="137">
        <v>0</v>
      </c>
    </row>
    <row r="91" spans="1:76" ht="15" hidden="1" customHeight="1" outlineLevel="1">
      <c r="A91" t="s">
        <v>18</v>
      </c>
      <c r="B91" s="38" t="s">
        <v>37</v>
      </c>
      <c r="C91" s="62">
        <v>0</v>
      </c>
      <c r="D91" s="62">
        <v>0</v>
      </c>
      <c r="E91" s="62">
        <v>0</v>
      </c>
      <c r="F91" s="62">
        <v>0</v>
      </c>
      <c r="G91" s="62">
        <v>0</v>
      </c>
      <c r="H91" s="62">
        <v>0</v>
      </c>
      <c r="I91" s="62">
        <v>0</v>
      </c>
      <c r="J91" s="62">
        <v>0</v>
      </c>
      <c r="K91" s="62">
        <v>0</v>
      </c>
      <c r="L91" s="62">
        <v>0</v>
      </c>
      <c r="M91" s="62">
        <v>0</v>
      </c>
      <c r="N91" s="62">
        <v>0</v>
      </c>
      <c r="O91" s="62">
        <v>0</v>
      </c>
      <c r="P91" s="62">
        <v>0</v>
      </c>
      <c r="Q91" s="62">
        <v>0</v>
      </c>
      <c r="R91" s="62">
        <v>0</v>
      </c>
      <c r="S91" s="62">
        <v>0</v>
      </c>
      <c r="T91" s="62">
        <v>0</v>
      </c>
      <c r="U91" s="62">
        <v>0</v>
      </c>
      <c r="V91" s="62">
        <v>0</v>
      </c>
      <c r="W91" s="62">
        <v>0</v>
      </c>
      <c r="X91" s="62">
        <v>33066.720000000001</v>
      </c>
      <c r="Y91" s="62">
        <v>33066.720000000001</v>
      </c>
      <c r="Z91" s="62">
        <v>33066.720000000001</v>
      </c>
      <c r="AA91" s="62">
        <v>33066.720000000001</v>
      </c>
      <c r="AB91" s="62">
        <v>33066.720000000001</v>
      </c>
      <c r="AC91" s="62">
        <v>33066.720000000001</v>
      </c>
      <c r="AD91" s="62">
        <v>33066.720000000001</v>
      </c>
      <c r="AE91" s="62">
        <v>33066.720000000001</v>
      </c>
      <c r="AF91" s="62">
        <v>33066.720000000001</v>
      </c>
      <c r="AG91" s="62">
        <v>33066.720000000001</v>
      </c>
      <c r="AH91" s="62">
        <v>33066.720000000001</v>
      </c>
      <c r="AI91" s="62">
        <v>33066.720000000001</v>
      </c>
      <c r="AJ91" s="62">
        <v>33066.720000000001</v>
      </c>
      <c r="AK91" s="62">
        <v>33066.720000000001</v>
      </c>
      <c r="AL91" s="61">
        <v>0</v>
      </c>
      <c r="AM91" s="61">
        <v>0</v>
      </c>
      <c r="AN91" s="62">
        <v>0</v>
      </c>
      <c r="AO91" s="62">
        <v>0</v>
      </c>
      <c r="AP91" s="62">
        <v>0</v>
      </c>
      <c r="AQ91" s="62">
        <v>0</v>
      </c>
      <c r="AR91" s="62">
        <v>0</v>
      </c>
      <c r="AS91" s="62">
        <v>0</v>
      </c>
      <c r="AT91" s="62">
        <v>0</v>
      </c>
      <c r="AU91" s="62">
        <v>0</v>
      </c>
      <c r="AV91" s="107">
        <v>0</v>
      </c>
      <c r="AW91" s="107">
        <v>0</v>
      </c>
      <c r="AX91" s="107">
        <v>0</v>
      </c>
      <c r="AY91" s="107">
        <v>0</v>
      </c>
      <c r="AZ91" s="107">
        <v>0</v>
      </c>
      <c r="BA91" s="107">
        <v>0</v>
      </c>
      <c r="BB91" s="107">
        <v>0</v>
      </c>
      <c r="BC91" s="107">
        <v>0</v>
      </c>
      <c r="BD91" s="107">
        <v>0</v>
      </c>
      <c r="BE91" s="107">
        <v>0</v>
      </c>
      <c r="BF91" s="107">
        <v>0</v>
      </c>
      <c r="BG91" s="137">
        <v>0</v>
      </c>
      <c r="BH91" s="137">
        <v>0</v>
      </c>
      <c r="BI91" s="137">
        <v>0</v>
      </c>
      <c r="BJ91" s="137">
        <v>0</v>
      </c>
      <c r="BK91" s="137">
        <v>0</v>
      </c>
      <c r="BL91" s="137">
        <v>0</v>
      </c>
      <c r="BM91" s="137">
        <v>0</v>
      </c>
      <c r="BN91" s="137">
        <v>0</v>
      </c>
      <c r="BO91" s="137">
        <v>0</v>
      </c>
      <c r="BP91" s="137">
        <v>0</v>
      </c>
      <c r="BQ91" s="137">
        <v>0</v>
      </c>
      <c r="BR91" s="137">
        <v>0</v>
      </c>
      <c r="BS91" s="137">
        <v>0</v>
      </c>
      <c r="BT91" s="137">
        <v>0</v>
      </c>
      <c r="BU91" s="137">
        <v>0</v>
      </c>
      <c r="BV91" s="137">
        <v>0</v>
      </c>
      <c r="BW91" s="137">
        <v>0</v>
      </c>
      <c r="BX91" s="137">
        <v>0</v>
      </c>
    </row>
    <row r="92" spans="1:76" ht="15" hidden="1" customHeight="1" outlineLevel="1">
      <c r="A92" t="s">
        <v>18</v>
      </c>
      <c r="B92" s="38" t="s">
        <v>38</v>
      </c>
      <c r="C92" s="61">
        <v>0</v>
      </c>
      <c r="D92" s="61">
        <v>0</v>
      </c>
      <c r="E92" s="61">
        <v>0</v>
      </c>
      <c r="F92" s="61">
        <v>0</v>
      </c>
      <c r="G92" s="61">
        <v>0</v>
      </c>
      <c r="H92" s="61">
        <v>0</v>
      </c>
      <c r="I92" s="61">
        <v>0</v>
      </c>
      <c r="J92" s="61">
        <v>0</v>
      </c>
      <c r="K92" s="61">
        <v>0</v>
      </c>
      <c r="L92" s="61">
        <v>0</v>
      </c>
      <c r="M92" s="61">
        <v>0</v>
      </c>
      <c r="N92" s="61">
        <v>0</v>
      </c>
      <c r="O92" s="61">
        <v>0</v>
      </c>
      <c r="P92" s="61">
        <v>0</v>
      </c>
      <c r="Q92" s="61">
        <v>0</v>
      </c>
      <c r="R92" s="61">
        <v>0</v>
      </c>
      <c r="S92" s="61">
        <v>0</v>
      </c>
      <c r="T92" s="61">
        <v>0</v>
      </c>
      <c r="U92" s="61">
        <v>0</v>
      </c>
      <c r="V92" s="61">
        <v>0</v>
      </c>
      <c r="W92" s="61">
        <v>0</v>
      </c>
      <c r="X92" s="61">
        <v>0</v>
      </c>
      <c r="Y92" s="61">
        <v>0</v>
      </c>
      <c r="Z92" s="62">
        <v>165671.36000000002</v>
      </c>
      <c r="AA92" s="62">
        <v>165671.36000000002</v>
      </c>
      <c r="AB92" s="62">
        <v>165671.36000000002</v>
      </c>
      <c r="AC92" s="62">
        <v>229372.81</v>
      </c>
      <c r="AD92" s="62">
        <v>229372.81</v>
      </c>
      <c r="AE92" s="62">
        <v>229372.81</v>
      </c>
      <c r="AF92" s="62">
        <v>229372.81</v>
      </c>
      <c r="AG92" s="62">
        <v>229372.81</v>
      </c>
      <c r="AH92" s="62">
        <v>229372.81</v>
      </c>
      <c r="AI92" s="62">
        <v>229372.81</v>
      </c>
      <c r="AJ92" s="62">
        <v>229372.81</v>
      </c>
      <c r="AK92" s="62">
        <v>229372.81</v>
      </c>
      <c r="AL92" s="62">
        <v>229372.81</v>
      </c>
      <c r="AM92" s="62">
        <v>229372.81</v>
      </c>
      <c r="AN92" s="62">
        <v>229372.81</v>
      </c>
      <c r="AO92" s="62">
        <v>0</v>
      </c>
      <c r="AP92" s="62">
        <v>0</v>
      </c>
      <c r="AQ92" s="62">
        <v>0</v>
      </c>
      <c r="AR92" s="62">
        <v>0</v>
      </c>
      <c r="AS92" s="62">
        <v>0</v>
      </c>
      <c r="AT92" s="62">
        <v>0</v>
      </c>
      <c r="AU92" s="62">
        <v>0</v>
      </c>
      <c r="AV92" s="107">
        <v>0</v>
      </c>
      <c r="AW92" s="107">
        <v>0</v>
      </c>
      <c r="AX92" s="107">
        <v>0</v>
      </c>
      <c r="AY92" s="107">
        <v>0</v>
      </c>
      <c r="AZ92" s="107">
        <v>0</v>
      </c>
      <c r="BA92" s="107">
        <v>0</v>
      </c>
      <c r="BB92" s="107">
        <v>0</v>
      </c>
      <c r="BC92" s="107">
        <v>0</v>
      </c>
      <c r="BD92" s="107">
        <v>0</v>
      </c>
      <c r="BE92" s="107">
        <v>0</v>
      </c>
      <c r="BF92" s="107">
        <v>0</v>
      </c>
      <c r="BG92" s="137">
        <v>0</v>
      </c>
      <c r="BH92" s="137">
        <v>0</v>
      </c>
      <c r="BI92" s="137">
        <v>0</v>
      </c>
      <c r="BJ92" s="137">
        <v>0</v>
      </c>
      <c r="BK92" s="137">
        <v>0</v>
      </c>
      <c r="BL92" s="137">
        <v>0</v>
      </c>
      <c r="BM92" s="137">
        <v>0</v>
      </c>
      <c r="BN92" s="137">
        <v>0</v>
      </c>
      <c r="BO92" s="137">
        <v>0</v>
      </c>
      <c r="BP92" s="137">
        <v>0</v>
      </c>
      <c r="BQ92" s="137">
        <v>0</v>
      </c>
      <c r="BR92" s="137">
        <v>0</v>
      </c>
      <c r="BS92" s="137">
        <v>0</v>
      </c>
      <c r="BT92" s="137">
        <v>0</v>
      </c>
      <c r="BU92" s="137">
        <v>0</v>
      </c>
      <c r="BV92" s="137">
        <v>0</v>
      </c>
      <c r="BW92" s="137">
        <v>0</v>
      </c>
      <c r="BX92" s="137">
        <v>0</v>
      </c>
    </row>
    <row r="93" spans="1:76" ht="15" hidden="1" customHeight="1" outlineLevel="1">
      <c r="A93" t="s">
        <v>18</v>
      </c>
      <c r="B93" s="38" t="s">
        <v>35</v>
      </c>
      <c r="C93" s="61">
        <v>0</v>
      </c>
      <c r="D93" s="61">
        <v>0</v>
      </c>
      <c r="E93" s="61">
        <v>0</v>
      </c>
      <c r="F93" s="61">
        <v>0</v>
      </c>
      <c r="G93" s="61">
        <v>0</v>
      </c>
      <c r="H93" s="61">
        <v>0</v>
      </c>
      <c r="I93" s="61">
        <v>0</v>
      </c>
      <c r="J93" s="61">
        <v>0</v>
      </c>
      <c r="K93" s="61">
        <v>0</v>
      </c>
      <c r="L93" s="61">
        <v>0</v>
      </c>
      <c r="M93" s="61">
        <v>0</v>
      </c>
      <c r="N93" s="61">
        <v>0</v>
      </c>
      <c r="O93" s="61">
        <v>0</v>
      </c>
      <c r="P93" s="61">
        <v>0</v>
      </c>
      <c r="Q93" s="61">
        <v>0</v>
      </c>
      <c r="R93" s="61">
        <v>0</v>
      </c>
      <c r="S93" s="61">
        <v>0</v>
      </c>
      <c r="T93" s="61">
        <v>0</v>
      </c>
      <c r="U93" s="61">
        <v>0</v>
      </c>
      <c r="V93" s="61">
        <v>0</v>
      </c>
      <c r="W93" s="61">
        <v>0</v>
      </c>
      <c r="X93" s="62">
        <v>70030.53</v>
      </c>
      <c r="Y93" s="62">
        <v>70030.53</v>
      </c>
      <c r="Z93" s="62">
        <v>70030.53</v>
      </c>
      <c r="AA93" s="62">
        <v>70030.53</v>
      </c>
      <c r="AB93" s="62">
        <v>70030.53</v>
      </c>
      <c r="AC93" s="62">
        <v>70030.53</v>
      </c>
      <c r="AD93" s="62">
        <v>70030.53</v>
      </c>
      <c r="AE93" s="62">
        <v>70030.53</v>
      </c>
      <c r="AF93" s="62">
        <v>70030.53</v>
      </c>
      <c r="AG93" s="62">
        <v>70030.53</v>
      </c>
      <c r="AH93" s="62">
        <v>70030.53</v>
      </c>
      <c r="AI93" s="62">
        <v>70030.53</v>
      </c>
      <c r="AJ93" s="62">
        <v>70030.53</v>
      </c>
      <c r="AK93" s="62">
        <v>70030.53</v>
      </c>
      <c r="AL93" s="61">
        <v>0</v>
      </c>
      <c r="AM93" s="61">
        <v>0</v>
      </c>
      <c r="AN93" s="62">
        <v>0</v>
      </c>
      <c r="AO93" s="62">
        <v>0</v>
      </c>
      <c r="AP93" s="62">
        <v>0</v>
      </c>
      <c r="AQ93" s="62">
        <v>0</v>
      </c>
      <c r="AR93" s="62">
        <v>0</v>
      </c>
      <c r="AS93" s="62">
        <v>0</v>
      </c>
      <c r="AT93" s="62">
        <v>0</v>
      </c>
      <c r="AU93" s="62">
        <v>0</v>
      </c>
      <c r="AV93" s="107">
        <v>0</v>
      </c>
      <c r="AW93" s="107">
        <v>0</v>
      </c>
      <c r="AX93" s="107">
        <v>0</v>
      </c>
      <c r="AY93" s="107">
        <v>0</v>
      </c>
      <c r="AZ93" s="107">
        <v>0</v>
      </c>
      <c r="BA93" s="107">
        <v>0</v>
      </c>
      <c r="BB93" s="107">
        <v>0</v>
      </c>
      <c r="BC93" s="107">
        <v>0</v>
      </c>
      <c r="BD93" s="107">
        <v>0</v>
      </c>
      <c r="BE93" s="107">
        <v>0</v>
      </c>
      <c r="BF93" s="107">
        <v>0</v>
      </c>
      <c r="BG93" s="137">
        <v>0</v>
      </c>
      <c r="BH93" s="137">
        <v>0</v>
      </c>
      <c r="BI93" s="137">
        <v>0</v>
      </c>
      <c r="BJ93" s="137">
        <v>0</v>
      </c>
      <c r="BK93" s="137">
        <v>0</v>
      </c>
      <c r="BL93" s="137">
        <v>0</v>
      </c>
      <c r="BM93" s="137">
        <v>0</v>
      </c>
      <c r="BN93" s="137">
        <v>0</v>
      </c>
      <c r="BO93" s="137">
        <v>0</v>
      </c>
      <c r="BP93" s="137">
        <v>0</v>
      </c>
      <c r="BQ93" s="137">
        <v>0</v>
      </c>
      <c r="BR93" s="137">
        <v>0</v>
      </c>
      <c r="BS93" s="137">
        <v>0</v>
      </c>
      <c r="BT93" s="137">
        <v>0</v>
      </c>
      <c r="BU93" s="137">
        <v>0</v>
      </c>
      <c r="BV93" s="137">
        <v>0</v>
      </c>
      <c r="BW93" s="137">
        <v>0</v>
      </c>
      <c r="BX93" s="137">
        <v>0</v>
      </c>
    </row>
    <row r="94" spans="1:76" ht="15" hidden="1" customHeight="1" outlineLevel="1">
      <c r="A94" t="s">
        <v>18</v>
      </c>
      <c r="B94" s="38" t="s">
        <v>39</v>
      </c>
      <c r="C94" s="61">
        <v>0</v>
      </c>
      <c r="D94" s="61">
        <v>0</v>
      </c>
      <c r="E94" s="61">
        <v>0</v>
      </c>
      <c r="F94" s="61">
        <v>0</v>
      </c>
      <c r="G94" s="61">
        <v>0</v>
      </c>
      <c r="H94" s="61">
        <v>0</v>
      </c>
      <c r="I94" s="61">
        <v>0</v>
      </c>
      <c r="J94" s="61">
        <v>0</v>
      </c>
      <c r="K94" s="61">
        <v>0</v>
      </c>
      <c r="L94" s="61">
        <v>0</v>
      </c>
      <c r="M94" s="61">
        <v>0</v>
      </c>
      <c r="N94" s="61">
        <v>0</v>
      </c>
      <c r="O94" s="61">
        <v>0</v>
      </c>
      <c r="P94" s="61">
        <v>0</v>
      </c>
      <c r="Q94" s="61">
        <v>0</v>
      </c>
      <c r="R94" s="61">
        <v>0</v>
      </c>
      <c r="S94" s="61">
        <v>0</v>
      </c>
      <c r="T94" s="61">
        <v>0</v>
      </c>
      <c r="U94" s="61">
        <v>0</v>
      </c>
      <c r="V94" s="61">
        <v>0</v>
      </c>
      <c r="W94" s="61">
        <v>0</v>
      </c>
      <c r="X94" s="61">
        <v>0</v>
      </c>
      <c r="Y94" s="61">
        <v>0</v>
      </c>
      <c r="Z94" s="61">
        <v>0</v>
      </c>
      <c r="AA94" s="61">
        <v>0</v>
      </c>
      <c r="AB94" s="61">
        <v>54453.350000000006</v>
      </c>
      <c r="AC94" s="61">
        <v>54453.350000000006</v>
      </c>
      <c r="AD94" s="61">
        <v>54453.350000000006</v>
      </c>
      <c r="AE94" s="61">
        <v>54453.350000000006</v>
      </c>
      <c r="AF94" s="61">
        <v>54453.350000000006</v>
      </c>
      <c r="AG94" s="61">
        <v>54453.350000000006</v>
      </c>
      <c r="AH94" s="61">
        <v>54453.350000000006</v>
      </c>
      <c r="AI94" s="61">
        <v>54453.350000000006</v>
      </c>
      <c r="AJ94" s="61">
        <v>54453.350000000006</v>
      </c>
      <c r="AK94" s="61">
        <v>54453.350000000006</v>
      </c>
      <c r="AL94" s="62">
        <v>54453.350000000006</v>
      </c>
      <c r="AM94" s="62">
        <v>54453.350000000006</v>
      </c>
      <c r="AN94" s="62">
        <v>54453.350000000006</v>
      </c>
      <c r="AO94" s="62">
        <v>0</v>
      </c>
      <c r="AP94" s="62">
        <v>0</v>
      </c>
      <c r="AQ94" s="62">
        <v>0</v>
      </c>
      <c r="AR94" s="62">
        <v>0</v>
      </c>
      <c r="AS94" s="62">
        <v>0</v>
      </c>
      <c r="AT94" s="62">
        <v>0</v>
      </c>
      <c r="AU94" s="62">
        <v>0</v>
      </c>
      <c r="AV94" s="107">
        <v>0</v>
      </c>
      <c r="AW94" s="107">
        <v>0</v>
      </c>
      <c r="AX94" s="107">
        <v>0</v>
      </c>
      <c r="AY94" s="107">
        <v>0</v>
      </c>
      <c r="AZ94" s="107">
        <v>0</v>
      </c>
      <c r="BA94" s="107">
        <v>0</v>
      </c>
      <c r="BB94" s="107">
        <v>0</v>
      </c>
      <c r="BC94" s="107">
        <v>0</v>
      </c>
      <c r="BD94" s="107">
        <v>0</v>
      </c>
      <c r="BE94" s="107">
        <v>0</v>
      </c>
      <c r="BF94" s="107">
        <v>0</v>
      </c>
      <c r="BG94" s="137">
        <v>0</v>
      </c>
      <c r="BH94" s="137">
        <v>0</v>
      </c>
      <c r="BI94" s="137">
        <v>0</v>
      </c>
      <c r="BJ94" s="137">
        <v>0</v>
      </c>
      <c r="BK94" s="137">
        <v>0</v>
      </c>
      <c r="BL94" s="137">
        <v>0</v>
      </c>
      <c r="BM94" s="137">
        <v>0</v>
      </c>
      <c r="BN94" s="137">
        <v>0</v>
      </c>
      <c r="BO94" s="137">
        <v>0</v>
      </c>
      <c r="BP94" s="137">
        <v>0</v>
      </c>
      <c r="BQ94" s="137">
        <v>0</v>
      </c>
      <c r="BR94" s="137">
        <v>0</v>
      </c>
      <c r="BS94" s="137">
        <v>0</v>
      </c>
      <c r="BT94" s="137">
        <v>0</v>
      </c>
      <c r="BU94" s="137">
        <v>0</v>
      </c>
      <c r="BV94" s="137">
        <v>0</v>
      </c>
      <c r="BW94" s="137">
        <v>0</v>
      </c>
      <c r="BX94" s="137">
        <v>0</v>
      </c>
    </row>
    <row r="95" spans="1:76" ht="15" hidden="1" customHeight="1" outlineLevel="1">
      <c r="A95" t="s">
        <v>18</v>
      </c>
      <c r="B95" s="38" t="s">
        <v>21</v>
      </c>
      <c r="C95" s="62">
        <v>0</v>
      </c>
      <c r="D95" s="62">
        <v>0</v>
      </c>
      <c r="E95" s="62">
        <v>0</v>
      </c>
      <c r="F95" s="62">
        <v>0</v>
      </c>
      <c r="G95" s="62">
        <v>0</v>
      </c>
      <c r="H95" s="62">
        <v>0</v>
      </c>
      <c r="I95" s="62">
        <v>0</v>
      </c>
      <c r="J95" s="62">
        <v>0</v>
      </c>
      <c r="K95" s="62">
        <v>0</v>
      </c>
      <c r="L95" s="62">
        <v>0</v>
      </c>
      <c r="M95" s="62">
        <v>0</v>
      </c>
      <c r="N95" s="62">
        <v>0</v>
      </c>
      <c r="O95" s="62">
        <v>0</v>
      </c>
      <c r="P95" s="62">
        <v>0</v>
      </c>
      <c r="Q95" s="62">
        <v>0</v>
      </c>
      <c r="R95" s="62">
        <v>0</v>
      </c>
      <c r="S95" s="62">
        <v>0</v>
      </c>
      <c r="T95" s="62">
        <v>0</v>
      </c>
      <c r="U95" s="62">
        <v>0</v>
      </c>
      <c r="V95" s="62">
        <v>0</v>
      </c>
      <c r="W95" s="62">
        <v>0</v>
      </c>
      <c r="X95" s="62">
        <v>0</v>
      </c>
      <c r="Y95" s="62">
        <v>0</v>
      </c>
      <c r="Z95" s="62">
        <v>0</v>
      </c>
      <c r="AA95" s="62">
        <v>0</v>
      </c>
      <c r="AB95" s="62">
        <v>0</v>
      </c>
      <c r="AC95" s="62">
        <v>0</v>
      </c>
      <c r="AD95" s="62">
        <v>0</v>
      </c>
      <c r="AE95" s="62">
        <v>0</v>
      </c>
      <c r="AF95" s="62">
        <v>0</v>
      </c>
      <c r="AG95" s="62">
        <v>0</v>
      </c>
      <c r="AH95" s="62">
        <v>0</v>
      </c>
      <c r="AI95" s="62">
        <v>114075.18</v>
      </c>
      <c r="AJ95" s="62">
        <v>114075.18</v>
      </c>
      <c r="AK95" s="62">
        <v>114075.18</v>
      </c>
      <c r="AL95" s="61">
        <v>0</v>
      </c>
      <c r="AM95" s="61">
        <v>0</v>
      </c>
      <c r="AN95" s="62">
        <v>0</v>
      </c>
      <c r="AO95" s="62">
        <v>0</v>
      </c>
      <c r="AP95" s="62">
        <v>0</v>
      </c>
      <c r="AQ95" s="62">
        <v>0</v>
      </c>
      <c r="AR95" s="62">
        <v>0</v>
      </c>
      <c r="AS95" s="62">
        <v>0</v>
      </c>
      <c r="AT95" s="62">
        <v>0</v>
      </c>
      <c r="AU95" s="62">
        <v>0</v>
      </c>
      <c r="AV95" s="107">
        <v>0</v>
      </c>
      <c r="AW95" s="107">
        <v>0</v>
      </c>
      <c r="AX95" s="107">
        <v>0</v>
      </c>
      <c r="AY95" s="107">
        <v>0</v>
      </c>
      <c r="AZ95" s="107">
        <v>0</v>
      </c>
      <c r="BA95" s="107">
        <v>0</v>
      </c>
      <c r="BB95" s="107">
        <v>0</v>
      </c>
      <c r="BC95" s="107">
        <v>0</v>
      </c>
      <c r="BD95" s="107">
        <v>0</v>
      </c>
      <c r="BE95" s="107">
        <v>0</v>
      </c>
      <c r="BF95" s="107">
        <v>0</v>
      </c>
      <c r="BG95" s="137">
        <v>0</v>
      </c>
      <c r="BH95" s="137">
        <v>0</v>
      </c>
      <c r="BI95" s="137">
        <v>0</v>
      </c>
      <c r="BJ95" s="137">
        <v>0</v>
      </c>
      <c r="BK95" s="137">
        <v>0</v>
      </c>
      <c r="BL95" s="137">
        <v>0</v>
      </c>
      <c r="BM95" s="137">
        <v>0</v>
      </c>
      <c r="BN95" s="137">
        <v>0</v>
      </c>
      <c r="BO95" s="137">
        <v>0</v>
      </c>
      <c r="BP95" s="137">
        <v>0</v>
      </c>
      <c r="BQ95" s="137">
        <v>0</v>
      </c>
      <c r="BR95" s="137">
        <v>0</v>
      </c>
      <c r="BS95" s="137">
        <v>0</v>
      </c>
      <c r="BT95" s="137">
        <v>0</v>
      </c>
      <c r="BU95" s="137">
        <v>0</v>
      </c>
      <c r="BV95" s="137">
        <v>0</v>
      </c>
      <c r="BW95" s="137">
        <v>0</v>
      </c>
      <c r="BX95" s="137">
        <v>0</v>
      </c>
    </row>
    <row r="96" spans="1:76" ht="15" hidden="1" customHeight="1" outlineLevel="1">
      <c r="A96" t="s">
        <v>18</v>
      </c>
      <c r="B96" s="38" t="s">
        <v>22</v>
      </c>
      <c r="C96" s="62">
        <v>0</v>
      </c>
      <c r="D96" s="62">
        <v>0</v>
      </c>
      <c r="E96" s="62">
        <v>0</v>
      </c>
      <c r="F96" s="62">
        <v>0</v>
      </c>
      <c r="G96" s="62">
        <v>0</v>
      </c>
      <c r="H96" s="62">
        <v>0</v>
      </c>
      <c r="I96" s="62">
        <v>0</v>
      </c>
      <c r="J96" s="62">
        <v>0</v>
      </c>
      <c r="K96" s="62">
        <v>0</v>
      </c>
      <c r="L96" s="62">
        <v>0</v>
      </c>
      <c r="M96" s="62">
        <v>0</v>
      </c>
      <c r="N96" s="62">
        <v>0</v>
      </c>
      <c r="O96" s="62">
        <v>0</v>
      </c>
      <c r="P96" s="62">
        <v>0</v>
      </c>
      <c r="Q96" s="62">
        <v>0</v>
      </c>
      <c r="R96" s="62">
        <v>0</v>
      </c>
      <c r="S96" s="62">
        <v>0</v>
      </c>
      <c r="T96" s="62">
        <v>0</v>
      </c>
      <c r="U96" s="62">
        <v>0</v>
      </c>
      <c r="V96" s="62">
        <v>0</v>
      </c>
      <c r="W96" s="62">
        <v>0</v>
      </c>
      <c r="X96" s="62">
        <v>0</v>
      </c>
      <c r="Y96" s="62">
        <v>0</v>
      </c>
      <c r="Z96" s="62">
        <v>0</v>
      </c>
      <c r="AA96" s="62">
        <v>0</v>
      </c>
      <c r="AB96" s="62">
        <v>0</v>
      </c>
      <c r="AC96" s="62">
        <v>0</v>
      </c>
      <c r="AD96" s="62">
        <v>0</v>
      </c>
      <c r="AE96" s="62">
        <v>0</v>
      </c>
      <c r="AF96" s="62">
        <v>0</v>
      </c>
      <c r="AG96" s="62">
        <v>0</v>
      </c>
      <c r="AH96" s="62">
        <v>0</v>
      </c>
      <c r="AI96" s="62">
        <v>0</v>
      </c>
      <c r="AJ96" s="62">
        <v>61008</v>
      </c>
      <c r="AK96" s="62">
        <v>61008</v>
      </c>
      <c r="AL96" s="61">
        <v>0</v>
      </c>
      <c r="AM96" s="61">
        <v>0</v>
      </c>
      <c r="AN96" s="62">
        <v>0</v>
      </c>
      <c r="AO96" s="62">
        <v>0</v>
      </c>
      <c r="AP96" s="62">
        <v>0</v>
      </c>
      <c r="AQ96" s="62">
        <v>0</v>
      </c>
      <c r="AR96" s="62">
        <v>0</v>
      </c>
      <c r="AS96" s="62">
        <v>0</v>
      </c>
      <c r="AT96" s="62">
        <v>0</v>
      </c>
      <c r="AU96" s="62">
        <v>0</v>
      </c>
      <c r="AV96" s="107">
        <v>0</v>
      </c>
      <c r="AW96" s="107">
        <v>0</v>
      </c>
      <c r="AX96" s="107">
        <v>0</v>
      </c>
      <c r="AY96" s="107">
        <v>0</v>
      </c>
      <c r="AZ96" s="107">
        <v>0</v>
      </c>
      <c r="BA96" s="107">
        <v>0</v>
      </c>
      <c r="BB96" s="107">
        <v>0</v>
      </c>
      <c r="BC96" s="107">
        <v>0</v>
      </c>
      <c r="BD96" s="107">
        <v>0</v>
      </c>
      <c r="BE96" s="107">
        <v>0</v>
      </c>
      <c r="BF96" s="107">
        <v>0</v>
      </c>
      <c r="BG96" s="137">
        <v>0</v>
      </c>
      <c r="BH96" s="137">
        <v>0</v>
      </c>
      <c r="BI96" s="137">
        <v>0</v>
      </c>
      <c r="BJ96" s="137">
        <v>0</v>
      </c>
      <c r="BK96" s="137">
        <v>0</v>
      </c>
      <c r="BL96" s="137">
        <v>0</v>
      </c>
      <c r="BM96" s="137">
        <v>0</v>
      </c>
      <c r="BN96" s="137">
        <v>0</v>
      </c>
      <c r="BO96" s="137">
        <v>0</v>
      </c>
      <c r="BP96" s="137">
        <v>0</v>
      </c>
      <c r="BQ96" s="137">
        <v>0</v>
      </c>
      <c r="BR96" s="137">
        <v>0</v>
      </c>
      <c r="BS96" s="137">
        <v>0</v>
      </c>
      <c r="BT96" s="137">
        <v>0</v>
      </c>
      <c r="BU96" s="137">
        <v>0</v>
      </c>
      <c r="BV96" s="137">
        <v>0</v>
      </c>
      <c r="BW96" s="137">
        <v>0</v>
      </c>
      <c r="BX96" s="137">
        <v>0</v>
      </c>
    </row>
    <row r="97" spans="1:107 16122:16122" ht="15" hidden="1" customHeight="1" outlineLevel="1">
      <c r="A97" t="s">
        <v>18</v>
      </c>
      <c r="B97" s="38" t="s">
        <v>24</v>
      </c>
      <c r="C97" s="62">
        <v>0</v>
      </c>
      <c r="D97" s="62">
        <v>0</v>
      </c>
      <c r="E97" s="62">
        <v>0</v>
      </c>
      <c r="F97" s="62">
        <v>0</v>
      </c>
      <c r="G97" s="62">
        <v>0</v>
      </c>
      <c r="H97" s="62">
        <v>0</v>
      </c>
      <c r="I97" s="62">
        <v>0</v>
      </c>
      <c r="J97" s="62">
        <v>0</v>
      </c>
      <c r="K97" s="62">
        <v>0</v>
      </c>
      <c r="L97" s="62">
        <v>0</v>
      </c>
      <c r="M97" s="62">
        <v>0</v>
      </c>
      <c r="N97" s="62">
        <v>0</v>
      </c>
      <c r="O97" s="62">
        <v>0</v>
      </c>
      <c r="P97" s="62">
        <v>0</v>
      </c>
      <c r="Q97" s="62">
        <v>0</v>
      </c>
      <c r="R97" s="62">
        <v>0</v>
      </c>
      <c r="S97" s="62">
        <v>0</v>
      </c>
      <c r="T97" s="62">
        <v>0</v>
      </c>
      <c r="U97" s="62">
        <v>0</v>
      </c>
      <c r="V97" s="62">
        <v>0</v>
      </c>
      <c r="W97" s="62">
        <v>0</v>
      </c>
      <c r="X97" s="62">
        <v>0</v>
      </c>
      <c r="Y97" s="62">
        <v>0</v>
      </c>
      <c r="Z97" s="62">
        <v>0</v>
      </c>
      <c r="AA97" s="62">
        <v>0</v>
      </c>
      <c r="AB97" s="62">
        <v>0</v>
      </c>
      <c r="AC97" s="62">
        <v>0</v>
      </c>
      <c r="AD97" s="62">
        <v>0</v>
      </c>
      <c r="AE97" s="62">
        <v>0</v>
      </c>
      <c r="AF97" s="62">
        <v>0</v>
      </c>
      <c r="AG97" s="62">
        <v>0</v>
      </c>
      <c r="AH97" s="62">
        <v>0</v>
      </c>
      <c r="AI97" s="62">
        <v>0</v>
      </c>
      <c r="AJ97" s="61">
        <v>99471</v>
      </c>
      <c r="AK97" s="61">
        <v>99471</v>
      </c>
      <c r="AL97" s="61">
        <v>0</v>
      </c>
      <c r="AM97" s="61">
        <v>0</v>
      </c>
      <c r="AN97" s="62">
        <v>0</v>
      </c>
      <c r="AO97" s="62">
        <v>0</v>
      </c>
      <c r="AP97" s="62">
        <v>0</v>
      </c>
      <c r="AQ97" s="62">
        <v>0</v>
      </c>
      <c r="AR97" s="62">
        <v>0</v>
      </c>
      <c r="AS97" s="62">
        <v>0</v>
      </c>
      <c r="AT97" s="62">
        <v>0</v>
      </c>
      <c r="AU97" s="62">
        <v>0</v>
      </c>
      <c r="AV97" s="107">
        <v>0</v>
      </c>
      <c r="AW97" s="107">
        <v>0</v>
      </c>
      <c r="AX97" s="107">
        <v>0</v>
      </c>
      <c r="AY97" s="107">
        <v>0</v>
      </c>
      <c r="AZ97" s="107">
        <v>0</v>
      </c>
      <c r="BA97" s="107">
        <v>0</v>
      </c>
      <c r="BB97" s="107">
        <v>0</v>
      </c>
      <c r="BC97" s="107">
        <v>0</v>
      </c>
      <c r="BD97" s="107">
        <v>0</v>
      </c>
      <c r="BE97" s="107">
        <v>0</v>
      </c>
      <c r="BF97" s="107">
        <v>0</v>
      </c>
      <c r="BG97" s="137">
        <v>0</v>
      </c>
      <c r="BH97" s="137">
        <v>0</v>
      </c>
      <c r="BI97" s="137">
        <v>0</v>
      </c>
      <c r="BJ97" s="137">
        <v>0</v>
      </c>
      <c r="BK97" s="137">
        <v>0</v>
      </c>
      <c r="BL97" s="137">
        <v>0</v>
      </c>
      <c r="BM97" s="137">
        <v>0</v>
      </c>
      <c r="BN97" s="137">
        <v>0</v>
      </c>
      <c r="BO97" s="137">
        <v>0</v>
      </c>
      <c r="BP97" s="137">
        <v>0</v>
      </c>
      <c r="BQ97" s="137">
        <v>0</v>
      </c>
      <c r="BR97" s="137">
        <v>0</v>
      </c>
      <c r="BS97" s="137">
        <v>0</v>
      </c>
      <c r="BT97" s="137">
        <v>0</v>
      </c>
      <c r="BU97" s="137">
        <v>0</v>
      </c>
      <c r="BV97" s="137">
        <v>0</v>
      </c>
      <c r="BW97" s="137">
        <v>0</v>
      </c>
      <c r="BX97" s="137">
        <v>0</v>
      </c>
    </row>
    <row r="98" spans="1:107 16122:16122" ht="15" customHeight="1" collapsed="1" thickBot="1">
      <c r="A98" t="s">
        <v>18</v>
      </c>
      <c r="B98" s="138" t="str">
        <f>IF('Sumário | Summary'!P1=1,"Outros","Others")</f>
        <v>Outros</v>
      </c>
      <c r="C98" s="128">
        <f t="shared" ref="C98:BN98" si="29">SUM(C99:C99)</f>
        <v>0</v>
      </c>
      <c r="D98" s="128">
        <f t="shared" si="29"/>
        <v>0</v>
      </c>
      <c r="E98" s="128">
        <f t="shared" si="29"/>
        <v>0</v>
      </c>
      <c r="F98" s="128">
        <f t="shared" si="29"/>
        <v>0</v>
      </c>
      <c r="G98" s="128">
        <f t="shared" si="29"/>
        <v>0</v>
      </c>
      <c r="H98" s="128">
        <f t="shared" si="29"/>
        <v>0</v>
      </c>
      <c r="I98" s="128">
        <f t="shared" si="29"/>
        <v>0</v>
      </c>
      <c r="J98" s="128">
        <f t="shared" si="29"/>
        <v>0</v>
      </c>
      <c r="K98" s="128">
        <f t="shared" si="29"/>
        <v>0</v>
      </c>
      <c r="L98" s="128">
        <f t="shared" si="29"/>
        <v>0</v>
      </c>
      <c r="M98" s="128">
        <f t="shared" si="29"/>
        <v>0</v>
      </c>
      <c r="N98" s="128">
        <f t="shared" si="29"/>
        <v>0</v>
      </c>
      <c r="O98" s="128">
        <f t="shared" si="29"/>
        <v>0</v>
      </c>
      <c r="P98" s="128">
        <f t="shared" si="29"/>
        <v>0</v>
      </c>
      <c r="Q98" s="128">
        <f t="shared" si="29"/>
        <v>0</v>
      </c>
      <c r="R98" s="128">
        <f t="shared" si="29"/>
        <v>0</v>
      </c>
      <c r="S98" s="128">
        <f t="shared" si="29"/>
        <v>0</v>
      </c>
      <c r="T98" s="128">
        <f t="shared" si="29"/>
        <v>0</v>
      </c>
      <c r="U98" s="128">
        <f t="shared" si="29"/>
        <v>0</v>
      </c>
      <c r="V98" s="128">
        <f t="shared" si="29"/>
        <v>0</v>
      </c>
      <c r="W98" s="128">
        <f t="shared" si="29"/>
        <v>35947.5</v>
      </c>
      <c r="X98" s="128">
        <f t="shared" si="29"/>
        <v>35947.5</v>
      </c>
      <c r="Y98" s="128">
        <f t="shared" si="29"/>
        <v>35947.5</v>
      </c>
      <c r="Z98" s="128">
        <f t="shared" si="29"/>
        <v>35947.5</v>
      </c>
      <c r="AA98" s="128">
        <f t="shared" si="29"/>
        <v>35947.5</v>
      </c>
      <c r="AB98" s="128">
        <f t="shared" si="29"/>
        <v>34155</v>
      </c>
      <c r="AC98" s="128">
        <f t="shared" si="29"/>
        <v>34155</v>
      </c>
      <c r="AD98" s="128">
        <f t="shared" si="29"/>
        <v>34155</v>
      </c>
      <c r="AE98" s="128">
        <f t="shared" si="29"/>
        <v>34155</v>
      </c>
      <c r="AF98" s="128">
        <f t="shared" si="29"/>
        <v>34155</v>
      </c>
      <c r="AG98" s="128">
        <f t="shared" si="29"/>
        <v>34155</v>
      </c>
      <c r="AH98" s="128">
        <f t="shared" si="29"/>
        <v>34237.5</v>
      </c>
      <c r="AI98" s="128">
        <f t="shared" si="29"/>
        <v>34237.5</v>
      </c>
      <c r="AJ98" s="128">
        <f t="shared" si="29"/>
        <v>34237.5</v>
      </c>
      <c r="AK98" s="128">
        <f t="shared" si="29"/>
        <v>34237.5</v>
      </c>
      <c r="AL98" s="128">
        <f t="shared" si="29"/>
        <v>34285.5</v>
      </c>
      <c r="AM98" s="128">
        <f t="shared" si="29"/>
        <v>34404.149999999994</v>
      </c>
      <c r="AN98" s="128">
        <f t="shared" si="29"/>
        <v>34404.149999999994</v>
      </c>
      <c r="AO98" s="128">
        <f t="shared" si="29"/>
        <v>34404.149999999994</v>
      </c>
      <c r="AP98" s="128">
        <f t="shared" si="29"/>
        <v>34404.149999999994</v>
      </c>
      <c r="AQ98" s="128">
        <f t="shared" si="29"/>
        <v>34404.149999999994</v>
      </c>
      <c r="AR98" s="128">
        <f t="shared" si="29"/>
        <v>34383.360000000001</v>
      </c>
      <c r="AS98" s="128">
        <f t="shared" si="29"/>
        <v>34383.360000000001</v>
      </c>
      <c r="AT98" s="128">
        <f t="shared" si="29"/>
        <v>34383.360000000001</v>
      </c>
      <c r="AU98" s="128">
        <f t="shared" si="29"/>
        <v>34383</v>
      </c>
      <c r="AV98" s="128">
        <f t="shared" si="29"/>
        <v>34383</v>
      </c>
      <c r="AW98" s="128">
        <f t="shared" si="29"/>
        <v>34383</v>
      </c>
      <c r="AX98" s="128">
        <f t="shared" si="29"/>
        <v>34383</v>
      </c>
      <c r="AY98" s="128">
        <f t="shared" si="29"/>
        <v>34383</v>
      </c>
      <c r="AZ98" s="128">
        <f t="shared" si="29"/>
        <v>34383</v>
      </c>
      <c r="BA98" s="128">
        <f t="shared" si="29"/>
        <v>34383.360000000001</v>
      </c>
      <c r="BB98" s="128">
        <f t="shared" si="29"/>
        <v>34383</v>
      </c>
      <c r="BC98" s="128">
        <f t="shared" si="29"/>
        <v>34356.36</v>
      </c>
      <c r="BD98" s="128">
        <f t="shared" si="29"/>
        <v>34356.36</v>
      </c>
      <c r="BE98" s="128">
        <f t="shared" si="29"/>
        <v>34356.36</v>
      </c>
      <c r="BF98" s="128">
        <f t="shared" si="29"/>
        <v>34356.36</v>
      </c>
      <c r="BG98" s="128">
        <f t="shared" si="29"/>
        <v>34356.36</v>
      </c>
      <c r="BH98" s="128">
        <f t="shared" si="29"/>
        <v>34356.36</v>
      </c>
      <c r="BI98" s="128">
        <f t="shared" si="29"/>
        <v>34356.36</v>
      </c>
      <c r="BJ98" s="128">
        <f t="shared" si="29"/>
        <v>34356.36</v>
      </c>
      <c r="BK98" s="128">
        <f t="shared" si="29"/>
        <v>34356.36</v>
      </c>
      <c r="BL98" s="128">
        <f t="shared" si="29"/>
        <v>34357.86</v>
      </c>
      <c r="BM98" s="128">
        <f t="shared" si="29"/>
        <v>34356.375</v>
      </c>
      <c r="BN98" s="128">
        <f t="shared" si="29"/>
        <v>34356.375</v>
      </c>
      <c r="BO98" s="128">
        <f t="shared" ref="BO98" si="30">SUM(BO99:BO99)</f>
        <v>34356.375</v>
      </c>
      <c r="BP98" s="128">
        <v>34356.375</v>
      </c>
      <c r="BQ98" s="128">
        <v>34356.374999999993</v>
      </c>
      <c r="BR98" s="128">
        <v>34356.374999999993</v>
      </c>
      <c r="BS98" s="128">
        <v>34356.374999999993</v>
      </c>
      <c r="BT98" s="128">
        <v>34356.374999999993</v>
      </c>
      <c r="BU98" s="128">
        <v>34356.374999999993</v>
      </c>
      <c r="BV98" s="128">
        <v>34356.374999999993</v>
      </c>
      <c r="BW98" s="128">
        <v>34356.374999999993</v>
      </c>
      <c r="BX98" s="128">
        <f>SUM(BX99:BX99)</f>
        <v>34356.374999999993</v>
      </c>
    </row>
    <row r="99" spans="1:107 16122:16122" ht="15" hidden="1" outlineLevel="1" thickBot="1">
      <c r="A99" t="s">
        <v>221</v>
      </c>
      <c r="B99" s="38" t="s">
        <v>25</v>
      </c>
      <c r="C99" s="62">
        <v>0</v>
      </c>
      <c r="D99" s="62">
        <v>0</v>
      </c>
      <c r="E99" s="62">
        <v>0</v>
      </c>
      <c r="F99" s="62">
        <v>0</v>
      </c>
      <c r="G99" s="62">
        <v>0</v>
      </c>
      <c r="H99" s="62">
        <v>0</v>
      </c>
      <c r="I99" s="62">
        <v>0</v>
      </c>
      <c r="J99" s="62">
        <v>0</v>
      </c>
      <c r="K99" s="62">
        <v>0</v>
      </c>
      <c r="L99" s="62">
        <v>0</v>
      </c>
      <c r="M99" s="62">
        <v>0</v>
      </c>
      <c r="N99" s="62">
        <v>0</v>
      </c>
      <c r="O99" s="62">
        <v>0</v>
      </c>
      <c r="P99" s="62">
        <v>0</v>
      </c>
      <c r="Q99" s="62">
        <v>0</v>
      </c>
      <c r="R99" s="62">
        <v>0</v>
      </c>
      <c r="S99" s="62">
        <v>0</v>
      </c>
      <c r="T99" s="62">
        <v>0</v>
      </c>
      <c r="U99" s="62">
        <v>0</v>
      </c>
      <c r="V99" s="62">
        <v>0</v>
      </c>
      <c r="W99" s="62">
        <v>35947.5</v>
      </c>
      <c r="X99" s="62">
        <v>35947.5</v>
      </c>
      <c r="Y99" s="62">
        <v>35947.5</v>
      </c>
      <c r="Z99" s="62">
        <v>35947.5</v>
      </c>
      <c r="AA99" s="62">
        <v>35947.5</v>
      </c>
      <c r="AB99" s="62">
        <v>34155</v>
      </c>
      <c r="AC99" s="62">
        <v>34155</v>
      </c>
      <c r="AD99" s="62">
        <v>34155</v>
      </c>
      <c r="AE99" s="62">
        <v>34155</v>
      </c>
      <c r="AF99" s="62">
        <v>34155</v>
      </c>
      <c r="AG99" s="62">
        <v>34155</v>
      </c>
      <c r="AH99" s="62">
        <v>34237.5</v>
      </c>
      <c r="AI99" s="62">
        <v>34237.5</v>
      </c>
      <c r="AJ99" s="62">
        <v>34237.5</v>
      </c>
      <c r="AK99" s="62">
        <v>34237.5</v>
      </c>
      <c r="AL99" s="62">
        <v>34285.5</v>
      </c>
      <c r="AM99" s="62">
        <v>34404.149999999994</v>
      </c>
      <c r="AN99" s="62">
        <v>34404.149999999994</v>
      </c>
      <c r="AO99" s="62">
        <v>34404.149999999994</v>
      </c>
      <c r="AP99" s="62">
        <v>34404.149999999994</v>
      </c>
      <c r="AQ99" s="62">
        <v>34404.149999999994</v>
      </c>
      <c r="AR99" s="62">
        <v>34383.360000000001</v>
      </c>
      <c r="AS99" s="62">
        <v>34383.360000000001</v>
      </c>
      <c r="AT99" s="62">
        <v>34383.360000000001</v>
      </c>
      <c r="AU99" s="137">
        <v>34383</v>
      </c>
      <c r="AV99" s="62">
        <v>34383</v>
      </c>
      <c r="AW99" s="62">
        <v>34383</v>
      </c>
      <c r="AX99" s="62">
        <v>34383</v>
      </c>
      <c r="AY99" s="62">
        <v>34383</v>
      </c>
      <c r="AZ99" s="137">
        <v>34383</v>
      </c>
      <c r="BA99" s="62">
        <v>34383.360000000001</v>
      </c>
      <c r="BB99" s="62">
        <v>34383</v>
      </c>
      <c r="BC99" s="62">
        <v>34356.36</v>
      </c>
      <c r="BD99" s="62">
        <v>34356.36</v>
      </c>
      <c r="BE99" s="62">
        <v>34356.36</v>
      </c>
      <c r="BF99" s="62">
        <v>34356.36</v>
      </c>
      <c r="BG99" s="137">
        <v>34356.36</v>
      </c>
      <c r="BH99" s="137">
        <v>34356.36</v>
      </c>
      <c r="BI99" s="137">
        <v>34356.36</v>
      </c>
      <c r="BJ99" s="137">
        <v>34356.36</v>
      </c>
      <c r="BK99" s="137">
        <v>34356.36</v>
      </c>
      <c r="BL99" s="137">
        <v>34357.86</v>
      </c>
      <c r="BM99" s="137">
        <v>34356.375</v>
      </c>
      <c r="BN99" s="137">
        <v>34356.375</v>
      </c>
      <c r="BO99" s="137">
        <v>34356.375</v>
      </c>
      <c r="BP99" s="137">
        <v>34356.375</v>
      </c>
      <c r="BQ99" s="137">
        <v>34356.374999999993</v>
      </c>
      <c r="BR99" s="137">
        <v>34356.374999999993</v>
      </c>
      <c r="BS99" s="137">
        <v>34356.374999999993</v>
      </c>
      <c r="BT99" s="137">
        <v>34356.374999999993</v>
      </c>
      <c r="BU99" s="137">
        <v>34356.374999999993</v>
      </c>
      <c r="BV99" s="137">
        <v>34356.374999999993</v>
      </c>
      <c r="BW99" s="137">
        <v>34356.374999999993</v>
      </c>
      <c r="BX99" s="137">
        <v>34356.374999999993</v>
      </c>
    </row>
    <row r="100" spans="1:107 16122:16122" s="15" customFormat="1" ht="15" customHeight="1" collapsed="1" thickTop="1" thickBot="1">
      <c r="B100" s="139" t="s">
        <v>14</v>
      </c>
      <c r="C100" s="129">
        <f t="shared" ref="C100:BN100" si="31">C55+C77+C86+C98</f>
        <v>181652.916</v>
      </c>
      <c r="D100" s="129">
        <f t="shared" si="31"/>
        <v>196679.47999999998</v>
      </c>
      <c r="E100" s="129">
        <f t="shared" si="31"/>
        <v>196679.47999999998</v>
      </c>
      <c r="F100" s="129">
        <f t="shared" si="31"/>
        <v>196679.47999999998</v>
      </c>
      <c r="G100" s="129">
        <f t="shared" si="31"/>
        <v>203985.47999999998</v>
      </c>
      <c r="H100" s="129">
        <f t="shared" si="31"/>
        <v>203730.47999999998</v>
      </c>
      <c r="I100" s="129">
        <f t="shared" si="31"/>
        <v>204027.47999999998</v>
      </c>
      <c r="J100" s="129">
        <f t="shared" si="31"/>
        <v>206943.47999999998</v>
      </c>
      <c r="K100" s="129">
        <f t="shared" si="31"/>
        <v>205144.47999999998</v>
      </c>
      <c r="L100" s="129">
        <f t="shared" si="31"/>
        <v>202429.47999999998</v>
      </c>
      <c r="M100" s="129">
        <f t="shared" si="31"/>
        <v>203276.47999999998</v>
      </c>
      <c r="N100" s="129">
        <f t="shared" si="31"/>
        <v>203276.47999999998</v>
      </c>
      <c r="O100" s="129">
        <f t="shared" si="31"/>
        <v>203276.47999999998</v>
      </c>
      <c r="P100" s="129">
        <f t="shared" si="31"/>
        <v>201510.47999999998</v>
      </c>
      <c r="Q100" s="129">
        <f t="shared" si="31"/>
        <v>257107.47999999998</v>
      </c>
      <c r="R100" s="129">
        <f t="shared" si="31"/>
        <v>288734.48</v>
      </c>
      <c r="S100" s="129">
        <f t="shared" si="31"/>
        <v>316577.75</v>
      </c>
      <c r="T100" s="129">
        <f t="shared" si="31"/>
        <v>381839.75</v>
      </c>
      <c r="U100" s="129">
        <f t="shared" si="31"/>
        <v>381839.75</v>
      </c>
      <c r="V100" s="129">
        <f t="shared" si="31"/>
        <v>396373.75</v>
      </c>
      <c r="W100" s="129">
        <f t="shared" si="31"/>
        <v>508296.85</v>
      </c>
      <c r="X100" s="129">
        <f t="shared" si="31"/>
        <v>606882.15000000014</v>
      </c>
      <c r="Y100" s="129">
        <f t="shared" si="31"/>
        <v>617767.2803000001</v>
      </c>
      <c r="Z100" s="129">
        <f t="shared" si="31"/>
        <v>862773.64030000009</v>
      </c>
      <c r="AA100" s="129">
        <f t="shared" si="31"/>
        <v>862773.64030000009</v>
      </c>
      <c r="AB100" s="129">
        <f t="shared" si="31"/>
        <v>915434.49030000006</v>
      </c>
      <c r="AC100" s="129">
        <f t="shared" si="31"/>
        <v>998937.50975216192</v>
      </c>
      <c r="AD100" s="129">
        <f t="shared" si="31"/>
        <v>998936.56872078276</v>
      </c>
      <c r="AE100" s="129">
        <f t="shared" si="31"/>
        <v>998936.56872078276</v>
      </c>
      <c r="AF100" s="129">
        <f t="shared" si="31"/>
        <v>1014192.4106597448</v>
      </c>
      <c r="AG100" s="129">
        <f t="shared" si="31"/>
        <v>1014191.7257510447</v>
      </c>
      <c r="AH100" s="129">
        <f t="shared" si="31"/>
        <v>1013421.2257510448</v>
      </c>
      <c r="AI100" s="129">
        <f t="shared" si="31"/>
        <v>1108435.695340313</v>
      </c>
      <c r="AJ100" s="129">
        <f t="shared" si="31"/>
        <v>1295705.9506310783</v>
      </c>
      <c r="AK100" s="129">
        <f t="shared" si="31"/>
        <v>1282736.084274905</v>
      </c>
      <c r="AL100" s="129">
        <f t="shared" si="31"/>
        <v>637994.33907705452</v>
      </c>
      <c r="AM100" s="129">
        <f t="shared" si="31"/>
        <v>636063.33580271131</v>
      </c>
      <c r="AN100" s="129">
        <f t="shared" si="31"/>
        <v>652439.35600000003</v>
      </c>
      <c r="AO100" s="129">
        <f t="shared" si="31"/>
        <v>354728.30599999998</v>
      </c>
      <c r="AP100" s="129">
        <f t="shared" si="31"/>
        <v>356279.50787099998</v>
      </c>
      <c r="AQ100" s="129">
        <f t="shared" si="31"/>
        <v>354918.24507099995</v>
      </c>
      <c r="AR100" s="129">
        <f t="shared" si="31"/>
        <v>342294.32489199995</v>
      </c>
      <c r="AS100" s="129">
        <f t="shared" si="31"/>
        <v>342322.14550699998</v>
      </c>
      <c r="AT100" s="129">
        <f t="shared" si="31"/>
        <v>343163.58550699998</v>
      </c>
      <c r="AU100" s="129">
        <f t="shared" si="31"/>
        <v>410822.78600000002</v>
      </c>
      <c r="AV100" s="129">
        <f t="shared" si="31"/>
        <v>354589.87653333333</v>
      </c>
      <c r="AW100" s="129">
        <f t="shared" si="31"/>
        <v>401877.60319999995</v>
      </c>
      <c r="AX100" s="129">
        <f t="shared" si="31"/>
        <v>431254.91599999997</v>
      </c>
      <c r="AY100" s="129">
        <f t="shared" si="31"/>
        <v>431297.02797433332</v>
      </c>
      <c r="AZ100" s="129">
        <f t="shared" si="31"/>
        <v>432929.01464099996</v>
      </c>
      <c r="BA100" s="129">
        <f t="shared" si="31"/>
        <v>431375.84797433333</v>
      </c>
      <c r="BB100" s="129">
        <f t="shared" si="31"/>
        <v>433523.73940266669</v>
      </c>
      <c r="BC100" s="129">
        <f t="shared" si="31"/>
        <v>433311.98273599998</v>
      </c>
      <c r="BD100" s="129">
        <f t="shared" si="31"/>
        <v>431976.72993599996</v>
      </c>
      <c r="BE100" s="129">
        <f t="shared" si="31"/>
        <v>431442.60914837418</v>
      </c>
      <c r="BF100" s="129">
        <f t="shared" si="31"/>
        <v>325469.62392104079</v>
      </c>
      <c r="BG100" s="129">
        <f t="shared" si="31"/>
        <v>327097.48053404078</v>
      </c>
      <c r="BH100" s="129">
        <f t="shared" si="31"/>
        <v>327102.60053404083</v>
      </c>
      <c r="BI100" s="129">
        <f t="shared" si="31"/>
        <v>327134.0517443741</v>
      </c>
      <c r="BJ100" s="129">
        <f t="shared" si="31"/>
        <v>300289.92040404084</v>
      </c>
      <c r="BK100" s="129">
        <f t="shared" si="31"/>
        <v>300386.52697837411</v>
      </c>
      <c r="BL100" s="129">
        <f t="shared" si="31"/>
        <v>300540.04207837413</v>
      </c>
      <c r="BM100" s="129">
        <f t="shared" si="31"/>
        <v>300663.60954637412</v>
      </c>
      <c r="BN100" s="129">
        <f t="shared" si="31"/>
        <v>335496.11670037417</v>
      </c>
      <c r="BO100" s="129">
        <f t="shared" ref="BO100" si="32">BO55+BO77+BO86+BO98</f>
        <v>326695.89636437414</v>
      </c>
      <c r="BP100" s="129">
        <v>260913.77414037415</v>
      </c>
      <c r="BQ100" s="129">
        <v>261145.65250410908</v>
      </c>
      <c r="BR100" s="129">
        <v>226080.41610404087</v>
      </c>
      <c r="BS100" s="129">
        <v>218749.58159137415</v>
      </c>
      <c r="BT100" s="129">
        <v>242428.12737237418</v>
      </c>
      <c r="BU100" s="129">
        <v>241269.15028437416</v>
      </c>
      <c r="BV100" s="129">
        <v>261715.36967573559</v>
      </c>
      <c r="BW100" s="129">
        <v>276039.82466573559</v>
      </c>
      <c r="BX100" s="129">
        <f>BX55+BX77+BX86+BX98</f>
        <v>275847.6237852574</v>
      </c>
      <c r="WVB100" s="129"/>
    </row>
    <row r="101" spans="1:107 16122:16122">
      <c r="B101" s="140" t="str">
        <f>IF('Sumário | Summary'!P1=1,"¹ Área total das SPEs (Sociedades de Propósito Específico) e Fundos, por meio dos quais a SYN possui participação nos imóveis. Para identificar quais os casos são considerados na consolidação IFRS, verificar aba 'Consolidação IFRS' ","¹ Total area of the SPEs (Special Purpose Entities) and Funds, through which SYN holds stakes in real estate. To identify which cases are considered in IFRS consolidation, check the 'IFRS Consolidation' tab.")</f>
        <v xml:space="preserve">¹ Área total das SPEs (Sociedades de Propósito Específico) e Fundos, por meio dos quais a SYN possui participação nos imóveis. Para identificar quais os casos são considerados na consolidação IFRS, verificar aba 'Consolidação IFRS' </v>
      </c>
      <c r="BF101" s="208">
        <f>BF55+BF98</f>
        <v>122371.24921237414</v>
      </c>
      <c r="BJ101" s="208">
        <f>BJ55+BJ98</f>
        <v>123960.29921237416</v>
      </c>
    </row>
    <row r="102" spans="1:107 16122:16122" s="7" customFormat="1" ht="18.75" customHeight="1">
      <c r="B102" s="190" t="str">
        <f>IF('Sumário | Summary'!P1=1,"Participação SYN na SPE (%)","SYN's Stake in SPE (%)")</f>
        <v>Participação SYN na SPE (%)</v>
      </c>
      <c r="C102" s="191" t="str">
        <f t="shared" ref="C102:BH102" si="33">C6</f>
        <v>1T08</v>
      </c>
      <c r="D102" s="191" t="str">
        <f t="shared" si="33"/>
        <v>2T08</v>
      </c>
      <c r="E102" s="191" t="str">
        <f t="shared" si="33"/>
        <v>3T08</v>
      </c>
      <c r="F102" s="191" t="str">
        <f t="shared" si="33"/>
        <v>4T08</v>
      </c>
      <c r="G102" s="191" t="str">
        <f t="shared" si="33"/>
        <v>1T09</v>
      </c>
      <c r="H102" s="191" t="str">
        <f t="shared" si="33"/>
        <v>2T09</v>
      </c>
      <c r="I102" s="191" t="str">
        <f t="shared" si="33"/>
        <v>3T09</v>
      </c>
      <c r="J102" s="191" t="str">
        <f t="shared" si="33"/>
        <v>4T09</v>
      </c>
      <c r="K102" s="191" t="str">
        <f t="shared" si="33"/>
        <v>1T10</v>
      </c>
      <c r="L102" s="191" t="str">
        <f t="shared" si="33"/>
        <v>2T10</v>
      </c>
      <c r="M102" s="191" t="str">
        <f t="shared" si="33"/>
        <v>3T10</v>
      </c>
      <c r="N102" s="191" t="str">
        <f t="shared" si="33"/>
        <v>4T10</v>
      </c>
      <c r="O102" s="191" t="str">
        <f t="shared" si="33"/>
        <v>1T11</v>
      </c>
      <c r="P102" s="191" t="str">
        <f t="shared" si="33"/>
        <v>2T11</v>
      </c>
      <c r="Q102" s="191" t="str">
        <f t="shared" si="33"/>
        <v>3T11</v>
      </c>
      <c r="R102" s="191" t="str">
        <f t="shared" si="33"/>
        <v>4T11</v>
      </c>
      <c r="S102" s="191" t="str">
        <f t="shared" si="33"/>
        <v>1T12</v>
      </c>
      <c r="T102" s="191" t="str">
        <f t="shared" si="33"/>
        <v>2T12</v>
      </c>
      <c r="U102" s="191" t="str">
        <f t="shared" si="33"/>
        <v>3T12</v>
      </c>
      <c r="V102" s="191" t="str">
        <f t="shared" si="33"/>
        <v>4T12</v>
      </c>
      <c r="W102" s="191" t="str">
        <f t="shared" si="33"/>
        <v>1T13</v>
      </c>
      <c r="X102" s="191" t="str">
        <f t="shared" si="33"/>
        <v>2T13</v>
      </c>
      <c r="Y102" s="191" t="str">
        <f t="shared" si="33"/>
        <v>3T13</v>
      </c>
      <c r="Z102" s="191" t="str">
        <f t="shared" si="33"/>
        <v>4T13</v>
      </c>
      <c r="AA102" s="191" t="str">
        <f t="shared" si="33"/>
        <v>1T14</v>
      </c>
      <c r="AB102" s="191" t="str">
        <f t="shared" si="33"/>
        <v>2T14</v>
      </c>
      <c r="AC102" s="191" t="str">
        <f t="shared" si="33"/>
        <v>3T14</v>
      </c>
      <c r="AD102" s="191" t="str">
        <f t="shared" si="33"/>
        <v>4T14</v>
      </c>
      <c r="AE102" s="191" t="str">
        <f t="shared" si="33"/>
        <v>1T15</v>
      </c>
      <c r="AF102" s="191" t="str">
        <f t="shared" si="33"/>
        <v>2T15</v>
      </c>
      <c r="AG102" s="191" t="str">
        <f t="shared" si="33"/>
        <v>3T15</v>
      </c>
      <c r="AH102" s="191" t="str">
        <f t="shared" si="33"/>
        <v>4T15</v>
      </c>
      <c r="AI102" s="191" t="str">
        <f t="shared" si="33"/>
        <v>1T16</v>
      </c>
      <c r="AJ102" s="191" t="str">
        <f t="shared" si="33"/>
        <v>2T16</v>
      </c>
      <c r="AK102" s="191" t="str">
        <f t="shared" si="33"/>
        <v>3T16</v>
      </c>
      <c r="AL102" s="191" t="str">
        <f t="shared" si="33"/>
        <v>4T16</v>
      </c>
      <c r="AM102" s="191" t="str">
        <f t="shared" si="33"/>
        <v>1T17</v>
      </c>
      <c r="AN102" s="191" t="str">
        <f t="shared" si="33"/>
        <v>2T17</v>
      </c>
      <c r="AO102" s="191" t="str">
        <f t="shared" si="33"/>
        <v>3T17</v>
      </c>
      <c r="AP102" s="191" t="str">
        <f t="shared" si="33"/>
        <v>4T17</v>
      </c>
      <c r="AQ102" s="191" t="str">
        <f t="shared" si="33"/>
        <v>1T18</v>
      </c>
      <c r="AR102" s="191" t="str">
        <f t="shared" si="33"/>
        <v>2T18</v>
      </c>
      <c r="AS102" s="191" t="str">
        <f t="shared" si="33"/>
        <v>3T18</v>
      </c>
      <c r="AT102" s="191" t="str">
        <f t="shared" si="33"/>
        <v>4T18</v>
      </c>
      <c r="AU102" s="191" t="str">
        <f t="shared" si="33"/>
        <v>1T19</v>
      </c>
      <c r="AV102" s="191" t="str">
        <f t="shared" si="33"/>
        <v>2T19</v>
      </c>
      <c r="AW102" s="191" t="str">
        <f t="shared" si="33"/>
        <v>3T19</v>
      </c>
      <c r="AX102" s="191" t="str">
        <f t="shared" si="33"/>
        <v>4T19</v>
      </c>
      <c r="AY102" s="191" t="str">
        <f t="shared" si="33"/>
        <v>1T20</v>
      </c>
      <c r="AZ102" s="191" t="str">
        <f t="shared" si="33"/>
        <v>2T20</v>
      </c>
      <c r="BA102" s="191" t="str">
        <f t="shared" si="33"/>
        <v>3T20</v>
      </c>
      <c r="BB102" s="191" t="str">
        <f t="shared" si="33"/>
        <v>4T20</v>
      </c>
      <c r="BC102" s="191" t="str">
        <f t="shared" si="33"/>
        <v>1T21</v>
      </c>
      <c r="BD102" s="191" t="str">
        <f t="shared" si="33"/>
        <v>2T21</v>
      </c>
      <c r="BE102" s="191" t="str">
        <f t="shared" si="33"/>
        <v>3T21</v>
      </c>
      <c r="BF102" s="191" t="str">
        <f t="shared" si="33"/>
        <v>4T21</v>
      </c>
      <c r="BG102" s="191" t="str">
        <f t="shared" si="33"/>
        <v>1T22</v>
      </c>
      <c r="BH102" s="191" t="str">
        <f t="shared" si="33"/>
        <v>2T22</v>
      </c>
      <c r="BI102" s="191" t="str">
        <f t="shared" ref="BI102:BM102" si="34">BI6</f>
        <v>3T22</v>
      </c>
      <c r="BJ102" s="191" t="str">
        <f t="shared" si="34"/>
        <v>4T22</v>
      </c>
      <c r="BK102" s="191" t="str">
        <f t="shared" si="34"/>
        <v>1T23</v>
      </c>
      <c r="BL102" s="191" t="str">
        <f t="shared" si="34"/>
        <v>2T23</v>
      </c>
      <c r="BM102" s="191" t="str">
        <f t="shared" si="34"/>
        <v>3T23</v>
      </c>
      <c r="BN102" s="191" t="s">
        <v>312</v>
      </c>
      <c r="BO102" s="191" t="s">
        <v>318</v>
      </c>
      <c r="BP102" s="191" t="s">
        <v>320</v>
      </c>
      <c r="BQ102" s="191" t="s">
        <v>328</v>
      </c>
      <c r="BR102" s="191" t="s">
        <v>330</v>
      </c>
      <c r="BS102" s="191" t="s">
        <v>332</v>
      </c>
      <c r="BT102" s="191" t="s">
        <v>333</v>
      </c>
      <c r="BU102" s="191" t="s">
        <v>334</v>
      </c>
      <c r="BV102" s="191" t="s">
        <v>335</v>
      </c>
      <c r="BW102" s="191" t="s">
        <v>336</v>
      </c>
      <c r="BX102" s="191" t="str">
        <f t="shared" ref="BX102" si="35">BX6</f>
        <v>2T26</v>
      </c>
    </row>
    <row r="103" spans="1:107 16122:16122" s="146" customFormat="1" ht="15" customHeight="1">
      <c r="B103" s="141" t="str">
        <f>IF('Sumário | Summary'!P1=1,"Escritórios","Offices")</f>
        <v>Escritórios</v>
      </c>
      <c r="C103" s="130">
        <f t="shared" ref="C103:BN106" si="36">IFERROR(C151/C55,"-")</f>
        <v>0.93116489434453198</v>
      </c>
      <c r="D103" s="130">
        <f t="shared" si="36"/>
        <v>0.94241844844791267</v>
      </c>
      <c r="E103" s="130">
        <f t="shared" si="36"/>
        <v>0.94241844844791267</v>
      </c>
      <c r="F103" s="130">
        <f t="shared" si="36"/>
        <v>0.94241844844791267</v>
      </c>
      <c r="G103" s="130">
        <f t="shared" si="36"/>
        <v>0.9466584438322897</v>
      </c>
      <c r="H103" s="130">
        <f t="shared" si="36"/>
        <v>0.94652099982377547</v>
      </c>
      <c r="I103" s="130">
        <f t="shared" si="36"/>
        <v>0.94652099982377547</v>
      </c>
      <c r="J103" s="130">
        <f t="shared" si="36"/>
        <v>0.94610109167966483</v>
      </c>
      <c r="K103" s="130">
        <f t="shared" si="36"/>
        <v>0.94509518371560908</v>
      </c>
      <c r="L103" s="130">
        <f t="shared" si="36"/>
        <v>0.94350394600150045</v>
      </c>
      <c r="M103" s="130">
        <f t="shared" si="36"/>
        <v>0.94350394600150045</v>
      </c>
      <c r="N103" s="130">
        <f t="shared" si="36"/>
        <v>0.94350394600150045</v>
      </c>
      <c r="O103" s="130">
        <f t="shared" si="36"/>
        <v>0.94350394600150045</v>
      </c>
      <c r="P103" s="130">
        <f t="shared" si="36"/>
        <v>0.94241844844791267</v>
      </c>
      <c r="Q103" s="130">
        <f t="shared" si="36"/>
        <v>0.94241844844791267</v>
      </c>
      <c r="R103" s="130">
        <f t="shared" si="36"/>
        <v>0.94241844844791267</v>
      </c>
      <c r="S103" s="130">
        <f t="shared" si="36"/>
        <v>0.94241844844791267</v>
      </c>
      <c r="T103" s="130">
        <f t="shared" si="36"/>
        <v>0.94241844844791267</v>
      </c>
      <c r="U103" s="130">
        <f t="shared" si="36"/>
        <v>0.94241844844791267</v>
      </c>
      <c r="V103" s="130">
        <f t="shared" si="36"/>
        <v>0.94241844844791267</v>
      </c>
      <c r="W103" s="130">
        <f t="shared" si="36"/>
        <v>0.94241844844791267</v>
      </c>
      <c r="X103" s="130">
        <f t="shared" si="36"/>
        <v>0.94241847977162052</v>
      </c>
      <c r="Y103" s="130">
        <f t="shared" si="36"/>
        <v>0.86909958940258081</v>
      </c>
      <c r="Z103" s="130">
        <f t="shared" si="36"/>
        <v>0.86909958940258081</v>
      </c>
      <c r="AA103" s="130">
        <f t="shared" si="36"/>
        <v>0.86909958940258081</v>
      </c>
      <c r="AB103" s="130">
        <f t="shared" si="36"/>
        <v>0.86909958940258081</v>
      </c>
      <c r="AC103" s="130">
        <f t="shared" si="36"/>
        <v>0.8895214174099707</v>
      </c>
      <c r="AD103" s="130">
        <f t="shared" si="36"/>
        <v>0.88952137205796367</v>
      </c>
      <c r="AE103" s="130">
        <f t="shared" si="36"/>
        <v>0.88952137205796367</v>
      </c>
      <c r="AF103" s="130">
        <f t="shared" si="36"/>
        <v>0.88688041815307972</v>
      </c>
      <c r="AG103" s="130">
        <f t="shared" si="36"/>
        <v>0.88687640429036119</v>
      </c>
      <c r="AH103" s="130">
        <f t="shared" si="36"/>
        <v>0.88687640429036119</v>
      </c>
      <c r="AI103" s="130">
        <f t="shared" si="36"/>
        <v>0.86537552285871788</v>
      </c>
      <c r="AJ103" s="130">
        <f t="shared" si="36"/>
        <v>0.86537552285871788</v>
      </c>
      <c r="AK103" s="130">
        <f t="shared" si="36"/>
        <v>0.86537555977656355</v>
      </c>
      <c r="AL103" s="130">
        <f t="shared" si="36"/>
        <v>0.96787138860915289</v>
      </c>
      <c r="AM103" s="130">
        <f t="shared" si="36"/>
        <v>0.98533683314663667</v>
      </c>
      <c r="AN103" s="130">
        <f t="shared" si="36"/>
        <v>0.97241204760477762</v>
      </c>
      <c r="AO103" s="130">
        <f t="shared" si="36"/>
        <v>0.69446887926685497</v>
      </c>
      <c r="AP103" s="130">
        <f t="shared" si="36"/>
        <v>0.69447531992884814</v>
      </c>
      <c r="AQ103" s="130">
        <f t="shared" si="36"/>
        <v>0.69447531992884814</v>
      </c>
      <c r="AR103" s="130">
        <f t="shared" si="36"/>
        <v>0.69447531992884814</v>
      </c>
      <c r="AS103" s="130">
        <f t="shared" si="36"/>
        <v>0.69447531992884814</v>
      </c>
      <c r="AT103" s="130">
        <f t="shared" si="36"/>
        <v>0.69293639413063923</v>
      </c>
      <c r="AU103" s="130">
        <f t="shared" si="36"/>
        <v>0.62942570506067352</v>
      </c>
      <c r="AV103" s="130">
        <f t="shared" si="36"/>
        <v>0.72236426136776855</v>
      </c>
      <c r="AW103" s="130">
        <f t="shared" si="36"/>
        <v>0.66548816054874127</v>
      </c>
      <c r="AX103" s="130">
        <f t="shared" si="36"/>
        <v>0.59361644741158992</v>
      </c>
      <c r="AY103" s="130">
        <f t="shared" si="36"/>
        <v>0.59361644741158992</v>
      </c>
      <c r="AZ103" s="130">
        <f t="shared" si="36"/>
        <v>0.59298450146817616</v>
      </c>
      <c r="BA103" s="130">
        <f t="shared" si="36"/>
        <v>0.59224154853173538</v>
      </c>
      <c r="BB103" s="130">
        <f t="shared" si="36"/>
        <v>0.59078881622128987</v>
      </c>
      <c r="BC103" s="130">
        <f t="shared" si="36"/>
        <v>0.59078859037948706</v>
      </c>
      <c r="BD103" s="130">
        <f t="shared" si="36"/>
        <v>0.59078859037948706</v>
      </c>
      <c r="BE103" s="130">
        <f t="shared" si="36"/>
        <v>0.59078934380350345</v>
      </c>
      <c r="BF103" s="130">
        <f t="shared" si="36"/>
        <v>0.51743946975632138</v>
      </c>
      <c r="BG103" s="130">
        <f t="shared" si="36"/>
        <v>0.51358232969897932</v>
      </c>
      <c r="BH103" s="130">
        <f t="shared" si="36"/>
        <v>0.5135837777805764</v>
      </c>
      <c r="BI103" s="130">
        <f t="shared" si="36"/>
        <v>0.5135837777805764</v>
      </c>
      <c r="BJ103" s="130">
        <f t="shared" si="36"/>
        <v>0.5135837777805764</v>
      </c>
      <c r="BK103" s="130">
        <f t="shared" si="36"/>
        <v>0.5135837777805764</v>
      </c>
      <c r="BL103" s="130">
        <f t="shared" si="36"/>
        <v>0.5135837777805764</v>
      </c>
      <c r="BM103" s="130">
        <f t="shared" si="36"/>
        <v>0.51358289504899668</v>
      </c>
      <c r="BN103" s="130">
        <f t="shared" si="36"/>
        <v>0.50675348511244511</v>
      </c>
      <c r="BO103" s="130">
        <f t="shared" ref="BO103:BO105" si="37">IFERROR(BO151/BO55,"-")</f>
        <v>0.50675348511244511</v>
      </c>
      <c r="BP103" s="130">
        <v>0.43332947817164452</v>
      </c>
      <c r="BQ103" s="130">
        <v>0.43333011952811035</v>
      </c>
      <c r="BR103" s="130">
        <v>0.43265947779453784</v>
      </c>
      <c r="BS103" s="130">
        <v>0.44352861871033661</v>
      </c>
      <c r="BT103" s="130">
        <v>0.43780500290617375</v>
      </c>
      <c r="BU103" s="130">
        <v>0.42956774369713119</v>
      </c>
      <c r="BV103" s="130">
        <v>0.42378526467978905</v>
      </c>
      <c r="BW103" s="130">
        <v>0.42378526467978905</v>
      </c>
      <c r="BX103" s="130">
        <f t="shared" ref="BX103" si="38">IFERROR(BX151/BX55,"-")</f>
        <v>0.42378459894472131</v>
      </c>
      <c r="BY103" s="214"/>
      <c r="BZ103" s="214"/>
      <c r="CA103" s="214"/>
      <c r="CB103" s="214"/>
      <c r="CC103" s="214"/>
      <c r="CD103" s="214"/>
      <c r="CE103" s="214"/>
      <c r="CF103" s="214"/>
      <c r="CG103" s="214"/>
      <c r="CH103" s="214"/>
      <c r="CI103" s="214"/>
      <c r="CJ103" s="214"/>
      <c r="CK103" s="214"/>
      <c r="CL103" s="214"/>
      <c r="CM103" s="214"/>
      <c r="CN103" s="214"/>
      <c r="CO103" s="214"/>
      <c r="CP103" s="214"/>
      <c r="CQ103" s="214"/>
      <c r="CR103" s="214"/>
      <c r="CS103" s="214"/>
      <c r="CT103" s="214"/>
      <c r="CU103" s="214"/>
      <c r="CV103" s="214"/>
      <c r="CW103" s="214"/>
      <c r="CX103" s="214"/>
      <c r="CY103" s="214"/>
      <c r="CZ103" s="214"/>
      <c r="DA103" s="214"/>
      <c r="DB103" s="214"/>
      <c r="DC103" s="214"/>
    </row>
    <row r="104" spans="1:107 16122:16122" s="15" customFormat="1" ht="15" customHeight="1">
      <c r="B104" s="81" t="str">
        <f>IF('Sumário | Summary'!P1=1,"Escritórios AAA","Triple A Offices")</f>
        <v>Escritórios AAA</v>
      </c>
      <c r="C104" s="130">
        <f t="shared" si="36"/>
        <v>1</v>
      </c>
      <c r="D104" s="130">
        <f t="shared" si="36"/>
        <v>1</v>
      </c>
      <c r="E104" s="130">
        <f t="shared" si="36"/>
        <v>1</v>
      </c>
      <c r="F104" s="130">
        <f t="shared" si="36"/>
        <v>1</v>
      </c>
      <c r="G104" s="130">
        <f t="shared" si="36"/>
        <v>1</v>
      </c>
      <c r="H104" s="130">
        <f t="shared" si="36"/>
        <v>1</v>
      </c>
      <c r="I104" s="130">
        <f t="shared" si="36"/>
        <v>1</v>
      </c>
      <c r="J104" s="130">
        <f t="shared" si="36"/>
        <v>1</v>
      </c>
      <c r="K104" s="130">
        <f t="shared" si="36"/>
        <v>1</v>
      </c>
      <c r="L104" s="130">
        <f t="shared" si="36"/>
        <v>1</v>
      </c>
      <c r="M104" s="130">
        <f t="shared" si="36"/>
        <v>1</v>
      </c>
      <c r="N104" s="130">
        <f t="shared" si="36"/>
        <v>1</v>
      </c>
      <c r="O104" s="130">
        <f t="shared" si="36"/>
        <v>1</v>
      </c>
      <c r="P104" s="130">
        <f t="shared" si="36"/>
        <v>1</v>
      </c>
      <c r="Q104" s="130">
        <f t="shared" si="36"/>
        <v>1</v>
      </c>
      <c r="R104" s="130">
        <f t="shared" si="36"/>
        <v>1</v>
      </c>
      <c r="S104" s="130">
        <f t="shared" si="36"/>
        <v>1</v>
      </c>
      <c r="T104" s="130">
        <f t="shared" si="36"/>
        <v>1</v>
      </c>
      <c r="U104" s="130">
        <f t="shared" si="36"/>
        <v>1</v>
      </c>
      <c r="V104" s="130">
        <f t="shared" si="36"/>
        <v>1</v>
      </c>
      <c r="W104" s="130">
        <f t="shared" si="36"/>
        <v>1</v>
      </c>
      <c r="X104" s="130">
        <f t="shared" si="36"/>
        <v>1</v>
      </c>
      <c r="Y104" s="130">
        <f t="shared" si="36"/>
        <v>0.86698925913706515</v>
      </c>
      <c r="Z104" s="130">
        <f t="shared" si="36"/>
        <v>0.86698925913706515</v>
      </c>
      <c r="AA104" s="130">
        <f t="shared" si="36"/>
        <v>0.86698925913706515</v>
      </c>
      <c r="AB104" s="130">
        <f t="shared" si="36"/>
        <v>0.86698925913706515</v>
      </c>
      <c r="AC104" s="130">
        <f t="shared" si="36"/>
        <v>0.89843370881091511</v>
      </c>
      <c r="AD104" s="130">
        <f t="shared" si="36"/>
        <v>0.89843370881091511</v>
      </c>
      <c r="AE104" s="130">
        <f t="shared" si="36"/>
        <v>0.89843370881091511</v>
      </c>
      <c r="AF104" s="130">
        <f t="shared" si="36"/>
        <v>0.89843370881091511</v>
      </c>
      <c r="AG104" s="130">
        <f t="shared" si="36"/>
        <v>0.89842839769966931</v>
      </c>
      <c r="AH104" s="130">
        <f t="shared" si="36"/>
        <v>0.89842839769966931</v>
      </c>
      <c r="AI104" s="130">
        <f t="shared" si="36"/>
        <v>0.86698925913706515</v>
      </c>
      <c r="AJ104" s="130">
        <f t="shared" si="36"/>
        <v>0.86698925913706515</v>
      </c>
      <c r="AK104" s="130">
        <f t="shared" si="36"/>
        <v>0.86698984566882953</v>
      </c>
      <c r="AL104" s="130">
        <f t="shared" si="36"/>
        <v>0.86698984566882953</v>
      </c>
      <c r="AM104" s="130">
        <f t="shared" si="36"/>
        <v>0.88995880590818466</v>
      </c>
      <c r="AN104" s="130">
        <f t="shared" si="36"/>
        <v>0.89269277153074544</v>
      </c>
      <c r="AO104" s="130">
        <f t="shared" si="36"/>
        <v>0.63549230372819121</v>
      </c>
      <c r="AP104" s="130">
        <f t="shared" si="36"/>
        <v>0.63549939759097895</v>
      </c>
      <c r="AQ104" s="130">
        <f t="shared" si="36"/>
        <v>0.63549939759097895</v>
      </c>
      <c r="AR104" s="130">
        <f t="shared" si="36"/>
        <v>0.63549939759097895</v>
      </c>
      <c r="AS104" s="130">
        <f t="shared" si="36"/>
        <v>0.63549939759097895</v>
      </c>
      <c r="AT104" s="130">
        <f t="shared" si="36"/>
        <v>0.63403538164074424</v>
      </c>
      <c r="AU104" s="130">
        <f t="shared" si="36"/>
        <v>0.63403538164074424</v>
      </c>
      <c r="AV104" s="130">
        <f t="shared" si="36"/>
        <v>0.63403538164074424</v>
      </c>
      <c r="AW104" s="130">
        <f t="shared" si="36"/>
        <v>0.63403538164074424</v>
      </c>
      <c r="AX104" s="130">
        <f t="shared" si="36"/>
        <v>0.53968625370185774</v>
      </c>
      <c r="AY104" s="130">
        <f t="shared" si="36"/>
        <v>0.53968625370185774</v>
      </c>
      <c r="AZ104" s="130">
        <f t="shared" si="36"/>
        <v>0.53957840691225556</v>
      </c>
      <c r="BA104" s="130">
        <f t="shared" si="36"/>
        <v>0.53772523555251883</v>
      </c>
      <c r="BB104" s="130">
        <f t="shared" si="36"/>
        <v>0.53659215108173364</v>
      </c>
      <c r="BC104" s="130">
        <f t="shared" si="36"/>
        <v>0.53659215108173364</v>
      </c>
      <c r="BD104" s="130">
        <f t="shared" si="36"/>
        <v>0.53659215108173364</v>
      </c>
      <c r="BE104" s="130">
        <f t="shared" si="36"/>
        <v>0.53659310992903519</v>
      </c>
      <c r="BF104" s="130">
        <f t="shared" si="36"/>
        <v>0.28665236484598988</v>
      </c>
      <c r="BG104" s="130">
        <f t="shared" si="36"/>
        <v>0.28715307011363322</v>
      </c>
      <c r="BH104" s="130">
        <f t="shared" si="36"/>
        <v>0.28715342088151358</v>
      </c>
      <c r="BI104" s="130">
        <f t="shared" si="36"/>
        <v>0.28715342088151358</v>
      </c>
      <c r="BJ104" s="130">
        <f t="shared" si="36"/>
        <v>0.28715342088151358</v>
      </c>
      <c r="BK104" s="130">
        <f t="shared" si="36"/>
        <v>0.28715342088151358</v>
      </c>
      <c r="BL104" s="130">
        <f t="shared" si="36"/>
        <v>0.28715342088151358</v>
      </c>
      <c r="BM104" s="130">
        <f t="shared" si="36"/>
        <v>0.28715315783530448</v>
      </c>
      <c r="BN104" s="130">
        <f t="shared" si="36"/>
        <v>0.28715315783530448</v>
      </c>
      <c r="BO104" s="130">
        <f t="shared" si="37"/>
        <v>0.28715315783530448</v>
      </c>
      <c r="BP104" s="130">
        <v>0.13854052649408666</v>
      </c>
      <c r="BQ104" s="130">
        <v>0.13853973726449442</v>
      </c>
      <c r="BR104" s="130">
        <v>0.13838311622439617</v>
      </c>
      <c r="BS104" s="130">
        <v>0.13838311622439617</v>
      </c>
      <c r="BT104" s="130">
        <v>0.13797672777648495</v>
      </c>
      <c r="BU104" s="130">
        <v>0.13838311622439617</v>
      </c>
      <c r="BV104" s="130">
        <v>0.13838311482162521</v>
      </c>
      <c r="BW104" s="130">
        <v>0.13838311482162521</v>
      </c>
      <c r="BX104" s="130">
        <f t="shared" ref="BX104" si="39">IFERROR(BX152/BX56,"-")</f>
        <v>0.13838387791897214</v>
      </c>
    </row>
    <row r="105" spans="1:107 16122:16122" s="147" customFormat="1" ht="15" hidden="1" customHeight="1" outlineLevel="1">
      <c r="A105" t="s">
        <v>18</v>
      </c>
      <c r="B105" s="142" t="s">
        <v>2</v>
      </c>
      <c r="C105" s="131">
        <f t="shared" si="36"/>
        <v>1</v>
      </c>
      <c r="D105" s="131">
        <f t="shared" si="36"/>
        <v>1</v>
      </c>
      <c r="E105" s="131">
        <f t="shared" si="36"/>
        <v>1</v>
      </c>
      <c r="F105" s="131">
        <f t="shared" si="36"/>
        <v>1</v>
      </c>
      <c r="G105" s="131">
        <f t="shared" si="36"/>
        <v>1</v>
      </c>
      <c r="H105" s="131">
        <f t="shared" si="36"/>
        <v>1</v>
      </c>
      <c r="I105" s="131">
        <f t="shared" si="36"/>
        <v>1</v>
      </c>
      <c r="J105" s="131">
        <f t="shared" si="36"/>
        <v>1</v>
      </c>
      <c r="K105" s="131">
        <f t="shared" si="36"/>
        <v>1</v>
      </c>
      <c r="L105" s="131">
        <f t="shared" si="36"/>
        <v>1</v>
      </c>
      <c r="M105" s="131">
        <f t="shared" si="36"/>
        <v>1</v>
      </c>
      <c r="N105" s="131">
        <f t="shared" si="36"/>
        <v>1</v>
      </c>
      <c r="O105" s="131">
        <f t="shared" si="36"/>
        <v>1</v>
      </c>
      <c r="P105" s="131">
        <f t="shared" si="36"/>
        <v>1</v>
      </c>
      <c r="Q105" s="131">
        <f t="shared" si="36"/>
        <v>1</v>
      </c>
      <c r="R105" s="131">
        <f t="shared" si="36"/>
        <v>1</v>
      </c>
      <c r="S105" s="131">
        <f t="shared" si="36"/>
        <v>1</v>
      </c>
      <c r="T105" s="131">
        <f t="shared" si="36"/>
        <v>1</v>
      </c>
      <c r="U105" s="131">
        <f t="shared" si="36"/>
        <v>1</v>
      </c>
      <c r="V105" s="131">
        <f t="shared" si="36"/>
        <v>1</v>
      </c>
      <c r="W105" s="131">
        <f t="shared" si="36"/>
        <v>1</v>
      </c>
      <c r="X105" s="131">
        <f t="shared" si="36"/>
        <v>1</v>
      </c>
      <c r="Y105" s="131">
        <f t="shared" si="36"/>
        <v>1</v>
      </c>
      <c r="Z105" s="131">
        <f t="shared" si="36"/>
        <v>1</v>
      </c>
      <c r="AA105" s="131">
        <f t="shared" si="36"/>
        <v>1</v>
      </c>
      <c r="AB105" s="131">
        <f t="shared" si="36"/>
        <v>1</v>
      </c>
      <c r="AC105" s="131">
        <f t="shared" si="36"/>
        <v>1</v>
      </c>
      <c r="AD105" s="131">
        <f t="shared" si="36"/>
        <v>1</v>
      </c>
      <c r="AE105" s="131">
        <f t="shared" si="36"/>
        <v>1</v>
      </c>
      <c r="AF105" s="131">
        <f t="shared" si="36"/>
        <v>1</v>
      </c>
      <c r="AG105" s="131">
        <f t="shared" si="36"/>
        <v>1</v>
      </c>
      <c r="AH105" s="131">
        <f t="shared" si="36"/>
        <v>1</v>
      </c>
      <c r="AI105" s="131">
        <f t="shared" si="36"/>
        <v>1</v>
      </c>
      <c r="AJ105" s="131">
        <f t="shared" si="36"/>
        <v>1</v>
      </c>
      <c r="AK105" s="131">
        <f t="shared" si="36"/>
        <v>1</v>
      </c>
      <c r="AL105" s="131">
        <f t="shared" si="36"/>
        <v>1</v>
      </c>
      <c r="AM105" s="131">
        <f t="shared" si="36"/>
        <v>1</v>
      </c>
      <c r="AN105" s="131">
        <f t="shared" si="36"/>
        <v>1</v>
      </c>
      <c r="AO105" s="131">
        <f t="shared" si="36"/>
        <v>0.66559204782053871</v>
      </c>
      <c r="AP105" s="131">
        <f t="shared" si="36"/>
        <v>0.66569999999999996</v>
      </c>
      <c r="AQ105" s="131">
        <f t="shared" si="36"/>
        <v>0.66569999999999996</v>
      </c>
      <c r="AR105" s="131">
        <f t="shared" si="36"/>
        <v>0.66569999999999996</v>
      </c>
      <c r="AS105" s="131">
        <f t="shared" si="36"/>
        <v>0.66569999999999996</v>
      </c>
      <c r="AT105" s="131">
        <f t="shared" si="36"/>
        <v>0.66569999999999996</v>
      </c>
      <c r="AU105" s="131">
        <f t="shared" si="36"/>
        <v>0.66569999999999996</v>
      </c>
      <c r="AV105" s="131">
        <f t="shared" si="36"/>
        <v>0.66569999999999996</v>
      </c>
      <c r="AW105" s="131">
        <f t="shared" si="36"/>
        <v>0.66569999999999996</v>
      </c>
      <c r="AX105" s="131">
        <f t="shared" si="36"/>
        <v>0.66569999999999996</v>
      </c>
      <c r="AY105" s="131">
        <f t="shared" si="36"/>
        <v>0.66569999999999996</v>
      </c>
      <c r="AZ105" s="131">
        <f t="shared" si="36"/>
        <v>0.66569999999999996</v>
      </c>
      <c r="BA105" s="131">
        <f t="shared" si="36"/>
        <v>0.66569999999999996</v>
      </c>
      <c r="BB105" s="131">
        <f t="shared" si="36"/>
        <v>0.66569999999999996</v>
      </c>
      <c r="BC105" s="131">
        <f t="shared" si="36"/>
        <v>0.66569999999999996</v>
      </c>
      <c r="BD105" s="131">
        <f t="shared" si="36"/>
        <v>0.66569999999999996</v>
      </c>
      <c r="BE105" s="131">
        <f t="shared" si="36"/>
        <v>0.66569999999999996</v>
      </c>
      <c r="BF105" s="131" t="str">
        <f t="shared" si="36"/>
        <v>-</v>
      </c>
      <c r="BG105" s="131" t="str">
        <f t="shared" si="36"/>
        <v>-</v>
      </c>
      <c r="BH105" s="131" t="str">
        <f t="shared" si="36"/>
        <v>-</v>
      </c>
      <c r="BI105" s="131" t="str">
        <f t="shared" si="36"/>
        <v>-</v>
      </c>
      <c r="BJ105" s="131" t="str">
        <f t="shared" si="36"/>
        <v>-</v>
      </c>
      <c r="BK105" s="131" t="str">
        <f t="shared" si="36"/>
        <v>-</v>
      </c>
      <c r="BL105" s="131" t="str">
        <f t="shared" si="36"/>
        <v>-</v>
      </c>
      <c r="BM105" s="131" t="str">
        <f t="shared" si="36"/>
        <v>-</v>
      </c>
      <c r="BN105" s="131" t="str">
        <f t="shared" si="36"/>
        <v>-</v>
      </c>
      <c r="BO105" s="131" t="str">
        <f t="shared" si="37"/>
        <v>-</v>
      </c>
      <c r="BP105" s="131" t="s">
        <v>18</v>
      </c>
      <c r="BQ105" s="131" t="s">
        <v>18</v>
      </c>
      <c r="BR105" s="131" t="s">
        <v>18</v>
      </c>
      <c r="BS105" s="131" t="s">
        <v>18</v>
      </c>
      <c r="BT105" s="131" t="s">
        <v>18</v>
      </c>
      <c r="BU105" s="131" t="s">
        <v>18</v>
      </c>
      <c r="BV105" s="131" t="s">
        <v>18</v>
      </c>
      <c r="BW105" s="131" t="s">
        <v>18</v>
      </c>
      <c r="BX105" s="131" t="str">
        <f t="shared" ref="BX105" si="40">IFERROR(BX153/BX57,"-")</f>
        <v>-</v>
      </c>
      <c r="BY105" s="215"/>
      <c r="BZ105" s="215"/>
      <c r="CA105" s="215"/>
      <c r="CB105" s="215"/>
      <c r="CC105" s="215"/>
      <c r="CD105" s="215"/>
      <c r="CE105" s="215"/>
      <c r="CF105" s="215"/>
      <c r="CG105" s="215"/>
      <c r="CH105" s="215"/>
      <c r="CI105" s="215"/>
      <c r="CJ105" s="215"/>
      <c r="CK105" s="215"/>
      <c r="CL105" s="215"/>
      <c r="CM105" s="215"/>
      <c r="CN105" s="215"/>
      <c r="CO105" s="215"/>
      <c r="CP105" s="215"/>
      <c r="CQ105" s="215"/>
      <c r="CR105" s="215"/>
      <c r="CS105" s="215"/>
      <c r="CT105" s="215"/>
      <c r="CU105" s="215"/>
      <c r="CV105" s="215"/>
      <c r="CW105" s="215"/>
      <c r="CX105" s="215"/>
      <c r="CY105" s="215"/>
      <c r="CZ105" s="215"/>
      <c r="DA105" s="215"/>
      <c r="DB105" s="215"/>
      <c r="DC105" s="215"/>
    </row>
    <row r="106" spans="1:107 16122:16122" s="147" customFormat="1" ht="15" hidden="1" customHeight="1" outlineLevel="1">
      <c r="A106" t="s">
        <v>18</v>
      </c>
      <c r="B106" s="142" t="s">
        <v>3</v>
      </c>
      <c r="C106" s="131">
        <f t="shared" si="36"/>
        <v>1</v>
      </c>
      <c r="D106" s="131">
        <f t="shared" si="36"/>
        <v>1</v>
      </c>
      <c r="E106" s="131">
        <f t="shared" si="36"/>
        <v>1</v>
      </c>
      <c r="F106" s="131">
        <f t="shared" si="36"/>
        <v>1</v>
      </c>
      <c r="G106" s="131">
        <f t="shared" si="36"/>
        <v>1</v>
      </c>
      <c r="H106" s="131">
        <f t="shared" si="36"/>
        <v>1</v>
      </c>
      <c r="I106" s="131">
        <f t="shared" si="36"/>
        <v>1</v>
      </c>
      <c r="J106" s="131">
        <f t="shared" si="36"/>
        <v>1</v>
      </c>
      <c r="K106" s="131">
        <f t="shared" si="36"/>
        <v>1</v>
      </c>
      <c r="L106" s="131">
        <f t="shared" si="36"/>
        <v>1</v>
      </c>
      <c r="M106" s="131">
        <f t="shared" si="36"/>
        <v>1</v>
      </c>
      <c r="N106" s="131">
        <f t="shared" si="36"/>
        <v>1</v>
      </c>
      <c r="O106" s="131">
        <f t="shared" si="36"/>
        <v>1</v>
      </c>
      <c r="P106" s="131">
        <f t="shared" si="36"/>
        <v>1</v>
      </c>
      <c r="Q106" s="131">
        <f t="shared" si="36"/>
        <v>1</v>
      </c>
      <c r="R106" s="131">
        <f t="shared" si="36"/>
        <v>1</v>
      </c>
      <c r="S106" s="131">
        <f t="shared" si="36"/>
        <v>1</v>
      </c>
      <c r="T106" s="131">
        <f t="shared" si="36"/>
        <v>1</v>
      </c>
      <c r="U106" s="131">
        <f t="shared" si="36"/>
        <v>1</v>
      </c>
      <c r="V106" s="131">
        <f t="shared" si="36"/>
        <v>1</v>
      </c>
      <c r="W106" s="131">
        <f t="shared" si="36"/>
        <v>1</v>
      </c>
      <c r="X106" s="131">
        <f t="shared" si="36"/>
        <v>1</v>
      </c>
      <c r="Y106" s="131">
        <f t="shared" si="36"/>
        <v>1</v>
      </c>
      <c r="Z106" s="131">
        <f t="shared" si="36"/>
        <v>1</v>
      </c>
      <c r="AA106" s="131">
        <f t="shared" si="36"/>
        <v>1</v>
      </c>
      <c r="AB106" s="131">
        <f t="shared" si="36"/>
        <v>1</v>
      </c>
      <c r="AC106" s="131">
        <f t="shared" si="36"/>
        <v>1</v>
      </c>
      <c r="AD106" s="131">
        <f t="shared" si="36"/>
        <v>1</v>
      </c>
      <c r="AE106" s="131">
        <f t="shared" si="36"/>
        <v>1</v>
      </c>
      <c r="AF106" s="131">
        <f t="shared" si="36"/>
        <v>1</v>
      </c>
      <c r="AG106" s="131">
        <f t="shared" si="36"/>
        <v>1</v>
      </c>
      <c r="AH106" s="131">
        <f t="shared" si="36"/>
        <v>1</v>
      </c>
      <c r="AI106" s="131">
        <f t="shared" si="36"/>
        <v>1</v>
      </c>
      <c r="AJ106" s="131">
        <f t="shared" si="36"/>
        <v>1</v>
      </c>
      <c r="AK106" s="131">
        <f t="shared" si="36"/>
        <v>1</v>
      </c>
      <c r="AL106" s="131">
        <f t="shared" si="36"/>
        <v>1</v>
      </c>
      <c r="AM106" s="131">
        <f t="shared" si="36"/>
        <v>2</v>
      </c>
      <c r="AN106" s="131">
        <f t="shared" si="36"/>
        <v>0.99985481906036366</v>
      </c>
      <c r="AO106" s="131">
        <f t="shared" si="36"/>
        <v>0.66593865789689632</v>
      </c>
      <c r="AP106" s="131">
        <f t="shared" si="36"/>
        <v>0.66569999999999996</v>
      </c>
      <c r="AQ106" s="131">
        <f t="shared" si="36"/>
        <v>0.66569999999999996</v>
      </c>
      <c r="AR106" s="131">
        <f t="shared" si="36"/>
        <v>0.66569999999999996</v>
      </c>
      <c r="AS106" s="131">
        <f t="shared" si="36"/>
        <v>0.66569999999999996</v>
      </c>
      <c r="AT106" s="131">
        <f t="shared" si="36"/>
        <v>0.66569999999999996</v>
      </c>
      <c r="AU106" s="131">
        <f t="shared" si="36"/>
        <v>0.66569999999999996</v>
      </c>
      <c r="AV106" s="131">
        <f t="shared" si="36"/>
        <v>0.66569999999999996</v>
      </c>
      <c r="AW106" s="131">
        <f t="shared" si="36"/>
        <v>0.66569999999999996</v>
      </c>
      <c r="AX106" s="131">
        <f t="shared" si="36"/>
        <v>0.66569999999999996</v>
      </c>
      <c r="AY106" s="131">
        <f t="shared" si="36"/>
        <v>0.66569999999999996</v>
      </c>
      <c r="AZ106" s="131">
        <f t="shared" si="36"/>
        <v>0.66569999999999996</v>
      </c>
      <c r="BA106" s="131" t="str">
        <f t="shared" si="36"/>
        <v>-</v>
      </c>
      <c r="BB106" s="131" t="str">
        <f t="shared" si="36"/>
        <v>-</v>
      </c>
      <c r="BC106" s="131" t="str">
        <f t="shared" si="36"/>
        <v>-</v>
      </c>
      <c r="BD106" s="131" t="str">
        <f t="shared" si="36"/>
        <v>-</v>
      </c>
      <c r="BE106" s="131" t="str">
        <f t="shared" si="36"/>
        <v>-</v>
      </c>
      <c r="BF106" s="131" t="str">
        <f t="shared" si="36"/>
        <v>-</v>
      </c>
      <c r="BG106" s="131" t="str">
        <f t="shared" si="36"/>
        <v>-</v>
      </c>
      <c r="BH106" s="131" t="str">
        <f t="shared" si="36"/>
        <v>-</v>
      </c>
      <c r="BI106" s="131" t="str">
        <f t="shared" si="36"/>
        <v>-</v>
      </c>
      <c r="BJ106" s="131" t="str">
        <f t="shared" si="36"/>
        <v>-</v>
      </c>
      <c r="BK106" s="131" t="str">
        <f t="shared" si="36"/>
        <v>-</v>
      </c>
      <c r="BL106" s="131" t="str">
        <f t="shared" si="36"/>
        <v>-</v>
      </c>
      <c r="BM106" s="131" t="str">
        <f t="shared" si="36"/>
        <v>-</v>
      </c>
      <c r="BN106" s="131" t="str">
        <f t="shared" ref="BN106:BO109" si="41">IFERROR(BN154/BN58,"-")</f>
        <v>-</v>
      </c>
      <c r="BO106" s="131" t="str">
        <f t="shared" si="41"/>
        <v>-</v>
      </c>
      <c r="BP106" s="131" t="s">
        <v>18</v>
      </c>
      <c r="BQ106" s="131" t="s">
        <v>18</v>
      </c>
      <c r="BR106" s="131" t="s">
        <v>18</v>
      </c>
      <c r="BS106" s="131" t="s">
        <v>18</v>
      </c>
      <c r="BT106" s="131" t="s">
        <v>18</v>
      </c>
      <c r="BU106" s="131" t="s">
        <v>18</v>
      </c>
      <c r="BV106" s="131" t="s">
        <v>18</v>
      </c>
      <c r="BW106" s="131" t="s">
        <v>18</v>
      </c>
      <c r="BX106" s="131" t="str">
        <f t="shared" ref="BX106" si="42">IFERROR(BX154/BX58,"-")</f>
        <v>-</v>
      </c>
      <c r="BY106" s="215"/>
      <c r="BZ106" s="215"/>
      <c r="CA106" s="215"/>
      <c r="CB106" s="215"/>
      <c r="CC106" s="215"/>
      <c r="CD106" s="215"/>
      <c r="CE106" s="215"/>
      <c r="CF106" s="215"/>
      <c r="CG106" s="215"/>
      <c r="CH106" s="215"/>
      <c r="CI106" s="215"/>
      <c r="CJ106" s="215"/>
      <c r="CK106" s="215"/>
      <c r="CL106" s="215"/>
      <c r="CM106" s="215"/>
      <c r="CN106" s="215"/>
      <c r="CO106" s="215"/>
      <c r="CP106" s="215"/>
      <c r="CQ106" s="215"/>
      <c r="CR106" s="215"/>
      <c r="CS106" s="215"/>
      <c r="CT106" s="215"/>
      <c r="CU106" s="215"/>
      <c r="CV106" s="215"/>
      <c r="CW106" s="215"/>
      <c r="CX106" s="215"/>
      <c r="CY106" s="215"/>
      <c r="CZ106" s="215"/>
      <c r="DA106" s="215"/>
      <c r="DB106" s="215"/>
      <c r="DC106" s="215"/>
    </row>
    <row r="107" spans="1:107 16122:16122" s="147" customFormat="1" ht="15" hidden="1" customHeight="1" outlineLevel="1">
      <c r="A107" t="s">
        <v>18</v>
      </c>
      <c r="B107" s="142" t="s">
        <v>0</v>
      </c>
      <c r="C107" s="131">
        <f t="shared" ref="C107:BN110" si="43">IFERROR(C155/C59,"-")</f>
        <v>1</v>
      </c>
      <c r="D107" s="131">
        <f t="shared" si="43"/>
        <v>1</v>
      </c>
      <c r="E107" s="131">
        <f t="shared" si="43"/>
        <v>1</v>
      </c>
      <c r="F107" s="131">
        <f t="shared" si="43"/>
        <v>1</v>
      </c>
      <c r="G107" s="131">
        <f t="shared" si="43"/>
        <v>1</v>
      </c>
      <c r="H107" s="131">
        <f t="shared" si="43"/>
        <v>1</v>
      </c>
      <c r="I107" s="131">
        <f t="shared" si="43"/>
        <v>1</v>
      </c>
      <c r="J107" s="131">
        <f t="shared" si="43"/>
        <v>1</v>
      </c>
      <c r="K107" s="131">
        <f t="shared" si="43"/>
        <v>1</v>
      </c>
      <c r="L107" s="131">
        <f t="shared" si="43"/>
        <v>1</v>
      </c>
      <c r="M107" s="131">
        <f t="shared" si="43"/>
        <v>1</v>
      </c>
      <c r="N107" s="131">
        <f t="shared" si="43"/>
        <v>1</v>
      </c>
      <c r="O107" s="131">
        <f t="shared" si="43"/>
        <v>1</v>
      </c>
      <c r="P107" s="131">
        <f t="shared" si="43"/>
        <v>1</v>
      </c>
      <c r="Q107" s="131">
        <f t="shared" si="43"/>
        <v>1</v>
      </c>
      <c r="R107" s="131">
        <f t="shared" si="43"/>
        <v>1</v>
      </c>
      <c r="S107" s="131">
        <f t="shared" si="43"/>
        <v>1</v>
      </c>
      <c r="T107" s="131">
        <f t="shared" si="43"/>
        <v>1</v>
      </c>
      <c r="U107" s="131">
        <f t="shared" si="43"/>
        <v>1</v>
      </c>
      <c r="V107" s="131">
        <f t="shared" si="43"/>
        <v>1</v>
      </c>
      <c r="W107" s="131">
        <f t="shared" si="43"/>
        <v>1</v>
      </c>
      <c r="X107" s="131">
        <f t="shared" si="43"/>
        <v>1</v>
      </c>
      <c r="Y107" s="131">
        <f t="shared" si="43"/>
        <v>1</v>
      </c>
      <c r="Z107" s="131">
        <f t="shared" si="43"/>
        <v>1</v>
      </c>
      <c r="AA107" s="131">
        <f t="shared" si="43"/>
        <v>1</v>
      </c>
      <c r="AB107" s="131">
        <f t="shared" si="43"/>
        <v>1</v>
      </c>
      <c r="AC107" s="131">
        <f t="shared" si="43"/>
        <v>1</v>
      </c>
      <c r="AD107" s="131">
        <f t="shared" si="43"/>
        <v>1</v>
      </c>
      <c r="AE107" s="131">
        <f t="shared" si="43"/>
        <v>1</v>
      </c>
      <c r="AF107" s="131">
        <f t="shared" si="43"/>
        <v>1</v>
      </c>
      <c r="AG107" s="131">
        <f t="shared" si="43"/>
        <v>1</v>
      </c>
      <c r="AH107" s="131">
        <f t="shared" si="43"/>
        <v>1</v>
      </c>
      <c r="AI107" s="131">
        <f t="shared" si="43"/>
        <v>1</v>
      </c>
      <c r="AJ107" s="131">
        <f t="shared" si="43"/>
        <v>1</v>
      </c>
      <c r="AK107" s="131">
        <f t="shared" si="43"/>
        <v>1</v>
      </c>
      <c r="AL107" s="131">
        <f t="shared" si="43"/>
        <v>1</v>
      </c>
      <c r="AM107" s="131">
        <f t="shared" si="43"/>
        <v>1</v>
      </c>
      <c r="AN107" s="131">
        <f t="shared" si="43"/>
        <v>1</v>
      </c>
      <c r="AO107" s="131">
        <f t="shared" si="43"/>
        <v>0.66568264814673239</v>
      </c>
      <c r="AP107" s="131">
        <f t="shared" si="43"/>
        <v>0.66569999999999996</v>
      </c>
      <c r="AQ107" s="131">
        <f t="shared" si="43"/>
        <v>0.66569999999999996</v>
      </c>
      <c r="AR107" s="131">
        <f t="shared" si="43"/>
        <v>0.66569999999999996</v>
      </c>
      <c r="AS107" s="131">
        <f t="shared" si="43"/>
        <v>0.66569999999999996</v>
      </c>
      <c r="AT107" s="131">
        <f t="shared" si="43"/>
        <v>0.66569999999999996</v>
      </c>
      <c r="AU107" s="131">
        <f t="shared" si="43"/>
        <v>0.66569999999999996</v>
      </c>
      <c r="AV107" s="131">
        <f t="shared" si="43"/>
        <v>0.66569999999999996</v>
      </c>
      <c r="AW107" s="131">
        <f t="shared" si="43"/>
        <v>0.66569999999999996</v>
      </c>
      <c r="AX107" s="131">
        <f t="shared" si="43"/>
        <v>0.65478020566871542</v>
      </c>
      <c r="AY107" s="131">
        <f t="shared" si="43"/>
        <v>0.65478020566871542</v>
      </c>
      <c r="AZ107" s="131">
        <f t="shared" si="43"/>
        <v>0.64549214605544858</v>
      </c>
      <c r="BA107" s="131">
        <f t="shared" si="43"/>
        <v>0.64549214605544858</v>
      </c>
      <c r="BB107" s="131">
        <f t="shared" si="43"/>
        <v>0.63130163468105971</v>
      </c>
      <c r="BC107" s="131">
        <f t="shared" si="43"/>
        <v>0.63130163468105971</v>
      </c>
      <c r="BD107" s="131">
        <f t="shared" si="43"/>
        <v>0.6313016346810596</v>
      </c>
      <c r="BE107" s="131">
        <f t="shared" si="43"/>
        <v>0.6313016346810596</v>
      </c>
      <c r="BF107" s="131" t="str">
        <f t="shared" si="43"/>
        <v>-</v>
      </c>
      <c r="BG107" s="131" t="str">
        <f t="shared" si="43"/>
        <v>-</v>
      </c>
      <c r="BH107" s="131" t="str">
        <f t="shared" si="43"/>
        <v>-</v>
      </c>
      <c r="BI107" s="131" t="str">
        <f t="shared" si="43"/>
        <v>-</v>
      </c>
      <c r="BJ107" s="143" t="str">
        <f t="shared" si="43"/>
        <v>-</v>
      </c>
      <c r="BK107" s="143" t="str">
        <f t="shared" si="43"/>
        <v>-</v>
      </c>
      <c r="BL107" s="143" t="str">
        <f t="shared" si="43"/>
        <v>-</v>
      </c>
      <c r="BM107" s="143" t="str">
        <f t="shared" si="43"/>
        <v>-</v>
      </c>
      <c r="BN107" s="143" t="str">
        <f t="shared" si="43"/>
        <v>-</v>
      </c>
      <c r="BO107" s="143" t="str">
        <f t="shared" si="41"/>
        <v>-</v>
      </c>
      <c r="BP107" s="143" t="s">
        <v>18</v>
      </c>
      <c r="BQ107" s="143" t="s">
        <v>18</v>
      </c>
      <c r="BR107" s="143" t="s">
        <v>18</v>
      </c>
      <c r="BS107" s="143" t="s">
        <v>18</v>
      </c>
      <c r="BT107" s="143" t="s">
        <v>18</v>
      </c>
      <c r="BU107" s="143" t="s">
        <v>18</v>
      </c>
      <c r="BV107" s="143" t="s">
        <v>18</v>
      </c>
      <c r="BW107" s="143" t="s">
        <v>18</v>
      </c>
      <c r="BX107" s="143" t="str">
        <f t="shared" ref="BX107" si="44">IFERROR(BX155/BX59,"-")</f>
        <v>-</v>
      </c>
      <c r="BY107" s="215"/>
      <c r="BZ107" s="215"/>
      <c r="CA107" s="215"/>
      <c r="CB107" s="215"/>
      <c r="CC107" s="215"/>
      <c r="CD107" s="215"/>
      <c r="CE107" s="215"/>
      <c r="CF107" s="215"/>
      <c r="CG107" s="215"/>
      <c r="CH107" s="215"/>
      <c r="CI107" s="215"/>
      <c r="CJ107" s="215"/>
      <c r="CK107" s="215"/>
      <c r="CL107" s="215"/>
      <c r="CM107" s="215"/>
      <c r="CN107" s="215"/>
      <c r="CO107" s="215"/>
      <c r="CP107" s="215"/>
      <c r="CQ107" s="215"/>
      <c r="CR107" s="215"/>
      <c r="CS107" s="215"/>
      <c r="CT107" s="215"/>
      <c r="CU107" s="215"/>
      <c r="CV107" s="215"/>
      <c r="CW107" s="215"/>
      <c r="CX107" s="215"/>
      <c r="CY107" s="215"/>
      <c r="CZ107" s="215"/>
      <c r="DA107" s="215"/>
      <c r="DB107" s="215"/>
      <c r="DC107" s="215"/>
    </row>
    <row r="108" spans="1:107 16122:16122" s="147" customFormat="1" ht="15" hidden="1" customHeight="1" outlineLevel="1">
      <c r="A108" t="s">
        <v>18</v>
      </c>
      <c r="B108" s="142" t="s">
        <v>1</v>
      </c>
      <c r="C108" s="131">
        <f t="shared" si="43"/>
        <v>1</v>
      </c>
      <c r="D108" s="131">
        <f t="shared" si="43"/>
        <v>1</v>
      </c>
      <c r="E108" s="131">
        <f t="shared" si="43"/>
        <v>1</v>
      </c>
      <c r="F108" s="131">
        <f t="shared" si="43"/>
        <v>1</v>
      </c>
      <c r="G108" s="131">
        <f t="shared" si="43"/>
        <v>1</v>
      </c>
      <c r="H108" s="131">
        <f t="shared" si="43"/>
        <v>1</v>
      </c>
      <c r="I108" s="131">
        <f t="shared" si="43"/>
        <v>1</v>
      </c>
      <c r="J108" s="131">
        <f t="shared" si="43"/>
        <v>1</v>
      </c>
      <c r="K108" s="131">
        <f t="shared" si="43"/>
        <v>1</v>
      </c>
      <c r="L108" s="131">
        <f t="shared" si="43"/>
        <v>1</v>
      </c>
      <c r="M108" s="131">
        <f t="shared" si="43"/>
        <v>1</v>
      </c>
      <c r="N108" s="131">
        <f t="shared" si="43"/>
        <v>1</v>
      </c>
      <c r="O108" s="131">
        <f t="shared" si="43"/>
        <v>1</v>
      </c>
      <c r="P108" s="131">
        <f t="shared" si="43"/>
        <v>1</v>
      </c>
      <c r="Q108" s="131">
        <f t="shared" si="43"/>
        <v>1</v>
      </c>
      <c r="R108" s="131">
        <f t="shared" si="43"/>
        <v>1</v>
      </c>
      <c r="S108" s="131">
        <f t="shared" si="43"/>
        <v>1</v>
      </c>
      <c r="T108" s="131">
        <f t="shared" si="43"/>
        <v>1</v>
      </c>
      <c r="U108" s="131">
        <f t="shared" si="43"/>
        <v>1</v>
      </c>
      <c r="V108" s="131">
        <f t="shared" si="43"/>
        <v>1</v>
      </c>
      <c r="W108" s="131">
        <f t="shared" si="43"/>
        <v>1</v>
      </c>
      <c r="X108" s="131">
        <f t="shared" si="43"/>
        <v>1</v>
      </c>
      <c r="Y108" s="131">
        <f t="shared" si="43"/>
        <v>1</v>
      </c>
      <c r="Z108" s="131">
        <f t="shared" si="43"/>
        <v>1</v>
      </c>
      <c r="AA108" s="131">
        <f t="shared" si="43"/>
        <v>1</v>
      </c>
      <c r="AB108" s="131">
        <f t="shared" si="43"/>
        <v>1</v>
      </c>
      <c r="AC108" s="131">
        <f t="shared" si="43"/>
        <v>1</v>
      </c>
      <c r="AD108" s="131">
        <f t="shared" si="43"/>
        <v>1</v>
      </c>
      <c r="AE108" s="131">
        <f t="shared" si="43"/>
        <v>1</v>
      </c>
      <c r="AF108" s="131">
        <f t="shared" si="43"/>
        <v>1</v>
      </c>
      <c r="AG108" s="131">
        <f t="shared" si="43"/>
        <v>1</v>
      </c>
      <c r="AH108" s="131">
        <f t="shared" si="43"/>
        <v>1</v>
      </c>
      <c r="AI108" s="131">
        <f t="shared" si="43"/>
        <v>1</v>
      </c>
      <c r="AJ108" s="131">
        <f t="shared" si="43"/>
        <v>1</v>
      </c>
      <c r="AK108" s="131">
        <f t="shared" si="43"/>
        <v>1</v>
      </c>
      <c r="AL108" s="131">
        <f t="shared" si="43"/>
        <v>1</v>
      </c>
      <c r="AM108" s="131">
        <f t="shared" si="43"/>
        <v>1</v>
      </c>
      <c r="AN108" s="131">
        <f t="shared" si="43"/>
        <v>1</v>
      </c>
      <c r="AO108" s="131">
        <f t="shared" si="43"/>
        <v>0.66570000000000007</v>
      </c>
      <c r="AP108" s="131">
        <f t="shared" si="43"/>
        <v>0.66570000000000007</v>
      </c>
      <c r="AQ108" s="131">
        <f t="shared" si="43"/>
        <v>0.66570000000000007</v>
      </c>
      <c r="AR108" s="131">
        <f t="shared" si="43"/>
        <v>0.66570000000000007</v>
      </c>
      <c r="AS108" s="131">
        <f t="shared" si="43"/>
        <v>0.66570000000000007</v>
      </c>
      <c r="AT108" s="131">
        <f t="shared" si="43"/>
        <v>0.66570000000000007</v>
      </c>
      <c r="AU108" s="131">
        <f t="shared" si="43"/>
        <v>0.66570000000000007</v>
      </c>
      <c r="AV108" s="131">
        <f t="shared" si="43"/>
        <v>0.66570000000000007</v>
      </c>
      <c r="AW108" s="131">
        <f t="shared" si="43"/>
        <v>0.66570000000000007</v>
      </c>
      <c r="AX108" s="131">
        <f t="shared" si="43"/>
        <v>0.66570000000000007</v>
      </c>
      <c r="AY108" s="131">
        <f t="shared" si="43"/>
        <v>0.66570000000000007</v>
      </c>
      <c r="AZ108" s="131">
        <f t="shared" si="43"/>
        <v>0.66570000000000007</v>
      </c>
      <c r="BA108" s="131">
        <f t="shared" si="43"/>
        <v>0.66570000000000007</v>
      </c>
      <c r="BB108" s="131">
        <f t="shared" si="43"/>
        <v>0.66570000000000007</v>
      </c>
      <c r="BC108" s="131">
        <f t="shared" si="43"/>
        <v>0.66570000000000007</v>
      </c>
      <c r="BD108" s="131">
        <f t="shared" si="43"/>
        <v>0.66570000000000007</v>
      </c>
      <c r="BE108" s="131">
        <f t="shared" si="43"/>
        <v>0.66570000000000007</v>
      </c>
      <c r="BF108" s="131" t="str">
        <f t="shared" si="43"/>
        <v>-</v>
      </c>
      <c r="BG108" s="131" t="str">
        <f t="shared" si="43"/>
        <v>-</v>
      </c>
      <c r="BH108" s="131" t="str">
        <f t="shared" si="43"/>
        <v>-</v>
      </c>
      <c r="BI108" s="131" t="str">
        <f t="shared" si="43"/>
        <v>-</v>
      </c>
      <c r="BJ108" s="131" t="str">
        <f t="shared" si="43"/>
        <v>-</v>
      </c>
      <c r="BK108" s="131" t="str">
        <f t="shared" si="43"/>
        <v>-</v>
      </c>
      <c r="BL108" s="131" t="str">
        <f t="shared" si="43"/>
        <v>-</v>
      </c>
      <c r="BM108" s="131" t="str">
        <f t="shared" si="43"/>
        <v>-</v>
      </c>
      <c r="BN108" s="131" t="str">
        <f t="shared" si="43"/>
        <v>-</v>
      </c>
      <c r="BO108" s="131" t="str">
        <f t="shared" si="41"/>
        <v>-</v>
      </c>
      <c r="BP108" s="131" t="s">
        <v>18</v>
      </c>
      <c r="BQ108" s="131" t="s">
        <v>18</v>
      </c>
      <c r="BR108" s="131" t="s">
        <v>18</v>
      </c>
      <c r="BS108" s="131" t="s">
        <v>18</v>
      </c>
      <c r="BT108" s="131" t="s">
        <v>18</v>
      </c>
      <c r="BU108" s="131" t="s">
        <v>18</v>
      </c>
      <c r="BV108" s="131" t="s">
        <v>18</v>
      </c>
      <c r="BW108" s="131" t="s">
        <v>18</v>
      </c>
      <c r="BX108" s="131" t="str">
        <f t="shared" ref="BX108" si="45">IFERROR(BX156/BX60,"-")</f>
        <v>-</v>
      </c>
      <c r="BY108" s="215"/>
      <c r="BZ108" s="215"/>
      <c r="CA108" s="215"/>
      <c r="CB108" s="215"/>
      <c r="CC108" s="215"/>
      <c r="CD108" s="215"/>
      <c r="CE108" s="215"/>
      <c r="CF108" s="215"/>
      <c r="CG108" s="215"/>
      <c r="CH108" s="215"/>
      <c r="CI108" s="215"/>
      <c r="CJ108" s="215"/>
      <c r="CK108" s="215"/>
      <c r="CL108" s="215"/>
      <c r="CM108" s="215"/>
      <c r="CN108" s="215"/>
      <c r="CO108" s="215"/>
      <c r="CP108" s="215"/>
      <c r="CQ108" s="215"/>
      <c r="CR108" s="215"/>
      <c r="CS108" s="215"/>
      <c r="CT108" s="215"/>
      <c r="CU108" s="215"/>
      <c r="CV108" s="215"/>
      <c r="CW108" s="215"/>
      <c r="CX108" s="215"/>
      <c r="CY108" s="215"/>
      <c r="CZ108" s="215"/>
      <c r="DA108" s="215"/>
      <c r="DB108" s="215"/>
      <c r="DC108" s="215"/>
    </row>
    <row r="109" spans="1:107 16122:16122" s="147" customFormat="1" ht="15" hidden="1" customHeight="1" outlineLevel="1">
      <c r="A109" t="s">
        <v>18</v>
      </c>
      <c r="B109" s="142" t="s">
        <v>33</v>
      </c>
      <c r="C109" s="131" t="str">
        <f t="shared" si="43"/>
        <v>-</v>
      </c>
      <c r="D109" s="131">
        <f t="shared" si="43"/>
        <v>1</v>
      </c>
      <c r="E109" s="131">
        <f t="shared" si="43"/>
        <v>1</v>
      </c>
      <c r="F109" s="131">
        <f t="shared" si="43"/>
        <v>1</v>
      </c>
      <c r="G109" s="131">
        <f t="shared" si="43"/>
        <v>1</v>
      </c>
      <c r="H109" s="131">
        <f t="shared" si="43"/>
        <v>1</v>
      </c>
      <c r="I109" s="131">
        <f t="shared" si="43"/>
        <v>1</v>
      </c>
      <c r="J109" s="131">
        <f t="shared" si="43"/>
        <v>1</v>
      </c>
      <c r="K109" s="131">
        <f t="shared" si="43"/>
        <v>1</v>
      </c>
      <c r="L109" s="131">
        <f t="shared" si="43"/>
        <v>1</v>
      </c>
      <c r="M109" s="131">
        <f t="shared" si="43"/>
        <v>1</v>
      </c>
      <c r="N109" s="131">
        <f t="shared" si="43"/>
        <v>1</v>
      </c>
      <c r="O109" s="131">
        <f t="shared" si="43"/>
        <v>1</v>
      </c>
      <c r="P109" s="131">
        <f t="shared" si="43"/>
        <v>1</v>
      </c>
      <c r="Q109" s="131">
        <f t="shared" si="43"/>
        <v>1</v>
      </c>
      <c r="R109" s="131">
        <f t="shared" si="43"/>
        <v>1</v>
      </c>
      <c r="S109" s="131">
        <f t="shared" si="43"/>
        <v>1</v>
      </c>
      <c r="T109" s="131">
        <f t="shared" si="43"/>
        <v>1</v>
      </c>
      <c r="U109" s="131">
        <f t="shared" si="43"/>
        <v>1</v>
      </c>
      <c r="V109" s="131">
        <f t="shared" si="43"/>
        <v>1</v>
      </c>
      <c r="W109" s="131">
        <f t="shared" si="43"/>
        <v>1</v>
      </c>
      <c r="X109" s="131">
        <f t="shared" si="43"/>
        <v>1</v>
      </c>
      <c r="Y109" s="131">
        <f t="shared" si="43"/>
        <v>1</v>
      </c>
      <c r="Z109" s="131">
        <f t="shared" si="43"/>
        <v>1</v>
      </c>
      <c r="AA109" s="131">
        <f t="shared" si="43"/>
        <v>1</v>
      </c>
      <c r="AB109" s="131">
        <f t="shared" si="43"/>
        <v>1</v>
      </c>
      <c r="AC109" s="131">
        <f t="shared" si="43"/>
        <v>1</v>
      </c>
      <c r="AD109" s="131">
        <f t="shared" si="43"/>
        <v>1</v>
      </c>
      <c r="AE109" s="131">
        <f t="shared" si="43"/>
        <v>1</v>
      </c>
      <c r="AF109" s="131">
        <f t="shared" si="43"/>
        <v>1</v>
      </c>
      <c r="AG109" s="131">
        <f t="shared" si="43"/>
        <v>1</v>
      </c>
      <c r="AH109" s="131">
        <f t="shared" si="43"/>
        <v>1</v>
      </c>
      <c r="AI109" s="131">
        <f t="shared" si="43"/>
        <v>1</v>
      </c>
      <c r="AJ109" s="131">
        <f t="shared" si="43"/>
        <v>1</v>
      </c>
      <c r="AK109" s="131">
        <f t="shared" si="43"/>
        <v>1.0000390102002725</v>
      </c>
      <c r="AL109" s="131">
        <f t="shared" si="43"/>
        <v>1.0000390102002725</v>
      </c>
      <c r="AM109" s="131">
        <f t="shared" si="43"/>
        <v>0.99999946316266985</v>
      </c>
      <c r="AN109" s="131">
        <f t="shared" si="43"/>
        <v>1</v>
      </c>
      <c r="AO109" s="131">
        <f t="shared" si="43"/>
        <v>0.62129973686023532</v>
      </c>
      <c r="AP109" s="131">
        <f t="shared" si="43"/>
        <v>0.62129999999999996</v>
      </c>
      <c r="AQ109" s="131">
        <f t="shared" si="43"/>
        <v>0.62129999999999996</v>
      </c>
      <c r="AR109" s="131">
        <f t="shared" si="43"/>
        <v>0.62129999999999996</v>
      </c>
      <c r="AS109" s="131">
        <f t="shared" si="43"/>
        <v>0.62129999999999996</v>
      </c>
      <c r="AT109" s="131">
        <f t="shared" si="43"/>
        <v>0.6129</v>
      </c>
      <c r="AU109" s="131">
        <f t="shared" si="43"/>
        <v>0.6129</v>
      </c>
      <c r="AV109" s="131">
        <f t="shared" si="43"/>
        <v>0.6129</v>
      </c>
      <c r="AW109" s="131">
        <f t="shared" si="43"/>
        <v>0.6129</v>
      </c>
      <c r="AX109" s="131">
        <f t="shared" si="43"/>
        <v>0.6129</v>
      </c>
      <c r="AY109" s="131">
        <f t="shared" si="43"/>
        <v>0.6129</v>
      </c>
      <c r="AZ109" s="131">
        <f t="shared" si="43"/>
        <v>0.6129</v>
      </c>
      <c r="BA109" s="131">
        <f t="shared" si="43"/>
        <v>0.6129</v>
      </c>
      <c r="BB109" s="131">
        <f t="shared" si="43"/>
        <v>0.6129</v>
      </c>
      <c r="BC109" s="131">
        <f t="shared" si="43"/>
        <v>0.6129</v>
      </c>
      <c r="BD109" s="131">
        <f t="shared" si="43"/>
        <v>0.6129</v>
      </c>
      <c r="BE109" s="131">
        <f t="shared" si="43"/>
        <v>0.6129</v>
      </c>
      <c r="BF109" s="131" t="str">
        <f t="shared" si="43"/>
        <v>-</v>
      </c>
      <c r="BG109" s="131" t="str">
        <f t="shared" si="43"/>
        <v>-</v>
      </c>
      <c r="BH109" s="131" t="str">
        <f t="shared" si="43"/>
        <v>-</v>
      </c>
      <c r="BI109" s="131" t="str">
        <f t="shared" si="43"/>
        <v>-</v>
      </c>
      <c r="BJ109" s="131" t="str">
        <f t="shared" si="43"/>
        <v>-</v>
      </c>
      <c r="BK109" s="131" t="str">
        <f t="shared" si="43"/>
        <v>-</v>
      </c>
      <c r="BL109" s="131" t="str">
        <f t="shared" si="43"/>
        <v>-</v>
      </c>
      <c r="BM109" s="131" t="str">
        <f t="shared" si="43"/>
        <v>-</v>
      </c>
      <c r="BN109" s="131" t="str">
        <f t="shared" si="43"/>
        <v>-</v>
      </c>
      <c r="BO109" s="131" t="str">
        <f t="shared" si="41"/>
        <v>-</v>
      </c>
      <c r="BP109" s="131" t="s">
        <v>18</v>
      </c>
      <c r="BQ109" s="131" t="s">
        <v>18</v>
      </c>
      <c r="BR109" s="131" t="s">
        <v>18</v>
      </c>
      <c r="BS109" s="131" t="s">
        <v>18</v>
      </c>
      <c r="BT109" s="131" t="s">
        <v>18</v>
      </c>
      <c r="BU109" s="131" t="s">
        <v>18</v>
      </c>
      <c r="BV109" s="131" t="s">
        <v>18</v>
      </c>
      <c r="BW109" s="131" t="s">
        <v>18</v>
      </c>
      <c r="BX109" s="131" t="str">
        <f t="shared" ref="BX109" si="46">IFERROR(BX157/BX61,"-")</f>
        <v>-</v>
      </c>
      <c r="BY109" s="215"/>
      <c r="BZ109" s="215"/>
      <c r="CA109" s="215"/>
      <c r="CB109" s="215"/>
      <c r="CC109" s="215"/>
      <c r="CD109" s="215"/>
      <c r="CE109" s="215"/>
      <c r="CF109" s="215"/>
      <c r="CG109" s="215"/>
      <c r="CH109" s="215"/>
      <c r="CI109" s="215"/>
      <c r="CJ109" s="215"/>
      <c r="CK109" s="215"/>
      <c r="CL109" s="215"/>
      <c r="CM109" s="215"/>
      <c r="CN109" s="215"/>
      <c r="CO109" s="215"/>
      <c r="CP109" s="215"/>
      <c r="CQ109" s="215"/>
      <c r="CR109" s="215"/>
      <c r="CS109" s="215"/>
      <c r="CT109" s="215"/>
      <c r="CU109" s="215"/>
      <c r="CV109" s="215"/>
      <c r="CW109" s="215"/>
      <c r="CX109" s="215"/>
      <c r="CY109" s="215"/>
      <c r="CZ109" s="215"/>
      <c r="DA109" s="215"/>
      <c r="DB109" s="215"/>
      <c r="DC109" s="215"/>
    </row>
    <row r="110" spans="1:107 16122:16122" s="147" customFormat="1" ht="15" hidden="1" customHeight="1" outlineLevel="1">
      <c r="A110" t="s">
        <v>232</v>
      </c>
      <c r="B110" s="142" t="s">
        <v>28</v>
      </c>
      <c r="C110" s="131" t="str">
        <f t="shared" si="43"/>
        <v>-</v>
      </c>
      <c r="D110" s="131" t="str">
        <f t="shared" si="43"/>
        <v>-</v>
      </c>
      <c r="E110" s="131" t="str">
        <f t="shared" si="43"/>
        <v>-</v>
      </c>
      <c r="F110" s="131" t="str">
        <f t="shared" si="43"/>
        <v>-</v>
      </c>
      <c r="G110" s="131" t="str">
        <f t="shared" si="43"/>
        <v>-</v>
      </c>
      <c r="H110" s="131" t="str">
        <f t="shared" si="43"/>
        <v>-</v>
      </c>
      <c r="I110" s="131" t="str">
        <f t="shared" si="43"/>
        <v>-</v>
      </c>
      <c r="J110" s="131" t="str">
        <f t="shared" si="43"/>
        <v>-</v>
      </c>
      <c r="K110" s="131" t="str">
        <f t="shared" si="43"/>
        <v>-</v>
      </c>
      <c r="L110" s="131" t="str">
        <f t="shared" si="43"/>
        <v>-</v>
      </c>
      <c r="M110" s="131" t="str">
        <f t="shared" si="43"/>
        <v>-</v>
      </c>
      <c r="N110" s="131" t="str">
        <f t="shared" si="43"/>
        <v>-</v>
      </c>
      <c r="O110" s="131" t="str">
        <f t="shared" si="43"/>
        <v>-</v>
      </c>
      <c r="P110" s="131" t="str">
        <f t="shared" si="43"/>
        <v>-</v>
      </c>
      <c r="Q110" s="131" t="str">
        <f t="shared" si="43"/>
        <v>-</v>
      </c>
      <c r="R110" s="131" t="str">
        <f t="shared" si="43"/>
        <v>-</v>
      </c>
      <c r="S110" s="131" t="str">
        <f t="shared" si="43"/>
        <v>-</v>
      </c>
      <c r="T110" s="131" t="str">
        <f t="shared" si="43"/>
        <v>-</v>
      </c>
      <c r="U110" s="131" t="str">
        <f t="shared" si="43"/>
        <v>-</v>
      </c>
      <c r="V110" s="131" t="str">
        <f t="shared" si="43"/>
        <v>-</v>
      </c>
      <c r="W110" s="131" t="str">
        <f t="shared" si="43"/>
        <v>-</v>
      </c>
      <c r="X110" s="131" t="str">
        <f t="shared" si="43"/>
        <v>-</v>
      </c>
      <c r="Y110" s="131">
        <f t="shared" si="43"/>
        <v>0.25000689002599841</v>
      </c>
      <c r="Z110" s="131">
        <f t="shared" si="43"/>
        <v>0.25000689002599841</v>
      </c>
      <c r="AA110" s="131">
        <f t="shared" si="43"/>
        <v>0.25000689002599841</v>
      </c>
      <c r="AB110" s="131">
        <f t="shared" si="43"/>
        <v>0.25000689002599841</v>
      </c>
      <c r="AC110" s="131">
        <f t="shared" si="43"/>
        <v>0.25000689002599841</v>
      </c>
      <c r="AD110" s="131">
        <f t="shared" si="43"/>
        <v>0.25000689002599841</v>
      </c>
      <c r="AE110" s="131">
        <f t="shared" si="43"/>
        <v>0.25000689002599841</v>
      </c>
      <c r="AF110" s="131">
        <f t="shared" si="43"/>
        <v>0.25000689002599841</v>
      </c>
      <c r="AG110" s="131">
        <f t="shared" si="43"/>
        <v>0.24997014322067376</v>
      </c>
      <c r="AH110" s="131">
        <f t="shared" si="43"/>
        <v>0.24997014322067376</v>
      </c>
      <c r="AI110" s="131">
        <f t="shared" si="43"/>
        <v>0.25000689002599841</v>
      </c>
      <c r="AJ110" s="131">
        <f t="shared" si="43"/>
        <v>0.25000689002599841</v>
      </c>
      <c r="AK110" s="131">
        <f t="shared" si="43"/>
        <v>0.24997014322067376</v>
      </c>
      <c r="AL110" s="131">
        <f t="shared" si="43"/>
        <v>0.24997014322067376</v>
      </c>
      <c r="AM110" s="131">
        <f t="shared" si="43"/>
        <v>0.25</v>
      </c>
      <c r="AN110" s="131">
        <f t="shared" si="43"/>
        <v>0.25</v>
      </c>
      <c r="AO110" s="131">
        <f t="shared" si="43"/>
        <v>0.25</v>
      </c>
      <c r="AP110" s="131">
        <f t="shared" si="43"/>
        <v>0.25</v>
      </c>
      <c r="AQ110" s="131">
        <f t="shared" si="43"/>
        <v>0.25</v>
      </c>
      <c r="AR110" s="131">
        <f t="shared" si="43"/>
        <v>0.25</v>
      </c>
      <c r="AS110" s="131">
        <f t="shared" si="43"/>
        <v>0.25</v>
      </c>
      <c r="AT110" s="131">
        <f t="shared" si="43"/>
        <v>0.25</v>
      </c>
      <c r="AU110" s="131">
        <f t="shared" si="43"/>
        <v>0.25</v>
      </c>
      <c r="AV110" s="131">
        <f t="shared" si="43"/>
        <v>0.25</v>
      </c>
      <c r="AW110" s="131">
        <f t="shared" si="43"/>
        <v>0.25</v>
      </c>
      <c r="AX110" s="131">
        <f t="shared" si="43"/>
        <v>0.25</v>
      </c>
      <c r="AY110" s="131">
        <f t="shared" si="43"/>
        <v>0.25</v>
      </c>
      <c r="AZ110" s="131">
        <f t="shared" si="43"/>
        <v>0.25</v>
      </c>
      <c r="BA110" s="131">
        <f t="shared" si="43"/>
        <v>0.25</v>
      </c>
      <c r="BB110" s="131">
        <f t="shared" si="43"/>
        <v>0.25</v>
      </c>
      <c r="BC110" s="131">
        <f t="shared" si="43"/>
        <v>0.25</v>
      </c>
      <c r="BD110" s="131">
        <f t="shared" si="43"/>
        <v>0.25</v>
      </c>
      <c r="BE110" s="131">
        <f t="shared" si="43"/>
        <v>0.25</v>
      </c>
      <c r="BF110" s="131">
        <f t="shared" si="43"/>
        <v>0.25</v>
      </c>
      <c r="BG110" s="131">
        <f t="shared" si="43"/>
        <v>0.25</v>
      </c>
      <c r="BH110" s="131">
        <f t="shared" si="43"/>
        <v>0.25</v>
      </c>
      <c r="BI110" s="131">
        <f t="shared" si="43"/>
        <v>0.25</v>
      </c>
      <c r="BJ110" s="131">
        <f t="shared" si="43"/>
        <v>0.25</v>
      </c>
      <c r="BK110" s="131">
        <f t="shared" si="43"/>
        <v>0.25</v>
      </c>
      <c r="BL110" s="131">
        <f t="shared" si="43"/>
        <v>0.25</v>
      </c>
      <c r="BM110" s="131">
        <f t="shared" si="43"/>
        <v>0.25</v>
      </c>
      <c r="BN110" s="131">
        <f t="shared" ref="BN110:BO113" si="47">IFERROR(BN158/BN62,"-")</f>
        <v>0.25</v>
      </c>
      <c r="BO110" s="131">
        <f t="shared" si="47"/>
        <v>0.25</v>
      </c>
      <c r="BP110" s="131">
        <v>0.25</v>
      </c>
      <c r="BQ110" s="131">
        <v>0.25</v>
      </c>
      <c r="BR110" s="131">
        <v>0.25</v>
      </c>
      <c r="BS110" s="131">
        <v>0.25</v>
      </c>
      <c r="BT110" s="131">
        <v>0.25</v>
      </c>
      <c r="BU110" s="131">
        <v>0.25</v>
      </c>
      <c r="BV110" s="131">
        <v>0.25</v>
      </c>
      <c r="BW110" s="131">
        <v>0.25</v>
      </c>
      <c r="BX110" s="131">
        <f t="shared" ref="BX110" si="48">IFERROR(BX158/BX62,"-")</f>
        <v>0.25</v>
      </c>
      <c r="BY110" s="215"/>
      <c r="BZ110" s="215"/>
      <c r="CA110" s="215"/>
      <c r="CB110" s="215"/>
      <c r="CC110" s="215"/>
      <c r="CD110" s="215"/>
      <c r="CE110" s="215"/>
      <c r="CF110" s="215"/>
      <c r="CG110" s="215"/>
      <c r="CH110" s="215"/>
      <c r="CI110" s="215"/>
      <c r="CJ110" s="215"/>
      <c r="CK110" s="215"/>
      <c r="CL110" s="215"/>
      <c r="CM110" s="215"/>
      <c r="CN110" s="215"/>
      <c r="CO110" s="215"/>
      <c r="CP110" s="215"/>
      <c r="CQ110" s="215"/>
      <c r="CR110" s="215"/>
      <c r="CS110" s="215"/>
      <c r="CT110" s="215"/>
      <c r="CU110" s="215"/>
      <c r="CV110" s="215"/>
      <c r="CW110" s="215"/>
      <c r="CX110" s="215"/>
      <c r="CY110" s="215"/>
      <c r="CZ110" s="215"/>
      <c r="DA110" s="215"/>
      <c r="DB110" s="215"/>
      <c r="DC110" s="215"/>
    </row>
    <row r="111" spans="1:107 16122:16122" s="147" customFormat="1" ht="15" hidden="1" customHeight="1" outlineLevel="1">
      <c r="A111" t="s">
        <v>18</v>
      </c>
      <c r="B111" s="142" t="s">
        <v>27</v>
      </c>
      <c r="C111" s="131" t="str">
        <f t="shared" ref="C111:BN114" si="49">IFERROR(C159/C63,"-")</f>
        <v>-</v>
      </c>
      <c r="D111" s="131" t="str">
        <f t="shared" si="49"/>
        <v>-</v>
      </c>
      <c r="E111" s="131" t="str">
        <f t="shared" si="49"/>
        <v>-</v>
      </c>
      <c r="F111" s="131" t="str">
        <f t="shared" si="49"/>
        <v>-</v>
      </c>
      <c r="G111" s="131" t="str">
        <f t="shared" si="49"/>
        <v>-</v>
      </c>
      <c r="H111" s="131" t="str">
        <f t="shared" si="49"/>
        <v>-</v>
      </c>
      <c r="I111" s="131" t="str">
        <f t="shared" si="49"/>
        <v>-</v>
      </c>
      <c r="J111" s="131" t="str">
        <f t="shared" si="49"/>
        <v>-</v>
      </c>
      <c r="K111" s="131" t="str">
        <f t="shared" si="49"/>
        <v>-</v>
      </c>
      <c r="L111" s="131" t="str">
        <f t="shared" si="49"/>
        <v>-</v>
      </c>
      <c r="M111" s="131" t="str">
        <f t="shared" si="49"/>
        <v>-</v>
      </c>
      <c r="N111" s="131" t="str">
        <f t="shared" si="49"/>
        <v>-</v>
      </c>
      <c r="O111" s="131" t="str">
        <f t="shared" si="49"/>
        <v>-</v>
      </c>
      <c r="P111" s="131" t="str">
        <f t="shared" si="49"/>
        <v>-</v>
      </c>
      <c r="Q111" s="131" t="str">
        <f t="shared" si="49"/>
        <v>-</v>
      </c>
      <c r="R111" s="131" t="str">
        <f t="shared" si="49"/>
        <v>-</v>
      </c>
      <c r="S111" s="131" t="str">
        <f t="shared" si="49"/>
        <v>-</v>
      </c>
      <c r="T111" s="131" t="str">
        <f t="shared" si="49"/>
        <v>-</v>
      </c>
      <c r="U111" s="131" t="str">
        <f t="shared" si="49"/>
        <v>-</v>
      </c>
      <c r="V111" s="131" t="str">
        <f t="shared" si="49"/>
        <v>-</v>
      </c>
      <c r="W111" s="131" t="str">
        <f t="shared" si="49"/>
        <v>-</v>
      </c>
      <c r="X111" s="131" t="str">
        <f t="shared" si="49"/>
        <v>-</v>
      </c>
      <c r="Y111" s="131" t="str">
        <f t="shared" si="49"/>
        <v>-</v>
      </c>
      <c r="Z111" s="131" t="str">
        <f t="shared" si="49"/>
        <v>-</v>
      </c>
      <c r="AA111" s="131" t="str">
        <f t="shared" si="49"/>
        <v>-</v>
      </c>
      <c r="AB111" s="131" t="str">
        <f t="shared" si="49"/>
        <v>-</v>
      </c>
      <c r="AC111" s="131" t="str">
        <f t="shared" si="49"/>
        <v>-</v>
      </c>
      <c r="AD111" s="131" t="str">
        <f t="shared" si="49"/>
        <v>-</v>
      </c>
      <c r="AE111" s="131" t="str">
        <f t="shared" si="49"/>
        <v>-</v>
      </c>
      <c r="AF111" s="131" t="str">
        <f t="shared" si="49"/>
        <v>-</v>
      </c>
      <c r="AG111" s="131" t="str">
        <f t="shared" si="49"/>
        <v>-</v>
      </c>
      <c r="AH111" s="131" t="str">
        <f t="shared" si="49"/>
        <v>-</v>
      </c>
      <c r="AI111" s="131" t="str">
        <f t="shared" si="49"/>
        <v>-</v>
      </c>
      <c r="AJ111" s="131" t="str">
        <f t="shared" si="49"/>
        <v>-</v>
      </c>
      <c r="AK111" s="131" t="str">
        <f t="shared" si="49"/>
        <v>-</v>
      </c>
      <c r="AL111" s="131" t="str">
        <f t="shared" si="49"/>
        <v>-</v>
      </c>
      <c r="AM111" s="131" t="str">
        <f t="shared" si="49"/>
        <v>-</v>
      </c>
      <c r="AN111" s="131">
        <f t="shared" si="49"/>
        <v>1</v>
      </c>
      <c r="AO111" s="131">
        <f t="shared" si="49"/>
        <v>0.83289336361962063</v>
      </c>
      <c r="AP111" s="131">
        <f t="shared" si="49"/>
        <v>0.83289999999999997</v>
      </c>
      <c r="AQ111" s="131">
        <f t="shared" si="49"/>
        <v>0.83289999999999997</v>
      </c>
      <c r="AR111" s="131">
        <f t="shared" si="49"/>
        <v>0.83289999999999997</v>
      </c>
      <c r="AS111" s="131">
        <f t="shared" si="49"/>
        <v>0.83289999999999997</v>
      </c>
      <c r="AT111" s="131">
        <f t="shared" si="49"/>
        <v>0.83289999999999997</v>
      </c>
      <c r="AU111" s="131">
        <f t="shared" si="49"/>
        <v>0.83289999999999997</v>
      </c>
      <c r="AV111" s="131">
        <f t="shared" si="49"/>
        <v>0.83289999999999997</v>
      </c>
      <c r="AW111" s="131">
        <f t="shared" si="49"/>
        <v>0.83289999999999997</v>
      </c>
      <c r="AX111" s="131">
        <f t="shared" si="49"/>
        <v>0.83289999999999997</v>
      </c>
      <c r="AY111" s="131">
        <f t="shared" si="49"/>
        <v>0.83289999999999997</v>
      </c>
      <c r="AZ111" s="131">
        <f t="shared" si="49"/>
        <v>0.83289999999999997</v>
      </c>
      <c r="BA111" s="131">
        <f t="shared" si="49"/>
        <v>0.83289999999999997</v>
      </c>
      <c r="BB111" s="131">
        <f t="shared" si="49"/>
        <v>0.83289999999999997</v>
      </c>
      <c r="BC111" s="131">
        <f t="shared" si="49"/>
        <v>0.83289999999999997</v>
      </c>
      <c r="BD111" s="131">
        <f t="shared" si="49"/>
        <v>0.83289999999999997</v>
      </c>
      <c r="BE111" s="131">
        <f t="shared" si="49"/>
        <v>0.83289999999999997</v>
      </c>
      <c r="BF111" s="131" t="str">
        <f t="shared" si="49"/>
        <v>-</v>
      </c>
      <c r="BG111" s="131" t="str">
        <f t="shared" si="49"/>
        <v>-</v>
      </c>
      <c r="BH111" s="131" t="str">
        <f t="shared" si="49"/>
        <v>-</v>
      </c>
      <c r="BI111" s="131" t="str">
        <f t="shared" si="49"/>
        <v>-</v>
      </c>
      <c r="BJ111" s="131" t="str">
        <f t="shared" si="49"/>
        <v>-</v>
      </c>
      <c r="BK111" s="131" t="str">
        <f t="shared" si="49"/>
        <v>-</v>
      </c>
      <c r="BL111" s="131" t="str">
        <f t="shared" si="49"/>
        <v>-</v>
      </c>
      <c r="BM111" s="131" t="str">
        <f t="shared" si="49"/>
        <v>-</v>
      </c>
      <c r="BN111" s="131" t="str">
        <f t="shared" si="49"/>
        <v>-</v>
      </c>
      <c r="BO111" s="131" t="str">
        <f t="shared" si="47"/>
        <v>-</v>
      </c>
      <c r="BP111" s="131" t="s">
        <v>18</v>
      </c>
      <c r="BQ111" s="131" t="s">
        <v>18</v>
      </c>
      <c r="BR111" s="131" t="s">
        <v>18</v>
      </c>
      <c r="BS111" s="131" t="s">
        <v>18</v>
      </c>
      <c r="BT111" s="131" t="s">
        <v>18</v>
      </c>
      <c r="BU111" s="131" t="s">
        <v>18</v>
      </c>
      <c r="BV111" s="131" t="s">
        <v>18</v>
      </c>
      <c r="BW111" s="131" t="s">
        <v>18</v>
      </c>
      <c r="BX111" s="131" t="str">
        <f t="shared" ref="BX111" si="50">IFERROR(BX159/BX63,"-")</f>
        <v>-</v>
      </c>
      <c r="BY111" s="215"/>
      <c r="BZ111" s="215"/>
      <c r="CA111" s="215"/>
      <c r="CB111" s="215"/>
      <c r="CC111" s="215"/>
      <c r="CD111" s="215"/>
      <c r="CE111" s="215"/>
      <c r="CF111" s="215"/>
      <c r="CG111" s="215"/>
      <c r="CH111" s="215"/>
      <c r="CI111" s="215"/>
      <c r="CJ111" s="215"/>
      <c r="CK111" s="215"/>
      <c r="CL111" s="215"/>
      <c r="CM111" s="215"/>
      <c r="CN111" s="215"/>
      <c r="CO111" s="215"/>
      <c r="CP111" s="215"/>
      <c r="CQ111" s="215"/>
      <c r="CR111" s="215"/>
      <c r="CS111" s="215"/>
      <c r="CT111" s="215"/>
      <c r="CU111" s="215"/>
      <c r="CV111" s="215"/>
      <c r="CW111" s="215"/>
      <c r="CX111" s="215"/>
      <c r="CY111" s="215"/>
      <c r="CZ111" s="215"/>
      <c r="DA111" s="215"/>
      <c r="DB111" s="215"/>
      <c r="DC111" s="215"/>
    </row>
    <row r="112" spans="1:107 16122:16122" s="147" customFormat="1" ht="15" hidden="1" customHeight="1" outlineLevel="1">
      <c r="A112" t="s">
        <v>18</v>
      </c>
      <c r="B112" s="142" t="s">
        <v>19</v>
      </c>
      <c r="C112" s="131" t="str">
        <f t="shared" si="49"/>
        <v>-</v>
      </c>
      <c r="D112" s="131" t="str">
        <f t="shared" si="49"/>
        <v>-</v>
      </c>
      <c r="E112" s="131" t="str">
        <f t="shared" si="49"/>
        <v>-</v>
      </c>
      <c r="F112" s="131" t="str">
        <f t="shared" si="49"/>
        <v>-</v>
      </c>
      <c r="G112" s="131" t="str">
        <f t="shared" si="49"/>
        <v>-</v>
      </c>
      <c r="H112" s="131" t="str">
        <f t="shared" si="49"/>
        <v>-</v>
      </c>
      <c r="I112" s="131" t="str">
        <f t="shared" si="49"/>
        <v>-</v>
      </c>
      <c r="J112" s="131" t="str">
        <f t="shared" si="49"/>
        <v>-</v>
      </c>
      <c r="K112" s="131" t="str">
        <f t="shared" si="49"/>
        <v>-</v>
      </c>
      <c r="L112" s="131" t="str">
        <f t="shared" si="49"/>
        <v>-</v>
      </c>
      <c r="M112" s="131" t="str">
        <f t="shared" si="49"/>
        <v>-</v>
      </c>
      <c r="N112" s="131" t="str">
        <f t="shared" si="49"/>
        <v>-</v>
      </c>
      <c r="O112" s="131" t="str">
        <f t="shared" si="49"/>
        <v>-</v>
      </c>
      <c r="P112" s="131" t="str">
        <f t="shared" si="49"/>
        <v>-</v>
      </c>
      <c r="Q112" s="131" t="str">
        <f t="shared" si="49"/>
        <v>-</v>
      </c>
      <c r="R112" s="131" t="str">
        <f t="shared" si="49"/>
        <v>-</v>
      </c>
      <c r="S112" s="131" t="str">
        <f t="shared" si="49"/>
        <v>-</v>
      </c>
      <c r="T112" s="131" t="str">
        <f t="shared" si="49"/>
        <v>-</v>
      </c>
      <c r="U112" s="131" t="str">
        <f t="shared" si="49"/>
        <v>-</v>
      </c>
      <c r="V112" s="131" t="str">
        <f t="shared" si="49"/>
        <v>-</v>
      </c>
      <c r="W112" s="131" t="str">
        <f t="shared" si="49"/>
        <v>-</v>
      </c>
      <c r="X112" s="131" t="str">
        <f t="shared" si="49"/>
        <v>-</v>
      </c>
      <c r="Y112" s="131" t="str">
        <f t="shared" si="49"/>
        <v>-</v>
      </c>
      <c r="Z112" s="131" t="str">
        <f t="shared" si="49"/>
        <v>-</v>
      </c>
      <c r="AA112" s="131" t="str">
        <f t="shared" si="49"/>
        <v>-</v>
      </c>
      <c r="AB112" s="131" t="str">
        <f t="shared" si="49"/>
        <v>-</v>
      </c>
      <c r="AC112" s="131">
        <f t="shared" si="49"/>
        <v>1</v>
      </c>
      <c r="AD112" s="131">
        <f t="shared" si="49"/>
        <v>1</v>
      </c>
      <c r="AE112" s="131">
        <f t="shared" si="49"/>
        <v>1</v>
      </c>
      <c r="AF112" s="131">
        <f t="shared" si="49"/>
        <v>1</v>
      </c>
      <c r="AG112" s="131">
        <f t="shared" si="49"/>
        <v>1</v>
      </c>
      <c r="AH112" s="131">
        <f t="shared" si="49"/>
        <v>1</v>
      </c>
      <c r="AI112" s="131" t="str">
        <f t="shared" si="49"/>
        <v>-</v>
      </c>
      <c r="AJ112" s="131" t="str">
        <f t="shared" si="49"/>
        <v>-</v>
      </c>
      <c r="AK112" s="131" t="str">
        <f t="shared" si="49"/>
        <v>-</v>
      </c>
      <c r="AL112" s="131" t="str">
        <f t="shared" si="49"/>
        <v>-</v>
      </c>
      <c r="AM112" s="131" t="str">
        <f t="shared" si="49"/>
        <v>-</v>
      </c>
      <c r="AN112" s="131" t="str">
        <f t="shared" si="49"/>
        <v>-</v>
      </c>
      <c r="AO112" s="131" t="str">
        <f t="shared" si="49"/>
        <v>-</v>
      </c>
      <c r="AP112" s="131" t="str">
        <f t="shared" si="49"/>
        <v>-</v>
      </c>
      <c r="AQ112" s="131" t="str">
        <f t="shared" si="49"/>
        <v>-</v>
      </c>
      <c r="AR112" s="62" t="str">
        <f t="shared" si="49"/>
        <v>-</v>
      </c>
      <c r="AS112" s="131" t="str">
        <f t="shared" si="49"/>
        <v>-</v>
      </c>
      <c r="AT112" s="131" t="str">
        <f t="shared" si="49"/>
        <v>-</v>
      </c>
      <c r="AU112" s="131" t="str">
        <f t="shared" si="49"/>
        <v>-</v>
      </c>
      <c r="AV112" s="131" t="str">
        <f t="shared" si="49"/>
        <v>-</v>
      </c>
      <c r="AW112" s="131" t="str">
        <f t="shared" si="49"/>
        <v>-</v>
      </c>
      <c r="AX112" s="131" t="str">
        <f t="shared" si="49"/>
        <v>-</v>
      </c>
      <c r="AY112" s="131" t="str">
        <f t="shared" si="49"/>
        <v>-</v>
      </c>
      <c r="AZ112" s="131" t="str">
        <f t="shared" si="49"/>
        <v>-</v>
      </c>
      <c r="BA112" s="131" t="str">
        <f t="shared" si="49"/>
        <v>-</v>
      </c>
      <c r="BB112" s="131" t="str">
        <f t="shared" si="49"/>
        <v>-</v>
      </c>
      <c r="BC112" s="131" t="str">
        <f t="shared" si="49"/>
        <v>-</v>
      </c>
      <c r="BD112" s="131" t="str">
        <f t="shared" si="49"/>
        <v>-</v>
      </c>
      <c r="BE112" s="131" t="str">
        <f t="shared" si="49"/>
        <v>-</v>
      </c>
      <c r="BF112" s="131" t="str">
        <f t="shared" si="49"/>
        <v>-</v>
      </c>
      <c r="BG112" s="131" t="str">
        <f t="shared" si="49"/>
        <v>-</v>
      </c>
      <c r="BH112" s="131" t="str">
        <f t="shared" si="49"/>
        <v>-</v>
      </c>
      <c r="BI112" s="131" t="str">
        <f t="shared" si="49"/>
        <v>-</v>
      </c>
      <c r="BJ112" s="131" t="str">
        <f t="shared" si="49"/>
        <v>-</v>
      </c>
      <c r="BK112" s="131" t="str">
        <f t="shared" si="49"/>
        <v>-</v>
      </c>
      <c r="BL112" s="131" t="str">
        <f t="shared" si="49"/>
        <v>-</v>
      </c>
      <c r="BM112" s="131" t="str">
        <f t="shared" si="49"/>
        <v>-</v>
      </c>
      <c r="BN112" s="131" t="str">
        <f t="shared" si="49"/>
        <v>-</v>
      </c>
      <c r="BO112" s="131" t="str">
        <f t="shared" si="47"/>
        <v>-</v>
      </c>
      <c r="BP112" s="131" t="s">
        <v>18</v>
      </c>
      <c r="BQ112" s="131" t="s">
        <v>18</v>
      </c>
      <c r="BR112" s="131" t="s">
        <v>18</v>
      </c>
      <c r="BS112" s="131" t="s">
        <v>18</v>
      </c>
      <c r="BT112" s="131" t="s">
        <v>18</v>
      </c>
      <c r="BU112" s="131" t="s">
        <v>18</v>
      </c>
      <c r="BV112" s="131" t="s">
        <v>18</v>
      </c>
      <c r="BW112" s="131" t="s">
        <v>18</v>
      </c>
      <c r="BX112" s="131" t="str">
        <f t="shared" ref="BX112" si="51">IFERROR(BX160/BX64,"-")</f>
        <v>-</v>
      </c>
      <c r="BY112" s="215"/>
      <c r="BZ112" s="215"/>
      <c r="CA112" s="215"/>
      <c r="CB112" s="215"/>
      <c r="CC112" s="215"/>
      <c r="CD112" s="215"/>
      <c r="CE112" s="215"/>
      <c r="CF112" s="215"/>
      <c r="CG112" s="215"/>
      <c r="CH112" s="215"/>
      <c r="CI112" s="215"/>
      <c r="CJ112" s="215"/>
      <c r="CK112" s="215"/>
      <c r="CL112" s="215"/>
      <c r="CM112" s="215"/>
      <c r="CN112" s="215"/>
      <c r="CO112" s="215"/>
      <c r="CP112" s="215"/>
      <c r="CQ112" s="215"/>
      <c r="CR112" s="215"/>
      <c r="CS112" s="215"/>
      <c r="CT112" s="215"/>
      <c r="CU112" s="215"/>
      <c r="CV112" s="215"/>
      <c r="CW112" s="215"/>
      <c r="CX112" s="215"/>
      <c r="CY112" s="215"/>
      <c r="CZ112" s="215"/>
      <c r="DA112" s="215"/>
      <c r="DB112" s="215"/>
      <c r="DC112" s="215"/>
    </row>
    <row r="113" spans="1:107" s="147" customFormat="1" ht="15" hidden="1" customHeight="1" outlineLevel="1">
      <c r="A113" t="s">
        <v>18</v>
      </c>
      <c r="B113" s="142" t="s">
        <v>5</v>
      </c>
      <c r="C113" s="131" t="str">
        <f t="shared" si="49"/>
        <v>-</v>
      </c>
      <c r="D113" s="131" t="str">
        <f t="shared" si="49"/>
        <v>-</v>
      </c>
      <c r="E113" s="131" t="str">
        <f t="shared" si="49"/>
        <v>-</v>
      </c>
      <c r="F113" s="131" t="str">
        <f t="shared" si="49"/>
        <v>-</v>
      </c>
      <c r="G113" s="131">
        <f t="shared" si="49"/>
        <v>1</v>
      </c>
      <c r="H113" s="131">
        <f t="shared" si="49"/>
        <v>1</v>
      </c>
      <c r="I113" s="131">
        <f t="shared" si="49"/>
        <v>1</v>
      </c>
      <c r="J113" s="131">
        <f t="shared" si="49"/>
        <v>1</v>
      </c>
      <c r="K113" s="131">
        <f t="shared" si="49"/>
        <v>1</v>
      </c>
      <c r="L113" s="131">
        <f t="shared" si="49"/>
        <v>1</v>
      </c>
      <c r="M113" s="131">
        <f t="shared" si="49"/>
        <v>1</v>
      </c>
      <c r="N113" s="131">
        <f t="shared" si="49"/>
        <v>1</v>
      </c>
      <c r="O113" s="131">
        <f t="shared" si="49"/>
        <v>1</v>
      </c>
      <c r="P113" s="131" t="str">
        <f t="shared" si="49"/>
        <v>-</v>
      </c>
      <c r="Q113" s="131" t="str">
        <f t="shared" si="49"/>
        <v>-</v>
      </c>
      <c r="R113" s="131" t="str">
        <f t="shared" si="49"/>
        <v>-</v>
      </c>
      <c r="S113" s="131" t="str">
        <f t="shared" si="49"/>
        <v>-</v>
      </c>
      <c r="T113" s="131" t="str">
        <f t="shared" si="49"/>
        <v>-</v>
      </c>
      <c r="U113" s="131" t="str">
        <f t="shared" si="49"/>
        <v>-</v>
      </c>
      <c r="V113" s="131" t="str">
        <f t="shared" si="49"/>
        <v>-</v>
      </c>
      <c r="W113" s="131" t="str">
        <f t="shared" si="49"/>
        <v>-</v>
      </c>
      <c r="X113" s="131" t="str">
        <f t="shared" si="49"/>
        <v>-</v>
      </c>
      <c r="Y113" s="131" t="str">
        <f t="shared" si="49"/>
        <v>-</v>
      </c>
      <c r="Z113" s="131" t="str">
        <f t="shared" si="49"/>
        <v>-</v>
      </c>
      <c r="AA113" s="131" t="str">
        <f t="shared" si="49"/>
        <v>-</v>
      </c>
      <c r="AB113" s="131" t="str">
        <f t="shared" si="49"/>
        <v>-</v>
      </c>
      <c r="AC113" s="131" t="str">
        <f t="shared" si="49"/>
        <v>-</v>
      </c>
      <c r="AD113" s="131" t="str">
        <f t="shared" si="49"/>
        <v>-</v>
      </c>
      <c r="AE113" s="131" t="str">
        <f t="shared" si="49"/>
        <v>-</v>
      </c>
      <c r="AF113" s="131" t="str">
        <f t="shared" si="49"/>
        <v>-</v>
      </c>
      <c r="AG113" s="131" t="str">
        <f t="shared" si="49"/>
        <v>-</v>
      </c>
      <c r="AH113" s="131" t="str">
        <f t="shared" si="49"/>
        <v>-</v>
      </c>
      <c r="AI113" s="131" t="str">
        <f t="shared" si="49"/>
        <v>-</v>
      </c>
      <c r="AJ113" s="131" t="str">
        <f t="shared" si="49"/>
        <v>-</v>
      </c>
      <c r="AK113" s="131" t="str">
        <f t="shared" si="49"/>
        <v>-</v>
      </c>
      <c r="AL113" s="131" t="str">
        <f t="shared" si="49"/>
        <v>-</v>
      </c>
      <c r="AM113" s="131" t="str">
        <f t="shared" si="49"/>
        <v>-</v>
      </c>
      <c r="AN113" s="131" t="str">
        <f t="shared" si="49"/>
        <v>-</v>
      </c>
      <c r="AO113" s="131" t="str">
        <f t="shared" si="49"/>
        <v>-</v>
      </c>
      <c r="AP113" s="131" t="str">
        <f t="shared" si="49"/>
        <v>-</v>
      </c>
      <c r="AQ113" s="131" t="str">
        <f t="shared" si="49"/>
        <v>-</v>
      </c>
      <c r="AR113" s="62" t="str">
        <f t="shared" si="49"/>
        <v>-</v>
      </c>
      <c r="AS113" s="131" t="str">
        <f t="shared" si="49"/>
        <v>-</v>
      </c>
      <c r="AT113" s="131" t="str">
        <f t="shared" si="49"/>
        <v>-</v>
      </c>
      <c r="AU113" s="131" t="str">
        <f t="shared" si="49"/>
        <v>-</v>
      </c>
      <c r="AV113" s="131" t="str">
        <f t="shared" si="49"/>
        <v>-</v>
      </c>
      <c r="AW113" s="131" t="str">
        <f t="shared" si="49"/>
        <v>-</v>
      </c>
      <c r="AX113" s="131" t="str">
        <f t="shared" si="49"/>
        <v>-</v>
      </c>
      <c r="AY113" s="131" t="str">
        <f t="shared" si="49"/>
        <v>-</v>
      </c>
      <c r="AZ113" s="131" t="str">
        <f t="shared" si="49"/>
        <v>-</v>
      </c>
      <c r="BA113" s="131" t="str">
        <f t="shared" si="49"/>
        <v>-</v>
      </c>
      <c r="BB113" s="131" t="str">
        <f t="shared" si="49"/>
        <v>-</v>
      </c>
      <c r="BC113" s="131" t="str">
        <f t="shared" si="49"/>
        <v>-</v>
      </c>
      <c r="BD113" s="131" t="str">
        <f t="shared" si="49"/>
        <v>-</v>
      </c>
      <c r="BE113" s="131" t="str">
        <f t="shared" si="49"/>
        <v>-</v>
      </c>
      <c r="BF113" s="131" t="str">
        <f t="shared" si="49"/>
        <v>-</v>
      </c>
      <c r="BG113" s="131" t="str">
        <f t="shared" si="49"/>
        <v>-</v>
      </c>
      <c r="BH113" s="131" t="str">
        <f t="shared" si="49"/>
        <v>-</v>
      </c>
      <c r="BI113" s="131" t="str">
        <f t="shared" si="49"/>
        <v>-</v>
      </c>
      <c r="BJ113" s="131" t="str">
        <f t="shared" si="49"/>
        <v>-</v>
      </c>
      <c r="BK113" s="131" t="str">
        <f t="shared" si="49"/>
        <v>-</v>
      </c>
      <c r="BL113" s="131" t="str">
        <f t="shared" si="49"/>
        <v>-</v>
      </c>
      <c r="BM113" s="131" t="str">
        <f t="shared" si="49"/>
        <v>-</v>
      </c>
      <c r="BN113" s="131" t="str">
        <f t="shared" si="49"/>
        <v>-</v>
      </c>
      <c r="BO113" s="131" t="str">
        <f t="shared" si="47"/>
        <v>-</v>
      </c>
      <c r="BP113" s="131" t="s">
        <v>18</v>
      </c>
      <c r="BQ113" s="131" t="s">
        <v>18</v>
      </c>
      <c r="BR113" s="131" t="s">
        <v>18</v>
      </c>
      <c r="BS113" s="131" t="s">
        <v>18</v>
      </c>
      <c r="BT113" s="131" t="s">
        <v>18</v>
      </c>
      <c r="BU113" s="131" t="s">
        <v>18</v>
      </c>
      <c r="BV113" s="131" t="s">
        <v>18</v>
      </c>
      <c r="BW113" s="131" t="s">
        <v>18</v>
      </c>
      <c r="BX113" s="131" t="str">
        <f t="shared" ref="BX113" si="52">IFERROR(BX161/BX65,"-")</f>
        <v>-</v>
      </c>
      <c r="BY113" s="215"/>
      <c r="BZ113" s="215"/>
      <c r="CA113" s="215"/>
      <c r="CB113" s="215"/>
      <c r="CC113" s="215"/>
      <c r="CD113" s="215"/>
      <c r="CE113" s="215"/>
      <c r="CF113" s="215"/>
      <c r="CG113" s="215"/>
      <c r="CH113" s="215"/>
      <c r="CI113" s="215"/>
      <c r="CJ113" s="215"/>
      <c r="CK113" s="215"/>
      <c r="CL113" s="215"/>
      <c r="CM113" s="215"/>
      <c r="CN113" s="215"/>
      <c r="CO113" s="215"/>
      <c r="CP113" s="215"/>
      <c r="CQ113" s="215"/>
      <c r="CR113" s="215"/>
      <c r="CS113" s="215"/>
      <c r="CT113" s="215"/>
      <c r="CU113" s="215"/>
      <c r="CV113" s="215"/>
      <c r="CW113" s="215"/>
      <c r="CX113" s="215"/>
      <c r="CY113" s="215"/>
      <c r="CZ113" s="215"/>
      <c r="DA113" s="215"/>
      <c r="DB113" s="215"/>
      <c r="DC113" s="215"/>
    </row>
    <row r="114" spans="1:107" ht="15" hidden="1" customHeight="1" outlineLevel="1">
      <c r="A114" t="s">
        <v>233</v>
      </c>
      <c r="B114" s="38" t="s">
        <v>48</v>
      </c>
      <c r="C114" s="131" t="str">
        <f t="shared" si="49"/>
        <v>-</v>
      </c>
      <c r="D114" s="131" t="str">
        <f t="shared" si="49"/>
        <v>-</v>
      </c>
      <c r="E114" s="131" t="str">
        <f t="shared" si="49"/>
        <v>-</v>
      </c>
      <c r="F114" s="131" t="str">
        <f t="shared" si="49"/>
        <v>-</v>
      </c>
      <c r="G114" s="131" t="str">
        <f t="shared" si="49"/>
        <v>-</v>
      </c>
      <c r="H114" s="131" t="str">
        <f t="shared" si="49"/>
        <v>-</v>
      </c>
      <c r="I114" s="131" t="str">
        <f t="shared" si="49"/>
        <v>-</v>
      </c>
      <c r="J114" s="131" t="str">
        <f t="shared" si="49"/>
        <v>-</v>
      </c>
      <c r="K114" s="131" t="str">
        <f t="shared" si="49"/>
        <v>-</v>
      </c>
      <c r="L114" s="131" t="str">
        <f t="shared" si="49"/>
        <v>-</v>
      </c>
      <c r="M114" s="131" t="str">
        <f t="shared" si="49"/>
        <v>-</v>
      </c>
      <c r="N114" s="131" t="str">
        <f t="shared" si="49"/>
        <v>-</v>
      </c>
      <c r="O114" s="131" t="str">
        <f t="shared" si="49"/>
        <v>-</v>
      </c>
      <c r="P114" s="131" t="str">
        <f t="shared" si="49"/>
        <v>-</v>
      </c>
      <c r="Q114" s="131" t="str">
        <f t="shared" si="49"/>
        <v>-</v>
      </c>
      <c r="R114" s="131" t="str">
        <f t="shared" si="49"/>
        <v>-</v>
      </c>
      <c r="S114" s="131" t="str">
        <f t="shared" si="49"/>
        <v>-</v>
      </c>
      <c r="T114" s="131" t="str">
        <f t="shared" si="49"/>
        <v>-</v>
      </c>
      <c r="U114" s="131" t="str">
        <f t="shared" si="49"/>
        <v>-</v>
      </c>
      <c r="V114" s="131" t="str">
        <f t="shared" si="49"/>
        <v>-</v>
      </c>
      <c r="W114" s="131" t="str">
        <f t="shared" si="49"/>
        <v>-</v>
      </c>
      <c r="X114" s="131" t="str">
        <f t="shared" si="49"/>
        <v>-</v>
      </c>
      <c r="Y114" s="131" t="str">
        <f t="shared" si="49"/>
        <v>-</v>
      </c>
      <c r="Z114" s="131" t="str">
        <f t="shared" si="49"/>
        <v>-</v>
      </c>
      <c r="AA114" s="131" t="str">
        <f t="shared" si="49"/>
        <v>-</v>
      </c>
      <c r="AB114" s="131" t="str">
        <f t="shared" si="49"/>
        <v>-</v>
      </c>
      <c r="AC114" s="131" t="str">
        <f t="shared" si="49"/>
        <v>-</v>
      </c>
      <c r="AD114" s="131" t="str">
        <f t="shared" si="49"/>
        <v>-</v>
      </c>
      <c r="AE114" s="131" t="str">
        <f t="shared" si="49"/>
        <v>-</v>
      </c>
      <c r="AF114" s="131" t="str">
        <f t="shared" si="49"/>
        <v>-</v>
      </c>
      <c r="AG114" s="131" t="str">
        <f t="shared" si="49"/>
        <v>-</v>
      </c>
      <c r="AH114" s="131" t="str">
        <f t="shared" si="49"/>
        <v>-</v>
      </c>
      <c r="AI114" s="131" t="str">
        <f t="shared" si="49"/>
        <v>-</v>
      </c>
      <c r="AJ114" s="131" t="str">
        <f t="shared" si="49"/>
        <v>-</v>
      </c>
      <c r="AK114" s="131" t="str">
        <f t="shared" si="49"/>
        <v>-</v>
      </c>
      <c r="AL114" s="131" t="str">
        <f t="shared" si="49"/>
        <v>-</v>
      </c>
      <c r="AM114" s="131" t="str">
        <f t="shared" si="49"/>
        <v>-</v>
      </c>
      <c r="AN114" s="131" t="str">
        <f t="shared" si="49"/>
        <v>-</v>
      </c>
      <c r="AO114" s="131" t="str">
        <f t="shared" si="49"/>
        <v>-</v>
      </c>
      <c r="AP114" s="131" t="str">
        <f t="shared" si="49"/>
        <v>-</v>
      </c>
      <c r="AQ114" s="131" t="str">
        <f t="shared" si="49"/>
        <v>-</v>
      </c>
      <c r="AR114" s="131" t="str">
        <f t="shared" si="49"/>
        <v>-</v>
      </c>
      <c r="AS114" s="131" t="str">
        <f t="shared" si="49"/>
        <v>-</v>
      </c>
      <c r="AT114" s="131" t="str">
        <f t="shared" si="49"/>
        <v>-</v>
      </c>
      <c r="AU114" s="131" t="str">
        <f t="shared" si="49"/>
        <v>-</v>
      </c>
      <c r="AV114" s="131" t="str">
        <f t="shared" si="49"/>
        <v>-</v>
      </c>
      <c r="AW114" s="131" t="str">
        <f t="shared" si="49"/>
        <v>-</v>
      </c>
      <c r="AX114" s="131">
        <f t="shared" si="49"/>
        <v>0.3</v>
      </c>
      <c r="AY114" s="131">
        <f t="shared" si="49"/>
        <v>0.3</v>
      </c>
      <c r="AZ114" s="131">
        <f t="shared" si="49"/>
        <v>0.3</v>
      </c>
      <c r="BA114" s="131">
        <f t="shared" si="49"/>
        <v>0.3</v>
      </c>
      <c r="BB114" s="131">
        <f t="shared" si="49"/>
        <v>0.3</v>
      </c>
      <c r="BC114" s="131">
        <f t="shared" si="49"/>
        <v>0.3</v>
      </c>
      <c r="BD114" s="131">
        <f t="shared" si="49"/>
        <v>0.3</v>
      </c>
      <c r="BE114" s="131">
        <f t="shared" si="49"/>
        <v>0.3</v>
      </c>
      <c r="BF114" s="131">
        <f t="shared" si="49"/>
        <v>0.3</v>
      </c>
      <c r="BG114" s="131">
        <f t="shared" si="49"/>
        <v>0.3</v>
      </c>
      <c r="BH114" s="131">
        <f t="shared" si="49"/>
        <v>0.3</v>
      </c>
      <c r="BI114" s="131">
        <f t="shared" si="49"/>
        <v>0.3</v>
      </c>
      <c r="BJ114" s="131">
        <f t="shared" si="49"/>
        <v>0.3</v>
      </c>
      <c r="BK114" s="131">
        <f t="shared" si="49"/>
        <v>0.3</v>
      </c>
      <c r="BL114" s="131">
        <f t="shared" si="49"/>
        <v>0.3</v>
      </c>
      <c r="BM114" s="131">
        <f t="shared" si="49"/>
        <v>0.3</v>
      </c>
      <c r="BN114" s="131">
        <f t="shared" ref="BN114:BO117" si="53">IFERROR(BN162/BN66,"-")</f>
        <v>0.3</v>
      </c>
      <c r="BO114" s="131">
        <f t="shared" si="53"/>
        <v>0.3</v>
      </c>
      <c r="BP114" s="131">
        <v>0.1</v>
      </c>
      <c r="BQ114" s="131">
        <v>0.1</v>
      </c>
      <c r="BR114" s="131">
        <v>0.1</v>
      </c>
      <c r="BS114" s="131">
        <v>0.1</v>
      </c>
      <c r="BT114" s="131">
        <v>9.8587251607914511E-2</v>
      </c>
      <c r="BU114" s="131">
        <v>0.1</v>
      </c>
      <c r="BV114" s="131">
        <v>0.1</v>
      </c>
      <c r="BW114" s="131">
        <v>0.1</v>
      </c>
      <c r="BX114" s="131">
        <f t="shared" ref="BX114" si="54">IFERROR(BX162/BX66,"-")</f>
        <v>0.1</v>
      </c>
    </row>
    <row r="115" spans="1:107" ht="15" hidden="1" customHeight="1" outlineLevel="1">
      <c r="A115" t="s">
        <v>234</v>
      </c>
      <c r="B115" s="38" t="s">
        <v>49</v>
      </c>
      <c r="C115" s="131" t="str">
        <f t="shared" ref="C115:BN118" si="55">IFERROR(C163/C67,"-")</f>
        <v>-</v>
      </c>
      <c r="D115" s="131" t="str">
        <f t="shared" si="55"/>
        <v>-</v>
      </c>
      <c r="E115" s="131" t="str">
        <f t="shared" si="55"/>
        <v>-</v>
      </c>
      <c r="F115" s="131" t="str">
        <f t="shared" si="55"/>
        <v>-</v>
      </c>
      <c r="G115" s="131" t="str">
        <f t="shared" si="55"/>
        <v>-</v>
      </c>
      <c r="H115" s="131" t="str">
        <f t="shared" si="55"/>
        <v>-</v>
      </c>
      <c r="I115" s="131" t="str">
        <f t="shared" si="55"/>
        <v>-</v>
      </c>
      <c r="J115" s="131" t="str">
        <f t="shared" si="55"/>
        <v>-</v>
      </c>
      <c r="K115" s="131" t="str">
        <f t="shared" si="55"/>
        <v>-</v>
      </c>
      <c r="L115" s="131" t="str">
        <f t="shared" si="55"/>
        <v>-</v>
      </c>
      <c r="M115" s="131" t="str">
        <f t="shared" si="55"/>
        <v>-</v>
      </c>
      <c r="N115" s="131" t="str">
        <f t="shared" si="55"/>
        <v>-</v>
      </c>
      <c r="O115" s="131" t="str">
        <f t="shared" si="55"/>
        <v>-</v>
      </c>
      <c r="P115" s="131" t="str">
        <f t="shared" si="55"/>
        <v>-</v>
      </c>
      <c r="Q115" s="131" t="str">
        <f t="shared" si="55"/>
        <v>-</v>
      </c>
      <c r="R115" s="131" t="str">
        <f t="shared" si="55"/>
        <v>-</v>
      </c>
      <c r="S115" s="131" t="str">
        <f t="shared" si="55"/>
        <v>-</v>
      </c>
      <c r="T115" s="131" t="str">
        <f t="shared" si="55"/>
        <v>-</v>
      </c>
      <c r="U115" s="131" t="str">
        <f t="shared" si="55"/>
        <v>-</v>
      </c>
      <c r="V115" s="131" t="str">
        <f t="shared" si="55"/>
        <v>-</v>
      </c>
      <c r="W115" s="131" t="str">
        <f t="shared" si="55"/>
        <v>-</v>
      </c>
      <c r="X115" s="131" t="str">
        <f t="shared" si="55"/>
        <v>-</v>
      </c>
      <c r="Y115" s="131" t="str">
        <f t="shared" si="55"/>
        <v>-</v>
      </c>
      <c r="Z115" s="131" t="str">
        <f t="shared" si="55"/>
        <v>-</v>
      </c>
      <c r="AA115" s="131" t="str">
        <f t="shared" si="55"/>
        <v>-</v>
      </c>
      <c r="AB115" s="131" t="str">
        <f t="shared" si="55"/>
        <v>-</v>
      </c>
      <c r="AC115" s="131" t="str">
        <f t="shared" si="55"/>
        <v>-</v>
      </c>
      <c r="AD115" s="131" t="str">
        <f t="shared" si="55"/>
        <v>-</v>
      </c>
      <c r="AE115" s="131" t="str">
        <f t="shared" si="55"/>
        <v>-</v>
      </c>
      <c r="AF115" s="131" t="str">
        <f t="shared" si="55"/>
        <v>-</v>
      </c>
      <c r="AG115" s="131" t="str">
        <f t="shared" si="55"/>
        <v>-</v>
      </c>
      <c r="AH115" s="131" t="str">
        <f t="shared" si="55"/>
        <v>-</v>
      </c>
      <c r="AI115" s="131" t="str">
        <f t="shared" si="55"/>
        <v>-</v>
      </c>
      <c r="AJ115" s="131" t="str">
        <f t="shared" si="55"/>
        <v>-</v>
      </c>
      <c r="AK115" s="131" t="str">
        <f t="shared" si="55"/>
        <v>-</v>
      </c>
      <c r="AL115" s="131" t="str">
        <f t="shared" si="55"/>
        <v>-</v>
      </c>
      <c r="AM115" s="131" t="str">
        <f t="shared" si="55"/>
        <v>-</v>
      </c>
      <c r="AN115" s="131" t="str">
        <f t="shared" si="55"/>
        <v>-</v>
      </c>
      <c r="AO115" s="131" t="str">
        <f t="shared" si="55"/>
        <v>-</v>
      </c>
      <c r="AP115" s="131" t="str">
        <f t="shared" si="55"/>
        <v>-</v>
      </c>
      <c r="AQ115" s="131" t="str">
        <f t="shared" si="55"/>
        <v>-</v>
      </c>
      <c r="AR115" s="131" t="str">
        <f t="shared" si="55"/>
        <v>-</v>
      </c>
      <c r="AS115" s="131" t="str">
        <f t="shared" si="55"/>
        <v>-</v>
      </c>
      <c r="AT115" s="131" t="str">
        <f t="shared" si="55"/>
        <v>-</v>
      </c>
      <c r="AU115" s="131" t="str">
        <f t="shared" si="55"/>
        <v>-</v>
      </c>
      <c r="AV115" s="131" t="str">
        <f t="shared" si="55"/>
        <v>-</v>
      </c>
      <c r="AW115" s="131" t="str">
        <f t="shared" si="55"/>
        <v>-</v>
      </c>
      <c r="AX115" s="131">
        <f t="shared" si="55"/>
        <v>0.3</v>
      </c>
      <c r="AY115" s="131">
        <f t="shared" si="55"/>
        <v>0.3</v>
      </c>
      <c r="AZ115" s="131">
        <f t="shared" si="55"/>
        <v>0.3</v>
      </c>
      <c r="BA115" s="131">
        <f t="shared" si="55"/>
        <v>0.3</v>
      </c>
      <c r="BB115" s="131">
        <f t="shared" si="55"/>
        <v>0.3</v>
      </c>
      <c r="BC115" s="131">
        <f t="shared" si="55"/>
        <v>0.3</v>
      </c>
      <c r="BD115" s="131">
        <f t="shared" si="55"/>
        <v>0.3</v>
      </c>
      <c r="BE115" s="131">
        <f t="shared" si="55"/>
        <v>0.30000248412231811</v>
      </c>
      <c r="BF115" s="131">
        <f t="shared" si="55"/>
        <v>0.3</v>
      </c>
      <c r="BG115" s="131">
        <f t="shared" si="55"/>
        <v>0.3</v>
      </c>
      <c r="BH115" s="131">
        <f t="shared" si="55"/>
        <v>0.3</v>
      </c>
      <c r="BI115" s="131">
        <f t="shared" si="55"/>
        <v>0.3</v>
      </c>
      <c r="BJ115" s="131">
        <f t="shared" si="55"/>
        <v>0.3</v>
      </c>
      <c r="BK115" s="131">
        <f t="shared" si="55"/>
        <v>0.3</v>
      </c>
      <c r="BL115" s="131">
        <f t="shared" si="55"/>
        <v>0.3</v>
      </c>
      <c r="BM115" s="131">
        <f t="shared" si="55"/>
        <v>0.3</v>
      </c>
      <c r="BN115" s="131">
        <f t="shared" si="55"/>
        <v>0.3</v>
      </c>
      <c r="BO115" s="131">
        <f t="shared" si="53"/>
        <v>0.3</v>
      </c>
      <c r="BP115" s="131">
        <v>0.1</v>
      </c>
      <c r="BQ115" s="131">
        <v>0.1</v>
      </c>
      <c r="BR115" s="131">
        <v>0.1</v>
      </c>
      <c r="BS115" s="131">
        <v>0.1</v>
      </c>
      <c r="BT115" s="131">
        <v>0.1</v>
      </c>
      <c r="BU115" s="131">
        <v>0.1</v>
      </c>
      <c r="BV115" s="131">
        <v>0.1</v>
      </c>
      <c r="BW115" s="131">
        <v>0.1</v>
      </c>
      <c r="BX115" s="131">
        <f t="shared" ref="BX115" si="56">IFERROR(BX163/BX67,"-")</f>
        <v>0.1</v>
      </c>
    </row>
    <row r="116" spans="1:107" s="30" customFormat="1" ht="15" customHeight="1" collapsed="1">
      <c r="B116" s="81" t="str">
        <f>IF('Sumário | Summary'!P1=1,"Escritórios Classe A","Class A Offices")</f>
        <v>Escritórios Classe A</v>
      </c>
      <c r="C116" s="130">
        <f t="shared" si="55"/>
        <v>0.85913328803266542</v>
      </c>
      <c r="D116" s="130">
        <f t="shared" si="55"/>
        <v>0.87222651015096375</v>
      </c>
      <c r="E116" s="130">
        <f t="shared" si="55"/>
        <v>0.87222651015096375</v>
      </c>
      <c r="F116" s="130">
        <f t="shared" si="55"/>
        <v>0.87222651015096375</v>
      </c>
      <c r="G116" s="130">
        <f t="shared" si="55"/>
        <v>0.87222651015096375</v>
      </c>
      <c r="H116" s="130">
        <f t="shared" si="55"/>
        <v>0.87222651015096375</v>
      </c>
      <c r="I116" s="130">
        <f t="shared" si="55"/>
        <v>0.87222651015096375</v>
      </c>
      <c r="J116" s="130">
        <f t="shared" si="55"/>
        <v>0.87222651015096375</v>
      </c>
      <c r="K116" s="130">
        <f t="shared" si="55"/>
        <v>0.87222651015096375</v>
      </c>
      <c r="L116" s="130">
        <f t="shared" si="55"/>
        <v>0.87222651015096375</v>
      </c>
      <c r="M116" s="130">
        <f t="shared" si="55"/>
        <v>0.87222651015096375</v>
      </c>
      <c r="N116" s="130">
        <f t="shared" si="55"/>
        <v>0.87222651015096375</v>
      </c>
      <c r="O116" s="130">
        <f t="shared" si="55"/>
        <v>0.87222651015096375</v>
      </c>
      <c r="P116" s="130">
        <f t="shared" si="55"/>
        <v>0.87222651015096375</v>
      </c>
      <c r="Q116" s="130">
        <f t="shared" si="55"/>
        <v>0.87222651015096375</v>
      </c>
      <c r="R116" s="130">
        <f t="shared" si="55"/>
        <v>0.87222651015096375</v>
      </c>
      <c r="S116" s="130">
        <f t="shared" si="55"/>
        <v>0.87222651015096375</v>
      </c>
      <c r="T116" s="130">
        <f t="shared" si="55"/>
        <v>0.87222651015096375</v>
      </c>
      <c r="U116" s="130">
        <f t="shared" si="55"/>
        <v>0.87222651015096375</v>
      </c>
      <c r="V116" s="130">
        <f t="shared" si="55"/>
        <v>0.87222651015096375</v>
      </c>
      <c r="W116" s="130">
        <f t="shared" si="55"/>
        <v>0.87222651015096375</v>
      </c>
      <c r="X116" s="130">
        <f t="shared" si="55"/>
        <v>0.87222666438764274</v>
      </c>
      <c r="Y116" s="130">
        <f t="shared" si="55"/>
        <v>0.87222666438764274</v>
      </c>
      <c r="Z116" s="130">
        <f t="shared" si="55"/>
        <v>0.87222666438764274</v>
      </c>
      <c r="AA116" s="130">
        <f t="shared" si="55"/>
        <v>0.87222666438764274</v>
      </c>
      <c r="AB116" s="130">
        <f t="shared" si="55"/>
        <v>0.87222666438764274</v>
      </c>
      <c r="AC116" s="130">
        <f t="shared" si="55"/>
        <v>0.87222666438764274</v>
      </c>
      <c r="AD116" s="130">
        <f t="shared" si="55"/>
        <v>0.87222651015096375</v>
      </c>
      <c r="AE116" s="130">
        <f t="shared" si="55"/>
        <v>0.87222651015096375</v>
      </c>
      <c r="AF116" s="130">
        <f t="shared" si="55"/>
        <v>0.8628080321326782</v>
      </c>
      <c r="AG116" s="130">
        <f t="shared" si="55"/>
        <v>0.8628065384853667</v>
      </c>
      <c r="AH116" s="130">
        <f t="shared" si="55"/>
        <v>0.8628065384853667</v>
      </c>
      <c r="AI116" s="130">
        <f t="shared" si="55"/>
        <v>0.8628080321326782</v>
      </c>
      <c r="AJ116" s="130">
        <f t="shared" si="55"/>
        <v>0.8628080321326782</v>
      </c>
      <c r="AK116" s="130">
        <f t="shared" si="55"/>
        <v>0.86280717862391132</v>
      </c>
      <c r="AL116" s="130">
        <f t="shared" si="55"/>
        <v>1.1890712607953988</v>
      </c>
      <c r="AM116" s="130">
        <f t="shared" si="55"/>
        <v>1.1890696397498044</v>
      </c>
      <c r="AN116" s="130">
        <f t="shared" si="55"/>
        <v>1.1890892670674229</v>
      </c>
      <c r="AO116" s="130">
        <f t="shared" si="55"/>
        <v>0.85476497446279343</v>
      </c>
      <c r="AP116" s="130">
        <f t="shared" si="55"/>
        <v>0.85476963974980413</v>
      </c>
      <c r="AQ116" s="130">
        <f t="shared" si="55"/>
        <v>0.85476963974980413</v>
      </c>
      <c r="AR116" s="130">
        <f t="shared" si="55"/>
        <v>0.85476963974980413</v>
      </c>
      <c r="AS116" s="130">
        <f t="shared" si="55"/>
        <v>0.85476963974980413</v>
      </c>
      <c r="AT116" s="130">
        <f t="shared" si="55"/>
        <v>0.85476963974980413</v>
      </c>
      <c r="AU116" s="130">
        <f t="shared" si="55"/>
        <v>0.6202355465065249</v>
      </c>
      <c r="AV116" s="130">
        <f t="shared" si="55"/>
        <v>0.89154663881922036</v>
      </c>
      <c r="AW116" s="130">
        <f t="shared" si="55"/>
        <v>0.71371540246920373</v>
      </c>
      <c r="AX116" s="130">
        <f t="shared" si="55"/>
        <v>0.71667704024440615</v>
      </c>
      <c r="AY116" s="130">
        <f t="shared" si="55"/>
        <v>0.71667704024440615</v>
      </c>
      <c r="AZ116" s="130">
        <f t="shared" si="55"/>
        <v>0.71667704024440615</v>
      </c>
      <c r="BA116" s="130">
        <f t="shared" si="55"/>
        <v>0.71667704024440615</v>
      </c>
      <c r="BB116" s="130">
        <f t="shared" si="55"/>
        <v>0.71667704024440615</v>
      </c>
      <c r="BC116" s="130">
        <f t="shared" si="55"/>
        <v>0.71667612991225582</v>
      </c>
      <c r="BD116" s="130">
        <f t="shared" si="55"/>
        <v>0.71667612991225582</v>
      </c>
      <c r="BE116" s="130">
        <f t="shared" si="55"/>
        <v>0.71667612991225582</v>
      </c>
      <c r="BF116" s="130">
        <f t="shared" si="55"/>
        <v>0.71667704024440615</v>
      </c>
      <c r="BG116" s="130">
        <f t="shared" si="55"/>
        <v>0.71667612991225582</v>
      </c>
      <c r="BH116" s="130">
        <f t="shared" si="55"/>
        <v>0.716676429813211</v>
      </c>
      <c r="BI116" s="130">
        <f t="shared" si="55"/>
        <v>0.716676429813211</v>
      </c>
      <c r="BJ116" s="130">
        <f t="shared" si="55"/>
        <v>0.716676429813211</v>
      </c>
      <c r="BK116" s="130">
        <f t="shared" si="55"/>
        <v>0.716676429813211</v>
      </c>
      <c r="BL116" s="130">
        <f t="shared" si="55"/>
        <v>0.716676429813211</v>
      </c>
      <c r="BM116" s="130">
        <f t="shared" si="55"/>
        <v>0.716676429813211</v>
      </c>
      <c r="BN116" s="130">
        <f t="shared" si="55"/>
        <v>0.72119996664841202</v>
      </c>
      <c r="BO116" s="130">
        <f t="shared" si="53"/>
        <v>0.72119996664841202</v>
      </c>
      <c r="BP116" s="130">
        <v>0.72119996664841202</v>
      </c>
      <c r="BQ116" s="130">
        <v>0.72119996664841191</v>
      </c>
      <c r="BR116" s="130">
        <v>0.72119996664841191</v>
      </c>
      <c r="BS116" s="130">
        <v>0.80336563675247441</v>
      </c>
      <c r="BT116" s="130">
        <v>0.79907919707646724</v>
      </c>
      <c r="BU116" s="130">
        <v>0.79228729168862799</v>
      </c>
      <c r="BV116" s="130">
        <v>0.7874983700696021</v>
      </c>
      <c r="BW116" s="130">
        <v>0.7874983700696021</v>
      </c>
      <c r="BX116" s="130">
        <f t="shared" ref="BX116" si="57">IFERROR(BX164/BX68,"-")</f>
        <v>0.7874983700696021</v>
      </c>
    </row>
    <row r="117" spans="1:107" s="147" customFormat="1" ht="15" hidden="1" customHeight="1" outlineLevel="1">
      <c r="A117" t="s">
        <v>235</v>
      </c>
      <c r="B117" s="142" t="s">
        <v>6</v>
      </c>
      <c r="C117" s="131">
        <f t="shared" si="55"/>
        <v>1</v>
      </c>
      <c r="D117" s="131">
        <f t="shared" si="55"/>
        <v>1</v>
      </c>
      <c r="E117" s="131">
        <f t="shared" si="55"/>
        <v>1</v>
      </c>
      <c r="F117" s="131">
        <f t="shared" si="55"/>
        <v>1</v>
      </c>
      <c r="G117" s="131">
        <f t="shared" si="55"/>
        <v>1</v>
      </c>
      <c r="H117" s="131">
        <f t="shared" si="55"/>
        <v>1</v>
      </c>
      <c r="I117" s="131">
        <f t="shared" si="55"/>
        <v>1</v>
      </c>
      <c r="J117" s="131">
        <f t="shared" si="55"/>
        <v>1</v>
      </c>
      <c r="K117" s="131">
        <f t="shared" si="55"/>
        <v>1</v>
      </c>
      <c r="L117" s="131">
        <f t="shared" si="55"/>
        <v>1</v>
      </c>
      <c r="M117" s="131">
        <f t="shared" si="55"/>
        <v>1</v>
      </c>
      <c r="N117" s="131">
        <f t="shared" si="55"/>
        <v>1</v>
      </c>
      <c r="O117" s="131">
        <f t="shared" si="55"/>
        <v>1</v>
      </c>
      <c r="P117" s="131">
        <f t="shared" si="55"/>
        <v>1</v>
      </c>
      <c r="Q117" s="131">
        <f t="shared" si="55"/>
        <v>1</v>
      </c>
      <c r="R117" s="131">
        <f t="shared" si="55"/>
        <v>1</v>
      </c>
      <c r="S117" s="131">
        <f t="shared" si="55"/>
        <v>1</v>
      </c>
      <c r="T117" s="131">
        <f t="shared" si="55"/>
        <v>1</v>
      </c>
      <c r="U117" s="131">
        <f t="shared" si="55"/>
        <v>1</v>
      </c>
      <c r="V117" s="131">
        <f t="shared" si="55"/>
        <v>1</v>
      </c>
      <c r="W117" s="131">
        <f t="shared" si="55"/>
        <v>1</v>
      </c>
      <c r="X117" s="131">
        <f t="shared" si="55"/>
        <v>1</v>
      </c>
      <c r="Y117" s="131">
        <f t="shared" si="55"/>
        <v>1</v>
      </c>
      <c r="Z117" s="131">
        <f t="shared" si="55"/>
        <v>1</v>
      </c>
      <c r="AA117" s="131">
        <f t="shared" si="55"/>
        <v>1</v>
      </c>
      <c r="AB117" s="131">
        <f t="shared" si="55"/>
        <v>1</v>
      </c>
      <c r="AC117" s="131">
        <f t="shared" si="55"/>
        <v>1</v>
      </c>
      <c r="AD117" s="131">
        <f t="shared" si="55"/>
        <v>1</v>
      </c>
      <c r="AE117" s="131">
        <f t="shared" si="55"/>
        <v>1</v>
      </c>
      <c r="AF117" s="131">
        <f t="shared" si="55"/>
        <v>1</v>
      </c>
      <c r="AG117" s="131">
        <f t="shared" si="55"/>
        <v>1</v>
      </c>
      <c r="AH117" s="131">
        <f t="shared" si="55"/>
        <v>1</v>
      </c>
      <c r="AI117" s="131">
        <f t="shared" si="55"/>
        <v>1</v>
      </c>
      <c r="AJ117" s="131">
        <f t="shared" si="55"/>
        <v>1</v>
      </c>
      <c r="AK117" s="131">
        <f t="shared" si="55"/>
        <v>1</v>
      </c>
      <c r="AL117" s="131">
        <f t="shared" si="55"/>
        <v>1</v>
      </c>
      <c r="AM117" s="131">
        <f t="shared" si="55"/>
        <v>1</v>
      </c>
      <c r="AN117" s="131">
        <f t="shared" si="55"/>
        <v>1</v>
      </c>
      <c r="AO117" s="131">
        <f t="shared" si="55"/>
        <v>0.66570731402114769</v>
      </c>
      <c r="AP117" s="131">
        <f t="shared" si="55"/>
        <v>0.66569999999999996</v>
      </c>
      <c r="AQ117" s="131">
        <f t="shared" si="55"/>
        <v>0.66569999999999996</v>
      </c>
      <c r="AR117" s="131">
        <f t="shared" si="55"/>
        <v>0.66569999999999996</v>
      </c>
      <c r="AS117" s="131">
        <f t="shared" si="55"/>
        <v>0.66569999999999996</v>
      </c>
      <c r="AT117" s="131">
        <f t="shared" si="55"/>
        <v>0.66569999999999996</v>
      </c>
      <c r="AU117" s="131">
        <f t="shared" si="55"/>
        <v>0.66569999999999996</v>
      </c>
      <c r="AV117" s="131">
        <f t="shared" si="55"/>
        <v>0.66569999999999996</v>
      </c>
      <c r="AW117" s="131">
        <f t="shared" si="55"/>
        <v>0.66569999999999996</v>
      </c>
      <c r="AX117" s="131">
        <f t="shared" si="55"/>
        <v>0.66569999999999996</v>
      </c>
      <c r="AY117" s="131">
        <f t="shared" si="55"/>
        <v>0.66569999999999996</v>
      </c>
      <c r="AZ117" s="131">
        <f t="shared" si="55"/>
        <v>0.66569999999999996</v>
      </c>
      <c r="BA117" s="131">
        <f t="shared" si="55"/>
        <v>0.66569999999999996</v>
      </c>
      <c r="BB117" s="131">
        <f t="shared" si="55"/>
        <v>0.66569999999999996</v>
      </c>
      <c r="BC117" s="131">
        <f t="shared" si="55"/>
        <v>0.66569999999999996</v>
      </c>
      <c r="BD117" s="131">
        <f t="shared" si="55"/>
        <v>0.66569999999999996</v>
      </c>
      <c r="BE117" s="131">
        <f t="shared" si="55"/>
        <v>0.66569999999999996</v>
      </c>
      <c r="BF117" s="131">
        <f t="shared" si="55"/>
        <v>0.66569999999999996</v>
      </c>
      <c r="BG117" s="131">
        <f t="shared" si="55"/>
        <v>0.66569999999999996</v>
      </c>
      <c r="BH117" s="131">
        <f t="shared" si="55"/>
        <v>0.66569999999999996</v>
      </c>
      <c r="BI117" s="131">
        <f t="shared" si="55"/>
        <v>0.66569999999999996</v>
      </c>
      <c r="BJ117" s="131">
        <f t="shared" si="55"/>
        <v>0.66569999999999996</v>
      </c>
      <c r="BK117" s="131">
        <f t="shared" si="55"/>
        <v>0.66569999999999996</v>
      </c>
      <c r="BL117" s="131">
        <f t="shared" si="55"/>
        <v>0.66569999999999996</v>
      </c>
      <c r="BM117" s="131">
        <f t="shared" si="55"/>
        <v>0.66569999999999996</v>
      </c>
      <c r="BN117" s="131">
        <f t="shared" si="55"/>
        <v>0.66569999999999996</v>
      </c>
      <c r="BO117" s="131">
        <f t="shared" si="53"/>
        <v>0.66569999999999996</v>
      </c>
      <c r="BP117" s="131">
        <v>0.66569999999999996</v>
      </c>
      <c r="BQ117" s="131">
        <v>0.66569999999999996</v>
      </c>
      <c r="BR117" s="131">
        <v>0.66569999999999996</v>
      </c>
      <c r="BS117" s="131">
        <v>0.66569999999999996</v>
      </c>
      <c r="BT117" s="131">
        <v>0.66569999999999996</v>
      </c>
      <c r="BU117" s="131">
        <v>0.66569999999999996</v>
      </c>
      <c r="BV117" s="131">
        <v>0.66569999999999996</v>
      </c>
      <c r="BW117" s="131">
        <v>0.66569999999999996</v>
      </c>
      <c r="BX117" s="131">
        <f t="shared" ref="BX117" si="58">IFERROR(BX165/BX69,"-")</f>
        <v>0.66569999999999996</v>
      </c>
      <c r="BY117" s="215"/>
      <c r="BZ117" s="215"/>
      <c r="CA117" s="215"/>
      <c r="CB117" s="215"/>
      <c r="CC117" s="215"/>
      <c r="CD117" s="215"/>
      <c r="CE117" s="215"/>
      <c r="CF117" s="215"/>
      <c r="CG117" s="215"/>
      <c r="CH117" s="215"/>
      <c r="CI117" s="215"/>
      <c r="CJ117" s="215"/>
      <c r="CK117" s="215"/>
      <c r="CL117" s="215"/>
      <c r="CM117" s="215"/>
      <c r="CN117" s="215"/>
      <c r="CO117" s="215"/>
      <c r="CP117" s="215"/>
      <c r="CQ117" s="215"/>
      <c r="CR117" s="215"/>
      <c r="CS117" s="215"/>
      <c r="CT117" s="215"/>
      <c r="CU117" s="215"/>
      <c r="CV117" s="215"/>
      <c r="CW117" s="215"/>
      <c r="CX117" s="215"/>
      <c r="CY117" s="215"/>
      <c r="CZ117" s="215"/>
      <c r="DA117" s="215"/>
      <c r="DB117" s="215"/>
      <c r="DC117" s="215"/>
    </row>
    <row r="118" spans="1:107" s="147" customFormat="1" ht="15" hidden="1" customHeight="1" outlineLevel="1">
      <c r="A118" t="s">
        <v>236</v>
      </c>
      <c r="B118" s="142" t="s">
        <v>7</v>
      </c>
      <c r="C118" s="131">
        <f t="shared" si="55"/>
        <v>1</v>
      </c>
      <c r="D118" s="131">
        <f t="shared" si="55"/>
        <v>1</v>
      </c>
      <c r="E118" s="131">
        <f t="shared" si="55"/>
        <v>1</v>
      </c>
      <c r="F118" s="131">
        <f t="shared" si="55"/>
        <v>1</v>
      </c>
      <c r="G118" s="131">
        <f t="shared" si="55"/>
        <v>1</v>
      </c>
      <c r="H118" s="131">
        <f t="shared" si="55"/>
        <v>1</v>
      </c>
      <c r="I118" s="131">
        <f t="shared" si="55"/>
        <v>1</v>
      </c>
      <c r="J118" s="131">
        <f t="shared" si="55"/>
        <v>1</v>
      </c>
      <c r="K118" s="131">
        <f t="shared" si="55"/>
        <v>1</v>
      </c>
      <c r="L118" s="131">
        <f t="shared" si="55"/>
        <v>1</v>
      </c>
      <c r="M118" s="131">
        <f t="shared" si="55"/>
        <v>1</v>
      </c>
      <c r="N118" s="131">
        <f t="shared" si="55"/>
        <v>1</v>
      </c>
      <c r="O118" s="131">
        <f t="shared" si="55"/>
        <v>1</v>
      </c>
      <c r="P118" s="131">
        <f t="shared" si="55"/>
        <v>1</v>
      </c>
      <c r="Q118" s="131">
        <f t="shared" si="55"/>
        <v>1</v>
      </c>
      <c r="R118" s="131">
        <f t="shared" si="55"/>
        <v>1</v>
      </c>
      <c r="S118" s="131">
        <f t="shared" si="55"/>
        <v>1</v>
      </c>
      <c r="T118" s="131">
        <f t="shared" si="55"/>
        <v>1</v>
      </c>
      <c r="U118" s="131">
        <f t="shared" si="55"/>
        <v>1</v>
      </c>
      <c r="V118" s="131">
        <f t="shared" si="55"/>
        <v>1</v>
      </c>
      <c r="W118" s="131">
        <f t="shared" si="55"/>
        <v>1</v>
      </c>
      <c r="X118" s="131">
        <f t="shared" si="55"/>
        <v>1</v>
      </c>
      <c r="Y118" s="131">
        <f t="shared" si="55"/>
        <v>1</v>
      </c>
      <c r="Z118" s="131">
        <f t="shared" si="55"/>
        <v>1</v>
      </c>
      <c r="AA118" s="131">
        <f t="shared" si="55"/>
        <v>1</v>
      </c>
      <c r="AB118" s="131">
        <f t="shared" si="55"/>
        <v>1</v>
      </c>
      <c r="AC118" s="131">
        <f t="shared" si="55"/>
        <v>1</v>
      </c>
      <c r="AD118" s="131">
        <f t="shared" si="55"/>
        <v>1</v>
      </c>
      <c r="AE118" s="131">
        <f t="shared" si="55"/>
        <v>1</v>
      </c>
      <c r="AF118" s="131">
        <f t="shared" si="55"/>
        <v>1</v>
      </c>
      <c r="AG118" s="131">
        <f t="shared" si="55"/>
        <v>1</v>
      </c>
      <c r="AH118" s="131">
        <f t="shared" si="55"/>
        <v>1</v>
      </c>
      <c r="AI118" s="131">
        <f t="shared" si="55"/>
        <v>1</v>
      </c>
      <c r="AJ118" s="131">
        <f t="shared" si="55"/>
        <v>1</v>
      </c>
      <c r="AK118" s="131">
        <f t="shared" si="55"/>
        <v>1</v>
      </c>
      <c r="AL118" s="131">
        <f t="shared" si="55"/>
        <v>1</v>
      </c>
      <c r="AM118" s="131">
        <f t="shared" si="55"/>
        <v>1</v>
      </c>
      <c r="AN118" s="131">
        <f t="shared" si="55"/>
        <v>1</v>
      </c>
      <c r="AO118" s="131">
        <f t="shared" si="55"/>
        <v>0.66564748587496514</v>
      </c>
      <c r="AP118" s="131">
        <f t="shared" si="55"/>
        <v>0.66569999999999996</v>
      </c>
      <c r="AQ118" s="131">
        <f t="shared" si="55"/>
        <v>0.66569999999999996</v>
      </c>
      <c r="AR118" s="131">
        <f t="shared" si="55"/>
        <v>0.66569999999999996</v>
      </c>
      <c r="AS118" s="131">
        <f t="shared" si="55"/>
        <v>0.66569999999999996</v>
      </c>
      <c r="AT118" s="131">
        <f t="shared" si="55"/>
        <v>0.66569999999999996</v>
      </c>
      <c r="AU118" s="131">
        <f t="shared" si="55"/>
        <v>0.66569999999999996</v>
      </c>
      <c r="AV118" s="131">
        <f t="shared" si="55"/>
        <v>0.66569999999999996</v>
      </c>
      <c r="AW118" s="131">
        <f t="shared" si="55"/>
        <v>0.66569999999999996</v>
      </c>
      <c r="AX118" s="131">
        <f t="shared" si="55"/>
        <v>0.66569999999999996</v>
      </c>
      <c r="AY118" s="131">
        <f t="shared" si="55"/>
        <v>0.66569999999999996</v>
      </c>
      <c r="AZ118" s="131">
        <f t="shared" si="55"/>
        <v>0.66569999999999996</v>
      </c>
      <c r="BA118" s="131">
        <f t="shared" si="55"/>
        <v>0.66569999999999996</v>
      </c>
      <c r="BB118" s="131">
        <f t="shared" si="55"/>
        <v>0.66569999999999996</v>
      </c>
      <c r="BC118" s="131">
        <f t="shared" si="55"/>
        <v>0.66569999999999996</v>
      </c>
      <c r="BD118" s="131">
        <f t="shared" si="55"/>
        <v>0.66569999999999996</v>
      </c>
      <c r="BE118" s="131">
        <f t="shared" si="55"/>
        <v>0.66569999999999996</v>
      </c>
      <c r="BF118" s="131">
        <f t="shared" si="55"/>
        <v>0.66569999999999996</v>
      </c>
      <c r="BG118" s="131">
        <f t="shared" si="55"/>
        <v>0.66569999999999996</v>
      </c>
      <c r="BH118" s="131">
        <f t="shared" si="55"/>
        <v>0.66569999999999996</v>
      </c>
      <c r="BI118" s="131">
        <f t="shared" si="55"/>
        <v>0.66569999999999996</v>
      </c>
      <c r="BJ118" s="131">
        <f t="shared" si="55"/>
        <v>0.66569999999999996</v>
      </c>
      <c r="BK118" s="131">
        <f t="shared" si="55"/>
        <v>0.66569999999999996</v>
      </c>
      <c r="BL118" s="131">
        <f t="shared" si="55"/>
        <v>0.66569999999999996</v>
      </c>
      <c r="BM118" s="131">
        <f t="shared" si="55"/>
        <v>0.66569999999999996</v>
      </c>
      <c r="BN118" s="131">
        <f t="shared" ref="BN118:BO121" si="59">IFERROR(BN166/BN70,"-")</f>
        <v>0.66569999999999996</v>
      </c>
      <c r="BO118" s="131">
        <f t="shared" si="59"/>
        <v>0.66569999999999996</v>
      </c>
      <c r="BP118" s="131">
        <v>0.66569999999999996</v>
      </c>
      <c r="BQ118" s="131">
        <v>0.66569999999999996</v>
      </c>
      <c r="BR118" s="131">
        <v>0.66569999999999996</v>
      </c>
      <c r="BS118" s="131">
        <v>0.66569999999999996</v>
      </c>
      <c r="BT118" s="131">
        <v>0.66569999999999996</v>
      </c>
      <c r="BU118" s="131">
        <v>0.66569999999999996</v>
      </c>
      <c r="BV118" s="131">
        <v>0.66569999999999996</v>
      </c>
      <c r="BW118" s="131">
        <v>0.66569999999999996</v>
      </c>
      <c r="BX118" s="131">
        <f t="shared" ref="BX118" si="60">IFERROR(BX166/BX70,"-")</f>
        <v>0.66569999999999996</v>
      </c>
      <c r="BY118" s="215"/>
      <c r="BZ118" s="215"/>
      <c r="CA118" s="215"/>
      <c r="CB118" s="215"/>
      <c r="CC118" s="215"/>
      <c r="CD118" s="215"/>
      <c r="CE118" s="215"/>
      <c r="CF118" s="215"/>
      <c r="CG118" s="215"/>
      <c r="CH118" s="215"/>
      <c r="CI118" s="215"/>
      <c r="CJ118" s="215"/>
      <c r="CK118" s="215"/>
      <c r="CL118" s="215"/>
      <c r="CM118" s="215"/>
      <c r="CN118" s="215"/>
      <c r="CO118" s="215"/>
      <c r="CP118" s="215"/>
      <c r="CQ118" s="215"/>
      <c r="CR118" s="215"/>
      <c r="CS118" s="215"/>
      <c r="CT118" s="215"/>
      <c r="CU118" s="215"/>
      <c r="CV118" s="215"/>
      <c r="CW118" s="215"/>
      <c r="CX118" s="215"/>
      <c r="CY118" s="215"/>
      <c r="CZ118" s="215"/>
      <c r="DA118" s="215"/>
      <c r="DB118" s="215"/>
      <c r="DC118" s="215"/>
    </row>
    <row r="119" spans="1:107" s="147" customFormat="1" ht="15" hidden="1" customHeight="1" outlineLevel="1">
      <c r="A119" t="s">
        <v>18</v>
      </c>
      <c r="B119" s="142" t="s">
        <v>29</v>
      </c>
      <c r="C119" s="131">
        <f t="shared" ref="C119:BN122" si="61">IFERROR(C167/C71,"-")</f>
        <v>1</v>
      </c>
      <c r="D119" s="131">
        <f t="shared" si="61"/>
        <v>1</v>
      </c>
      <c r="E119" s="131">
        <f t="shared" si="61"/>
        <v>1</v>
      </c>
      <c r="F119" s="131">
        <f t="shared" si="61"/>
        <v>1</v>
      </c>
      <c r="G119" s="131">
        <f t="shared" si="61"/>
        <v>1</v>
      </c>
      <c r="H119" s="131">
        <f t="shared" si="61"/>
        <v>1</v>
      </c>
      <c r="I119" s="131">
        <f t="shared" si="61"/>
        <v>1</v>
      </c>
      <c r="J119" s="131">
        <f t="shared" si="61"/>
        <v>1</v>
      </c>
      <c r="K119" s="131">
        <f t="shared" si="61"/>
        <v>1</v>
      </c>
      <c r="L119" s="131">
        <f t="shared" si="61"/>
        <v>1</v>
      </c>
      <c r="M119" s="131">
        <f t="shared" si="61"/>
        <v>1</v>
      </c>
      <c r="N119" s="131">
        <f t="shared" si="61"/>
        <v>1</v>
      </c>
      <c r="O119" s="131">
        <f t="shared" si="61"/>
        <v>1</v>
      </c>
      <c r="P119" s="131">
        <f t="shared" si="61"/>
        <v>1</v>
      </c>
      <c r="Q119" s="131">
        <f t="shared" si="61"/>
        <v>1</v>
      </c>
      <c r="R119" s="131">
        <f t="shared" si="61"/>
        <v>1</v>
      </c>
      <c r="S119" s="131">
        <f t="shared" si="61"/>
        <v>1</v>
      </c>
      <c r="T119" s="131">
        <f t="shared" si="61"/>
        <v>1</v>
      </c>
      <c r="U119" s="131">
        <f t="shared" si="61"/>
        <v>1</v>
      </c>
      <c r="V119" s="131">
        <f t="shared" si="61"/>
        <v>1</v>
      </c>
      <c r="W119" s="131">
        <f t="shared" si="61"/>
        <v>1</v>
      </c>
      <c r="X119" s="131">
        <f t="shared" si="61"/>
        <v>1</v>
      </c>
      <c r="Y119" s="131">
        <f t="shared" si="61"/>
        <v>1</v>
      </c>
      <c r="Z119" s="131">
        <f t="shared" si="61"/>
        <v>1</v>
      </c>
      <c r="AA119" s="131">
        <f t="shared" si="61"/>
        <v>1</v>
      </c>
      <c r="AB119" s="131">
        <f t="shared" si="61"/>
        <v>1</v>
      </c>
      <c r="AC119" s="131">
        <f t="shared" si="61"/>
        <v>1</v>
      </c>
      <c r="AD119" s="131">
        <f t="shared" si="61"/>
        <v>1</v>
      </c>
      <c r="AE119" s="131">
        <f t="shared" si="61"/>
        <v>1</v>
      </c>
      <c r="AF119" s="131">
        <f t="shared" si="61"/>
        <v>1</v>
      </c>
      <c r="AG119" s="131">
        <f t="shared" si="61"/>
        <v>1</v>
      </c>
      <c r="AH119" s="131">
        <f t="shared" si="61"/>
        <v>1</v>
      </c>
      <c r="AI119" s="131">
        <f t="shared" si="61"/>
        <v>1</v>
      </c>
      <c r="AJ119" s="131">
        <f t="shared" si="61"/>
        <v>1</v>
      </c>
      <c r="AK119" s="131">
        <f t="shared" si="61"/>
        <v>1</v>
      </c>
      <c r="AL119" s="131">
        <f t="shared" si="61"/>
        <v>1</v>
      </c>
      <c r="AM119" s="131">
        <f t="shared" si="61"/>
        <v>1</v>
      </c>
      <c r="AN119" s="131">
        <f t="shared" si="61"/>
        <v>1</v>
      </c>
      <c r="AO119" s="131">
        <f t="shared" si="61"/>
        <v>0.66567237699085979</v>
      </c>
      <c r="AP119" s="131">
        <f t="shared" si="61"/>
        <v>0.66569999999999996</v>
      </c>
      <c r="AQ119" s="131">
        <f t="shared" si="61"/>
        <v>0.66569999999999996</v>
      </c>
      <c r="AR119" s="131">
        <f t="shared" si="61"/>
        <v>0.66569999999999996</v>
      </c>
      <c r="AS119" s="131">
        <f t="shared" si="61"/>
        <v>0.66569999999999996</v>
      </c>
      <c r="AT119" s="131">
        <f t="shared" si="61"/>
        <v>0.66569999999999996</v>
      </c>
      <c r="AU119" s="131">
        <f t="shared" si="61"/>
        <v>0.66569999999999996</v>
      </c>
      <c r="AV119" s="131">
        <f t="shared" si="61"/>
        <v>0.66569999999999996</v>
      </c>
      <c r="AW119" s="131">
        <f t="shared" si="61"/>
        <v>0.66569999999999996</v>
      </c>
      <c r="AX119" s="131" t="str">
        <f t="shared" si="61"/>
        <v>-</v>
      </c>
      <c r="AY119" s="131" t="str">
        <f t="shared" si="61"/>
        <v>-</v>
      </c>
      <c r="AZ119" s="131" t="str">
        <f t="shared" si="61"/>
        <v>-</v>
      </c>
      <c r="BA119" s="131" t="str">
        <f t="shared" si="61"/>
        <v>-</v>
      </c>
      <c r="BB119" s="131" t="str">
        <f t="shared" si="61"/>
        <v>-</v>
      </c>
      <c r="BC119" s="131" t="str">
        <f t="shared" si="61"/>
        <v>-</v>
      </c>
      <c r="BD119" s="131" t="str">
        <f t="shared" si="61"/>
        <v>-</v>
      </c>
      <c r="BE119" s="131" t="str">
        <f t="shared" si="61"/>
        <v>-</v>
      </c>
      <c r="BF119" s="131" t="str">
        <f t="shared" si="61"/>
        <v>-</v>
      </c>
      <c r="BG119" s="131" t="str">
        <f t="shared" si="61"/>
        <v>-</v>
      </c>
      <c r="BH119" s="131" t="str">
        <f t="shared" si="61"/>
        <v>-</v>
      </c>
      <c r="BI119" s="131" t="str">
        <f t="shared" si="61"/>
        <v>-</v>
      </c>
      <c r="BJ119" s="131" t="str">
        <f t="shared" si="61"/>
        <v>-</v>
      </c>
      <c r="BK119" s="131" t="str">
        <f t="shared" si="61"/>
        <v>-</v>
      </c>
      <c r="BL119" s="131" t="str">
        <f t="shared" si="61"/>
        <v>-</v>
      </c>
      <c r="BM119" s="131" t="str">
        <f t="shared" si="61"/>
        <v>-</v>
      </c>
      <c r="BN119" s="131" t="str">
        <f t="shared" si="61"/>
        <v>-</v>
      </c>
      <c r="BO119" s="131" t="str">
        <f t="shared" si="59"/>
        <v>-</v>
      </c>
      <c r="BP119" s="131" t="s">
        <v>18</v>
      </c>
      <c r="BQ119" s="131" t="s">
        <v>18</v>
      </c>
      <c r="BR119" s="131" t="s">
        <v>18</v>
      </c>
      <c r="BS119" s="131" t="s">
        <v>18</v>
      </c>
      <c r="BT119" s="131" t="s">
        <v>18</v>
      </c>
      <c r="BU119" s="131" t="s">
        <v>18</v>
      </c>
      <c r="BV119" s="131" t="s">
        <v>18</v>
      </c>
      <c r="BW119" s="131" t="s">
        <v>18</v>
      </c>
      <c r="BX119" s="131" t="str">
        <f t="shared" ref="BX119" si="62">IFERROR(BX167/BX71,"-")</f>
        <v>-</v>
      </c>
      <c r="BY119" s="215"/>
      <c r="BZ119" s="215"/>
      <c r="CA119" s="215"/>
      <c r="CB119" s="215"/>
      <c r="CC119" s="215"/>
      <c r="CD119" s="215"/>
      <c r="CE119" s="215"/>
      <c r="CF119" s="215"/>
      <c r="CG119" s="215"/>
      <c r="CH119" s="215"/>
      <c r="CI119" s="215"/>
      <c r="CJ119" s="215"/>
      <c r="CK119" s="215"/>
      <c r="CL119" s="215"/>
      <c r="CM119" s="215"/>
      <c r="CN119" s="215"/>
      <c r="CO119" s="215"/>
      <c r="CP119" s="215"/>
      <c r="CQ119" s="215"/>
      <c r="CR119" s="215"/>
      <c r="CS119" s="215"/>
      <c r="CT119" s="215"/>
      <c r="CU119" s="215"/>
      <c r="CV119" s="215"/>
      <c r="CW119" s="215"/>
      <c r="CX119" s="215"/>
      <c r="CY119" s="215"/>
      <c r="CZ119" s="215"/>
      <c r="DA119" s="215"/>
      <c r="DB119" s="215"/>
      <c r="DC119" s="215"/>
    </row>
    <row r="120" spans="1:107" s="147" customFormat="1" ht="15" hidden="1" customHeight="1" outlineLevel="1">
      <c r="A120" t="s">
        <v>238</v>
      </c>
      <c r="B120" s="142" t="s">
        <v>9</v>
      </c>
      <c r="C120" s="131">
        <f t="shared" si="61"/>
        <v>0.49999999999999989</v>
      </c>
      <c r="D120" s="131">
        <f t="shared" si="61"/>
        <v>0.49999999999999989</v>
      </c>
      <c r="E120" s="131">
        <f t="shared" si="61"/>
        <v>0.49999999999999989</v>
      </c>
      <c r="F120" s="131">
        <f t="shared" si="61"/>
        <v>0.49999999999999989</v>
      </c>
      <c r="G120" s="131">
        <f t="shared" si="61"/>
        <v>0.49999999999999989</v>
      </c>
      <c r="H120" s="131">
        <f t="shared" si="61"/>
        <v>0.49999999999999989</v>
      </c>
      <c r="I120" s="131">
        <f t="shared" si="61"/>
        <v>0.49999999999999989</v>
      </c>
      <c r="J120" s="131">
        <f t="shared" si="61"/>
        <v>0.49999999999999989</v>
      </c>
      <c r="K120" s="131">
        <f t="shared" si="61"/>
        <v>0.49999999999999989</v>
      </c>
      <c r="L120" s="131">
        <f t="shared" si="61"/>
        <v>0.49999999999999989</v>
      </c>
      <c r="M120" s="131">
        <f t="shared" si="61"/>
        <v>0.49999999999999989</v>
      </c>
      <c r="N120" s="131">
        <f t="shared" si="61"/>
        <v>0.49999999999999989</v>
      </c>
      <c r="O120" s="131">
        <f t="shared" si="61"/>
        <v>0.49999999999999989</v>
      </c>
      <c r="P120" s="131">
        <f t="shared" si="61"/>
        <v>0.49999999999999989</v>
      </c>
      <c r="Q120" s="131">
        <f t="shared" si="61"/>
        <v>0.49999999999999989</v>
      </c>
      <c r="R120" s="131">
        <f t="shared" si="61"/>
        <v>0.49999999999999989</v>
      </c>
      <c r="S120" s="131">
        <f t="shared" si="61"/>
        <v>0.49999999999999989</v>
      </c>
      <c r="T120" s="131">
        <f t="shared" si="61"/>
        <v>0.49999999999999989</v>
      </c>
      <c r="U120" s="131">
        <f t="shared" si="61"/>
        <v>0.49999999999999989</v>
      </c>
      <c r="V120" s="131">
        <f t="shared" si="61"/>
        <v>0.49999999999999989</v>
      </c>
      <c r="W120" s="131">
        <f t="shared" si="61"/>
        <v>0.49999999999999989</v>
      </c>
      <c r="X120" s="131">
        <f t="shared" si="61"/>
        <v>0.49999999999999989</v>
      </c>
      <c r="Y120" s="131">
        <f t="shared" si="61"/>
        <v>0.49999999999999989</v>
      </c>
      <c r="Z120" s="131">
        <f t="shared" si="61"/>
        <v>0.49999999999999989</v>
      </c>
      <c r="AA120" s="131">
        <f t="shared" si="61"/>
        <v>0.49999999999999989</v>
      </c>
      <c r="AB120" s="131">
        <f t="shared" si="61"/>
        <v>0.49999999999999989</v>
      </c>
      <c r="AC120" s="131">
        <f t="shared" si="61"/>
        <v>0.49999999999999989</v>
      </c>
      <c r="AD120" s="131">
        <f t="shared" si="61"/>
        <v>0.49999999999999989</v>
      </c>
      <c r="AE120" s="131">
        <f t="shared" si="61"/>
        <v>0.49999999999999989</v>
      </c>
      <c r="AF120" s="131">
        <f t="shared" si="61"/>
        <v>0.49999999999999989</v>
      </c>
      <c r="AG120" s="131">
        <f t="shared" si="61"/>
        <v>0.49999999999999989</v>
      </c>
      <c r="AH120" s="131">
        <f t="shared" si="61"/>
        <v>0.49999999999999989</v>
      </c>
      <c r="AI120" s="131">
        <f t="shared" si="61"/>
        <v>0.49999999999999989</v>
      </c>
      <c r="AJ120" s="131">
        <f t="shared" si="61"/>
        <v>0.49999999999999989</v>
      </c>
      <c r="AK120" s="131">
        <f t="shared" si="61"/>
        <v>0.49999999999999989</v>
      </c>
      <c r="AL120" s="131" t="str">
        <f t="shared" si="61"/>
        <v>-</v>
      </c>
      <c r="AM120" s="131" t="str">
        <f t="shared" si="61"/>
        <v>-</v>
      </c>
      <c r="AN120" s="131" t="str">
        <f t="shared" si="61"/>
        <v>-</v>
      </c>
      <c r="AO120" s="131" t="str">
        <f t="shared" si="61"/>
        <v>-</v>
      </c>
      <c r="AP120" s="131" t="str">
        <f t="shared" si="61"/>
        <v>-</v>
      </c>
      <c r="AQ120" s="131" t="str">
        <f t="shared" si="61"/>
        <v>-</v>
      </c>
      <c r="AR120" s="131" t="str">
        <f t="shared" si="61"/>
        <v>-</v>
      </c>
      <c r="AS120" s="131" t="str">
        <f t="shared" si="61"/>
        <v>-</v>
      </c>
      <c r="AT120" s="131" t="str">
        <f t="shared" si="61"/>
        <v>-</v>
      </c>
      <c r="AU120" s="131">
        <f t="shared" si="61"/>
        <v>0.50000283419933877</v>
      </c>
      <c r="AV120" s="131" t="str">
        <f t="shared" si="61"/>
        <v>-</v>
      </c>
      <c r="AW120" s="131">
        <f t="shared" si="61"/>
        <v>0.50004997501249371</v>
      </c>
      <c r="AX120" s="131">
        <f t="shared" si="61"/>
        <v>0.50000299850074958</v>
      </c>
      <c r="AY120" s="131">
        <f t="shared" si="61"/>
        <v>0.50000299850074958</v>
      </c>
      <c r="AZ120" s="131">
        <f t="shared" si="61"/>
        <v>0.50000299850074958</v>
      </c>
      <c r="BA120" s="131">
        <f t="shared" si="61"/>
        <v>0.50000299850074958</v>
      </c>
      <c r="BB120" s="131">
        <f t="shared" si="61"/>
        <v>0.50000299850074958</v>
      </c>
      <c r="BC120" s="131">
        <f t="shared" si="61"/>
        <v>0.5</v>
      </c>
      <c r="BD120" s="131">
        <f t="shared" si="61"/>
        <v>0.5</v>
      </c>
      <c r="BE120" s="131">
        <f t="shared" si="61"/>
        <v>0.5</v>
      </c>
      <c r="BF120" s="131">
        <f t="shared" si="61"/>
        <v>0.50000299850074958</v>
      </c>
      <c r="BG120" s="131">
        <f t="shared" si="61"/>
        <v>0.5</v>
      </c>
      <c r="BH120" s="131">
        <f t="shared" si="61"/>
        <v>0.5</v>
      </c>
      <c r="BI120" s="131">
        <f t="shared" si="61"/>
        <v>0.5</v>
      </c>
      <c r="BJ120" s="131">
        <f t="shared" si="61"/>
        <v>0.5</v>
      </c>
      <c r="BK120" s="131">
        <f t="shared" si="61"/>
        <v>0.5</v>
      </c>
      <c r="BL120" s="131">
        <f t="shared" si="61"/>
        <v>0.5</v>
      </c>
      <c r="BM120" s="131">
        <f t="shared" si="61"/>
        <v>0.5</v>
      </c>
      <c r="BN120" s="131">
        <f t="shared" si="61"/>
        <v>0.5</v>
      </c>
      <c r="BO120" s="131">
        <f t="shared" si="59"/>
        <v>0.5</v>
      </c>
      <c r="BP120" s="131">
        <v>0.5</v>
      </c>
      <c r="BQ120" s="131">
        <v>0.5</v>
      </c>
      <c r="BR120" s="131">
        <v>0.5</v>
      </c>
      <c r="BS120" s="131">
        <v>1</v>
      </c>
      <c r="BT120" s="131">
        <v>1</v>
      </c>
      <c r="BU120" s="131">
        <v>1</v>
      </c>
      <c r="BV120" s="131" t="s">
        <v>18</v>
      </c>
      <c r="BW120" s="131" t="s">
        <v>18</v>
      </c>
      <c r="BX120" s="131" t="str">
        <f t="shared" ref="BX120" si="63">IFERROR(BX168/BX72,"-")</f>
        <v>-</v>
      </c>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row>
    <row r="121" spans="1:107" s="147" customFormat="1" ht="15" hidden="1" customHeight="1" outlineLevel="1">
      <c r="A121" t="s">
        <v>239</v>
      </c>
      <c r="B121" s="142" t="s">
        <v>10</v>
      </c>
      <c r="C121" s="131">
        <f t="shared" si="61"/>
        <v>1</v>
      </c>
      <c r="D121" s="131">
        <f t="shared" si="61"/>
        <v>1</v>
      </c>
      <c r="E121" s="131">
        <f t="shared" si="61"/>
        <v>1</v>
      </c>
      <c r="F121" s="131">
        <f t="shared" si="61"/>
        <v>1</v>
      </c>
      <c r="G121" s="131">
        <f t="shared" si="61"/>
        <v>1</v>
      </c>
      <c r="H121" s="131">
        <f t="shared" si="61"/>
        <v>1</v>
      </c>
      <c r="I121" s="131">
        <f t="shared" si="61"/>
        <v>1</v>
      </c>
      <c r="J121" s="131">
        <f t="shared" si="61"/>
        <v>1</v>
      </c>
      <c r="K121" s="131">
        <f t="shared" si="61"/>
        <v>1</v>
      </c>
      <c r="L121" s="131">
        <f t="shared" si="61"/>
        <v>1</v>
      </c>
      <c r="M121" s="131">
        <f t="shared" si="61"/>
        <v>1</v>
      </c>
      <c r="N121" s="131">
        <f t="shared" si="61"/>
        <v>1</v>
      </c>
      <c r="O121" s="131">
        <f t="shared" si="61"/>
        <v>1</v>
      </c>
      <c r="P121" s="131">
        <f t="shared" si="61"/>
        <v>1</v>
      </c>
      <c r="Q121" s="131">
        <f t="shared" si="61"/>
        <v>1</v>
      </c>
      <c r="R121" s="131">
        <f t="shared" si="61"/>
        <v>1</v>
      </c>
      <c r="S121" s="131">
        <f t="shared" si="61"/>
        <v>1</v>
      </c>
      <c r="T121" s="131">
        <f t="shared" si="61"/>
        <v>1</v>
      </c>
      <c r="U121" s="131">
        <f t="shared" si="61"/>
        <v>1</v>
      </c>
      <c r="V121" s="131">
        <f t="shared" si="61"/>
        <v>1</v>
      </c>
      <c r="W121" s="131">
        <f t="shared" si="61"/>
        <v>1</v>
      </c>
      <c r="X121" s="131">
        <f t="shared" si="61"/>
        <v>1</v>
      </c>
      <c r="Y121" s="131">
        <f t="shared" si="61"/>
        <v>1</v>
      </c>
      <c r="Z121" s="131">
        <f t="shared" si="61"/>
        <v>1</v>
      </c>
      <c r="AA121" s="131">
        <f t="shared" si="61"/>
        <v>1</v>
      </c>
      <c r="AB121" s="131">
        <f t="shared" si="61"/>
        <v>1</v>
      </c>
      <c r="AC121" s="131">
        <f t="shared" si="61"/>
        <v>1</v>
      </c>
      <c r="AD121" s="131">
        <f t="shared" si="61"/>
        <v>1</v>
      </c>
      <c r="AE121" s="131">
        <f t="shared" si="61"/>
        <v>1</v>
      </c>
      <c r="AF121" s="131">
        <f t="shared" si="61"/>
        <v>1</v>
      </c>
      <c r="AG121" s="131">
        <f t="shared" si="61"/>
        <v>1</v>
      </c>
      <c r="AH121" s="131">
        <f t="shared" si="61"/>
        <v>1</v>
      </c>
      <c r="AI121" s="131">
        <f t="shared" si="61"/>
        <v>1</v>
      </c>
      <c r="AJ121" s="131">
        <f t="shared" si="61"/>
        <v>1</v>
      </c>
      <c r="AK121" s="131">
        <f t="shared" si="61"/>
        <v>1</v>
      </c>
      <c r="AL121" s="131">
        <f t="shared" si="61"/>
        <v>1</v>
      </c>
      <c r="AM121" s="131">
        <f t="shared" si="61"/>
        <v>1</v>
      </c>
      <c r="AN121" s="131">
        <f t="shared" si="61"/>
        <v>1</v>
      </c>
      <c r="AO121" s="131">
        <f t="shared" si="61"/>
        <v>0.66543743942509992</v>
      </c>
      <c r="AP121" s="131">
        <f t="shared" si="61"/>
        <v>0.66569999999999996</v>
      </c>
      <c r="AQ121" s="131">
        <f t="shared" si="61"/>
        <v>0.66569999999999996</v>
      </c>
      <c r="AR121" s="131">
        <f t="shared" si="61"/>
        <v>0.66569999999999996</v>
      </c>
      <c r="AS121" s="131">
        <f t="shared" si="61"/>
        <v>0.66569999999999996</v>
      </c>
      <c r="AT121" s="131">
        <f t="shared" si="61"/>
        <v>0.66569999999999996</v>
      </c>
      <c r="AU121" s="131">
        <f t="shared" si="61"/>
        <v>0.66569999999999996</v>
      </c>
      <c r="AV121" s="131">
        <f t="shared" si="61"/>
        <v>0.66569999999999996</v>
      </c>
      <c r="AW121" s="131">
        <f t="shared" si="61"/>
        <v>0.66569999999999996</v>
      </c>
      <c r="AX121" s="131">
        <f t="shared" si="61"/>
        <v>0.66569999999999996</v>
      </c>
      <c r="AY121" s="131">
        <f t="shared" si="61"/>
        <v>0.66569999999999996</v>
      </c>
      <c r="AZ121" s="131">
        <f t="shared" si="61"/>
        <v>0.66569999999999996</v>
      </c>
      <c r="BA121" s="131">
        <f t="shared" si="61"/>
        <v>0.66569999999999996</v>
      </c>
      <c r="BB121" s="131">
        <f t="shared" si="61"/>
        <v>0.66569999999999996</v>
      </c>
      <c r="BC121" s="131">
        <f t="shared" si="61"/>
        <v>0.66569999999999996</v>
      </c>
      <c r="BD121" s="131">
        <f t="shared" si="61"/>
        <v>0.66569999999999996</v>
      </c>
      <c r="BE121" s="131">
        <f t="shared" si="61"/>
        <v>0.66569999999999996</v>
      </c>
      <c r="BF121" s="131">
        <f t="shared" si="61"/>
        <v>0.66569999999999996</v>
      </c>
      <c r="BG121" s="131">
        <f t="shared" si="61"/>
        <v>0.66569999999999996</v>
      </c>
      <c r="BH121" s="131">
        <f t="shared" si="61"/>
        <v>0.66569999999999996</v>
      </c>
      <c r="BI121" s="131">
        <f t="shared" si="61"/>
        <v>0.66569999999999996</v>
      </c>
      <c r="BJ121" s="131">
        <f t="shared" si="61"/>
        <v>0.66569999999999996</v>
      </c>
      <c r="BK121" s="131">
        <f t="shared" si="61"/>
        <v>0.66569999999999996</v>
      </c>
      <c r="BL121" s="131">
        <f t="shared" si="61"/>
        <v>0.66569999999999996</v>
      </c>
      <c r="BM121" s="131">
        <f t="shared" si="61"/>
        <v>0.66569999999999996</v>
      </c>
      <c r="BN121" s="131">
        <f t="shared" si="61"/>
        <v>0.66569999999999996</v>
      </c>
      <c r="BO121" s="131">
        <f t="shared" si="59"/>
        <v>0.66569999999999996</v>
      </c>
      <c r="BP121" s="131">
        <v>0.66569999999999996</v>
      </c>
      <c r="BQ121" s="131">
        <v>0.66569999999999996</v>
      </c>
      <c r="BR121" s="131">
        <v>0.66569999999999996</v>
      </c>
      <c r="BS121" s="131">
        <v>0.66569999999999996</v>
      </c>
      <c r="BT121" s="131">
        <v>0.66569999999999996</v>
      </c>
      <c r="BU121" s="131">
        <v>0.66569999999999996</v>
      </c>
      <c r="BV121" s="131">
        <v>0.66569999999999996</v>
      </c>
      <c r="BW121" s="131">
        <v>0.66569999999999996</v>
      </c>
      <c r="BX121" s="131">
        <f t="shared" ref="BX121" si="64">IFERROR(BX169/BX73,"-")</f>
        <v>0.66569999999999996</v>
      </c>
      <c r="BY121" s="215"/>
      <c r="BZ121" s="215"/>
      <c r="CA121" s="215"/>
      <c r="CB121" s="215"/>
      <c r="CC121" s="215"/>
      <c r="CD121" s="215"/>
      <c r="CE121" s="215"/>
      <c r="CF121" s="215"/>
      <c r="CG121" s="215"/>
      <c r="CH121" s="215"/>
      <c r="CI121" s="215"/>
      <c r="CJ121" s="215"/>
      <c r="CK121" s="215"/>
      <c r="CL121" s="215"/>
      <c r="CM121" s="215"/>
      <c r="CN121" s="215"/>
      <c r="CO121" s="215"/>
      <c r="CP121" s="215"/>
      <c r="CQ121" s="215"/>
      <c r="CR121" s="215"/>
      <c r="CS121" s="215"/>
      <c r="CT121" s="215"/>
      <c r="CU121" s="215"/>
      <c r="CV121" s="215"/>
      <c r="CW121" s="215"/>
      <c r="CX121" s="215"/>
      <c r="CY121" s="215"/>
      <c r="CZ121" s="215"/>
      <c r="DA121" s="215"/>
      <c r="DB121" s="215"/>
      <c r="DC121" s="215"/>
    </row>
    <row r="122" spans="1:107" s="147" customFormat="1" ht="15" hidden="1" customHeight="1" outlineLevel="1">
      <c r="A122" t="s">
        <v>240</v>
      </c>
      <c r="B122" s="142" t="s">
        <v>11</v>
      </c>
      <c r="C122" s="131" t="str">
        <f t="shared" si="61"/>
        <v>-</v>
      </c>
      <c r="D122" s="131">
        <f t="shared" si="61"/>
        <v>1</v>
      </c>
      <c r="E122" s="131">
        <f t="shared" si="61"/>
        <v>1</v>
      </c>
      <c r="F122" s="131">
        <f t="shared" si="61"/>
        <v>1</v>
      </c>
      <c r="G122" s="131">
        <f t="shared" si="61"/>
        <v>1</v>
      </c>
      <c r="H122" s="131">
        <f t="shared" si="61"/>
        <v>1</v>
      </c>
      <c r="I122" s="131">
        <f t="shared" si="61"/>
        <v>1</v>
      </c>
      <c r="J122" s="131">
        <f t="shared" si="61"/>
        <v>1</v>
      </c>
      <c r="K122" s="131">
        <f t="shared" si="61"/>
        <v>1</v>
      </c>
      <c r="L122" s="131">
        <f t="shared" si="61"/>
        <v>1</v>
      </c>
      <c r="M122" s="131">
        <f t="shared" si="61"/>
        <v>1</v>
      </c>
      <c r="N122" s="131">
        <f t="shared" si="61"/>
        <v>1</v>
      </c>
      <c r="O122" s="131">
        <f t="shared" si="61"/>
        <v>1</v>
      </c>
      <c r="P122" s="131">
        <f t="shared" si="61"/>
        <v>1</v>
      </c>
      <c r="Q122" s="131">
        <f t="shared" si="61"/>
        <v>1</v>
      </c>
      <c r="R122" s="131">
        <f t="shared" si="61"/>
        <v>1</v>
      </c>
      <c r="S122" s="131">
        <f t="shared" si="61"/>
        <v>1</v>
      </c>
      <c r="T122" s="131">
        <f t="shared" si="61"/>
        <v>1</v>
      </c>
      <c r="U122" s="131">
        <f t="shared" si="61"/>
        <v>1</v>
      </c>
      <c r="V122" s="131">
        <f t="shared" si="61"/>
        <v>1</v>
      </c>
      <c r="W122" s="131">
        <f t="shared" si="61"/>
        <v>1</v>
      </c>
      <c r="X122" s="131">
        <f t="shared" si="61"/>
        <v>1</v>
      </c>
      <c r="Y122" s="131">
        <f t="shared" si="61"/>
        <v>1</v>
      </c>
      <c r="Z122" s="131">
        <f t="shared" si="61"/>
        <v>1</v>
      </c>
      <c r="AA122" s="131">
        <f t="shared" si="61"/>
        <v>1</v>
      </c>
      <c r="AB122" s="131">
        <f t="shared" si="61"/>
        <v>1</v>
      </c>
      <c r="AC122" s="131">
        <f t="shared" si="61"/>
        <v>1</v>
      </c>
      <c r="AD122" s="131">
        <f t="shared" si="61"/>
        <v>1</v>
      </c>
      <c r="AE122" s="131">
        <f t="shared" si="61"/>
        <v>1</v>
      </c>
      <c r="AF122" s="131">
        <f t="shared" si="61"/>
        <v>1</v>
      </c>
      <c r="AG122" s="131">
        <f t="shared" si="61"/>
        <v>1</v>
      </c>
      <c r="AH122" s="131">
        <f t="shared" si="61"/>
        <v>1</v>
      </c>
      <c r="AI122" s="131">
        <f t="shared" si="61"/>
        <v>1</v>
      </c>
      <c r="AJ122" s="131">
        <f t="shared" si="61"/>
        <v>1</v>
      </c>
      <c r="AK122" s="131">
        <f t="shared" si="61"/>
        <v>1</v>
      </c>
      <c r="AL122" s="131">
        <f t="shared" si="61"/>
        <v>1</v>
      </c>
      <c r="AM122" s="131">
        <f t="shared" si="61"/>
        <v>1</v>
      </c>
      <c r="AN122" s="131">
        <f t="shared" si="61"/>
        <v>1</v>
      </c>
      <c r="AO122" s="131">
        <f t="shared" si="61"/>
        <v>0.6657142857142857</v>
      </c>
      <c r="AP122" s="131">
        <f t="shared" si="61"/>
        <v>0.66569999999999996</v>
      </c>
      <c r="AQ122" s="131">
        <f t="shared" si="61"/>
        <v>0.66569999999999996</v>
      </c>
      <c r="AR122" s="131">
        <f t="shared" si="61"/>
        <v>0.66569999999999996</v>
      </c>
      <c r="AS122" s="131">
        <f t="shared" si="61"/>
        <v>0.66569999999999996</v>
      </c>
      <c r="AT122" s="131">
        <f t="shared" si="61"/>
        <v>0.66569999999999996</v>
      </c>
      <c r="AU122" s="131">
        <f t="shared" si="61"/>
        <v>0.66569999999999996</v>
      </c>
      <c r="AV122" s="131">
        <f t="shared" si="61"/>
        <v>0.66569999999999996</v>
      </c>
      <c r="AW122" s="131">
        <f t="shared" si="61"/>
        <v>0.66569999999999996</v>
      </c>
      <c r="AX122" s="131">
        <f t="shared" si="61"/>
        <v>0.66569999999999996</v>
      </c>
      <c r="AY122" s="131">
        <f t="shared" si="61"/>
        <v>0.66569999999999996</v>
      </c>
      <c r="AZ122" s="131">
        <f t="shared" si="61"/>
        <v>0.66569999999999996</v>
      </c>
      <c r="BA122" s="131">
        <f t="shared" si="61"/>
        <v>0.66569999999999996</v>
      </c>
      <c r="BB122" s="131">
        <f t="shared" si="61"/>
        <v>0.66569999999999996</v>
      </c>
      <c r="BC122" s="131">
        <f t="shared" si="61"/>
        <v>0.66569999999999996</v>
      </c>
      <c r="BD122" s="131">
        <f t="shared" si="61"/>
        <v>0.66569999999999996</v>
      </c>
      <c r="BE122" s="131">
        <f t="shared" si="61"/>
        <v>0.66569999999999996</v>
      </c>
      <c r="BF122" s="131">
        <f t="shared" si="61"/>
        <v>0.66569999999999996</v>
      </c>
      <c r="BG122" s="131">
        <f t="shared" si="61"/>
        <v>0.66569999999999996</v>
      </c>
      <c r="BH122" s="131">
        <f t="shared" si="61"/>
        <v>0.66569999999999996</v>
      </c>
      <c r="BI122" s="131">
        <f t="shared" si="61"/>
        <v>0.66569999999999996</v>
      </c>
      <c r="BJ122" s="131">
        <f t="shared" si="61"/>
        <v>0.66569999999999996</v>
      </c>
      <c r="BK122" s="131">
        <f t="shared" si="61"/>
        <v>0.66569999999999996</v>
      </c>
      <c r="BL122" s="131">
        <f t="shared" si="61"/>
        <v>0.66569999999999996</v>
      </c>
      <c r="BM122" s="131">
        <f t="shared" si="61"/>
        <v>0.66569999999999996</v>
      </c>
      <c r="BN122" s="131" t="str">
        <f t="shared" ref="BN122:BO125" si="65">IFERROR(BN170/BN74,"-")</f>
        <v>-</v>
      </c>
      <c r="BO122" s="131" t="str">
        <f t="shared" si="65"/>
        <v>-</v>
      </c>
      <c r="BP122" s="131" t="s">
        <v>18</v>
      </c>
      <c r="BQ122" s="131" t="s">
        <v>18</v>
      </c>
      <c r="BR122" s="131" t="s">
        <v>18</v>
      </c>
      <c r="BS122" s="131" t="s">
        <v>18</v>
      </c>
      <c r="BT122" s="131" t="s">
        <v>18</v>
      </c>
      <c r="BU122" s="131" t="s">
        <v>18</v>
      </c>
      <c r="BV122" s="131" t="s">
        <v>18</v>
      </c>
      <c r="BW122" s="131" t="s">
        <v>18</v>
      </c>
      <c r="BX122" s="131" t="str">
        <f t="shared" ref="BX122" si="66">IFERROR(BX170/BX74,"-")</f>
        <v>-</v>
      </c>
      <c r="BY122" s="215"/>
      <c r="BZ122" s="215"/>
      <c r="CA122" s="215"/>
      <c r="CB122" s="215"/>
      <c r="CC122" s="215"/>
      <c r="CD122" s="215"/>
      <c r="CE122" s="215"/>
      <c r="CF122" s="215"/>
      <c r="CG122" s="215"/>
      <c r="CH122" s="215"/>
      <c r="CI122" s="215"/>
      <c r="CJ122" s="215"/>
      <c r="CK122" s="215"/>
      <c r="CL122" s="215"/>
      <c r="CM122" s="215"/>
      <c r="CN122" s="215"/>
      <c r="CO122" s="215"/>
      <c r="CP122" s="215"/>
      <c r="CQ122" s="215"/>
      <c r="CR122" s="215"/>
      <c r="CS122" s="215"/>
      <c r="CT122" s="215"/>
      <c r="CU122" s="215"/>
      <c r="CV122" s="215"/>
      <c r="CW122" s="215"/>
      <c r="CX122" s="215"/>
      <c r="CY122" s="215"/>
      <c r="CZ122" s="215"/>
      <c r="DA122" s="215"/>
      <c r="DB122" s="215"/>
      <c r="DC122" s="215"/>
    </row>
    <row r="123" spans="1:107" s="147" customFormat="1" ht="15" hidden="1" customHeight="1" outlineLevel="1">
      <c r="A123" t="s">
        <v>18</v>
      </c>
      <c r="B123" s="142" t="s">
        <v>8</v>
      </c>
      <c r="C123" s="131">
        <f t="shared" ref="C123:BN126" si="67">IFERROR(C171/C75,"-")</f>
        <v>1</v>
      </c>
      <c r="D123" s="131">
        <f t="shared" si="67"/>
        <v>1</v>
      </c>
      <c r="E123" s="131">
        <f t="shared" si="67"/>
        <v>1</v>
      </c>
      <c r="F123" s="131">
        <f t="shared" si="67"/>
        <v>1</v>
      </c>
      <c r="G123" s="131">
        <f t="shared" si="67"/>
        <v>1</v>
      </c>
      <c r="H123" s="131">
        <f t="shared" si="67"/>
        <v>1</v>
      </c>
      <c r="I123" s="131">
        <f t="shared" si="67"/>
        <v>1</v>
      </c>
      <c r="J123" s="131">
        <f t="shared" si="67"/>
        <v>1</v>
      </c>
      <c r="K123" s="131">
        <f t="shared" si="67"/>
        <v>1</v>
      </c>
      <c r="L123" s="131">
        <f t="shared" si="67"/>
        <v>1</v>
      </c>
      <c r="M123" s="131">
        <f t="shared" si="67"/>
        <v>1</v>
      </c>
      <c r="N123" s="131">
        <f t="shared" si="67"/>
        <v>1</v>
      </c>
      <c r="O123" s="131">
        <f t="shared" si="67"/>
        <v>1</v>
      </c>
      <c r="P123" s="131">
        <f t="shared" si="67"/>
        <v>1</v>
      </c>
      <c r="Q123" s="131">
        <f t="shared" si="67"/>
        <v>1</v>
      </c>
      <c r="R123" s="131">
        <f t="shared" si="67"/>
        <v>1</v>
      </c>
      <c r="S123" s="131">
        <f t="shared" si="67"/>
        <v>1</v>
      </c>
      <c r="T123" s="131">
        <f t="shared" si="67"/>
        <v>1</v>
      </c>
      <c r="U123" s="131">
        <f t="shared" si="67"/>
        <v>1</v>
      </c>
      <c r="V123" s="131">
        <f t="shared" si="67"/>
        <v>1</v>
      </c>
      <c r="W123" s="131">
        <f t="shared" si="67"/>
        <v>1</v>
      </c>
      <c r="X123" s="131">
        <f t="shared" si="67"/>
        <v>1</v>
      </c>
      <c r="Y123" s="131">
        <f t="shared" si="67"/>
        <v>1</v>
      </c>
      <c r="Z123" s="131">
        <f t="shared" si="67"/>
        <v>1</v>
      </c>
      <c r="AA123" s="131">
        <f t="shared" si="67"/>
        <v>1</v>
      </c>
      <c r="AB123" s="131">
        <f t="shared" si="67"/>
        <v>1</v>
      </c>
      <c r="AC123" s="131">
        <f t="shared" si="67"/>
        <v>1</v>
      </c>
      <c r="AD123" s="131">
        <f t="shared" si="67"/>
        <v>1</v>
      </c>
      <c r="AE123" s="131">
        <f t="shared" si="67"/>
        <v>1</v>
      </c>
      <c r="AF123" s="131" t="str">
        <f t="shared" si="67"/>
        <v>-</v>
      </c>
      <c r="AG123" s="131" t="str">
        <f t="shared" si="67"/>
        <v>-</v>
      </c>
      <c r="AH123" s="131" t="str">
        <f t="shared" si="67"/>
        <v>-</v>
      </c>
      <c r="AI123" s="131" t="str">
        <f t="shared" si="67"/>
        <v>-</v>
      </c>
      <c r="AJ123" s="131" t="str">
        <f t="shared" si="67"/>
        <v>-</v>
      </c>
      <c r="AK123" s="131" t="str">
        <f t="shared" si="67"/>
        <v>-</v>
      </c>
      <c r="AL123" s="131" t="str">
        <f t="shared" si="67"/>
        <v>-</v>
      </c>
      <c r="AM123" s="131" t="str">
        <f t="shared" si="67"/>
        <v>-</v>
      </c>
      <c r="AN123" s="131" t="str">
        <f t="shared" si="67"/>
        <v>-</v>
      </c>
      <c r="AO123" s="131" t="str">
        <f t="shared" si="67"/>
        <v>-</v>
      </c>
      <c r="AP123" s="131" t="str">
        <f t="shared" si="67"/>
        <v>-</v>
      </c>
      <c r="AQ123" s="131" t="str">
        <f t="shared" si="67"/>
        <v>-</v>
      </c>
      <c r="AR123" s="131" t="str">
        <f t="shared" si="67"/>
        <v>-</v>
      </c>
      <c r="AS123" s="131" t="str">
        <f t="shared" si="67"/>
        <v>-</v>
      </c>
      <c r="AT123" s="131" t="str">
        <f t="shared" si="67"/>
        <v>-</v>
      </c>
      <c r="AU123" s="131" t="str">
        <f t="shared" si="67"/>
        <v>-</v>
      </c>
      <c r="AV123" s="131" t="str">
        <f t="shared" si="67"/>
        <v>-</v>
      </c>
      <c r="AW123" s="131" t="str">
        <f t="shared" si="67"/>
        <v>-</v>
      </c>
      <c r="AX123" s="131" t="str">
        <f t="shared" si="67"/>
        <v>-</v>
      </c>
      <c r="AY123" s="131" t="str">
        <f t="shared" si="67"/>
        <v>-</v>
      </c>
      <c r="AZ123" s="131" t="str">
        <f t="shared" si="67"/>
        <v>-</v>
      </c>
      <c r="BA123" s="131" t="str">
        <f t="shared" si="67"/>
        <v>-</v>
      </c>
      <c r="BB123" s="131" t="str">
        <f t="shared" si="67"/>
        <v>-</v>
      </c>
      <c r="BC123" s="131" t="str">
        <f t="shared" si="67"/>
        <v>-</v>
      </c>
      <c r="BD123" s="131" t="str">
        <f t="shared" si="67"/>
        <v>-</v>
      </c>
      <c r="BE123" s="131" t="str">
        <f t="shared" si="67"/>
        <v>-</v>
      </c>
      <c r="BF123" s="131" t="str">
        <f t="shared" si="67"/>
        <v>-</v>
      </c>
      <c r="BG123" s="131" t="str">
        <f t="shared" si="67"/>
        <v>-</v>
      </c>
      <c r="BH123" s="131" t="str">
        <f t="shared" si="67"/>
        <v>-</v>
      </c>
      <c r="BI123" s="131" t="str">
        <f t="shared" si="67"/>
        <v>-</v>
      </c>
      <c r="BJ123" s="131" t="str">
        <f t="shared" si="67"/>
        <v>-</v>
      </c>
      <c r="BK123" s="131" t="str">
        <f t="shared" si="67"/>
        <v>-</v>
      </c>
      <c r="BL123" s="131" t="str">
        <f t="shared" si="67"/>
        <v>-</v>
      </c>
      <c r="BM123" s="131" t="str">
        <f t="shared" si="67"/>
        <v>-</v>
      </c>
      <c r="BN123" s="131" t="str">
        <f t="shared" si="67"/>
        <v>-</v>
      </c>
      <c r="BO123" s="131" t="str">
        <f t="shared" si="65"/>
        <v>-</v>
      </c>
      <c r="BP123" s="131" t="s">
        <v>18</v>
      </c>
      <c r="BQ123" s="131" t="s">
        <v>18</v>
      </c>
      <c r="BR123" s="131" t="s">
        <v>18</v>
      </c>
      <c r="BS123" s="131" t="s">
        <v>18</v>
      </c>
      <c r="BT123" s="131" t="s">
        <v>18</v>
      </c>
      <c r="BU123" s="131" t="s">
        <v>18</v>
      </c>
      <c r="BV123" s="131" t="s">
        <v>18</v>
      </c>
      <c r="BW123" s="131" t="s">
        <v>18</v>
      </c>
      <c r="BX123" s="131" t="str">
        <f t="shared" ref="BX123" si="68">IFERROR(BX171/BX75,"-")</f>
        <v>-</v>
      </c>
      <c r="BY123" s="215"/>
      <c r="BZ123" s="215"/>
      <c r="CA123" s="215"/>
      <c r="CB123" s="215"/>
      <c r="CC123" s="215"/>
      <c r="CD123" s="215"/>
      <c r="CE123" s="215"/>
      <c r="CF123" s="215"/>
      <c r="CG123" s="215"/>
      <c r="CH123" s="215"/>
      <c r="CI123" s="215"/>
      <c r="CJ123" s="215"/>
      <c r="CK123" s="215"/>
      <c r="CL123" s="215"/>
      <c r="CM123" s="215"/>
      <c r="CN123" s="215"/>
      <c r="CO123" s="215"/>
      <c r="CP123" s="215"/>
      <c r="CQ123" s="215"/>
      <c r="CR123" s="215"/>
      <c r="CS123" s="215"/>
      <c r="CT123" s="215"/>
      <c r="CU123" s="215"/>
      <c r="CV123" s="215"/>
      <c r="CW123" s="215"/>
      <c r="CX123" s="215"/>
      <c r="CY123" s="215"/>
      <c r="CZ123" s="215"/>
      <c r="DA123" s="215"/>
      <c r="DB123" s="215"/>
      <c r="DC123" s="215"/>
    </row>
    <row r="124" spans="1:107" s="147" customFormat="1" ht="15" hidden="1" customHeight="1" outlineLevel="1">
      <c r="A124" t="s">
        <v>241</v>
      </c>
      <c r="B124" s="142" t="s">
        <v>45</v>
      </c>
      <c r="C124" s="131" t="str">
        <f t="shared" si="67"/>
        <v>-</v>
      </c>
      <c r="D124" s="131" t="str">
        <f t="shared" si="67"/>
        <v>-</v>
      </c>
      <c r="E124" s="131" t="str">
        <f t="shared" si="67"/>
        <v>-</v>
      </c>
      <c r="F124" s="131" t="str">
        <f t="shared" si="67"/>
        <v>-</v>
      </c>
      <c r="G124" s="131" t="str">
        <f t="shared" si="67"/>
        <v>-</v>
      </c>
      <c r="H124" s="131" t="str">
        <f t="shared" si="67"/>
        <v>-</v>
      </c>
      <c r="I124" s="131" t="str">
        <f t="shared" si="67"/>
        <v>-</v>
      </c>
      <c r="J124" s="131" t="str">
        <f t="shared" si="67"/>
        <v>-</v>
      </c>
      <c r="K124" s="131" t="str">
        <f t="shared" si="67"/>
        <v>-</v>
      </c>
      <c r="L124" s="131" t="str">
        <f t="shared" si="67"/>
        <v>-</v>
      </c>
      <c r="M124" s="131" t="str">
        <f t="shared" si="67"/>
        <v>-</v>
      </c>
      <c r="N124" s="131" t="str">
        <f t="shared" si="67"/>
        <v>-</v>
      </c>
      <c r="O124" s="131" t="str">
        <f t="shared" si="67"/>
        <v>-</v>
      </c>
      <c r="P124" s="131" t="str">
        <f t="shared" si="67"/>
        <v>-</v>
      </c>
      <c r="Q124" s="131" t="str">
        <f t="shared" si="67"/>
        <v>-</v>
      </c>
      <c r="R124" s="131" t="str">
        <f t="shared" si="67"/>
        <v>-</v>
      </c>
      <c r="S124" s="131" t="str">
        <f t="shared" si="67"/>
        <v>-</v>
      </c>
      <c r="T124" s="131" t="str">
        <f t="shared" si="67"/>
        <v>-</v>
      </c>
      <c r="U124" s="131" t="str">
        <f t="shared" si="67"/>
        <v>-</v>
      </c>
      <c r="V124" s="131" t="str">
        <f t="shared" si="67"/>
        <v>-</v>
      </c>
      <c r="W124" s="131" t="str">
        <f t="shared" si="67"/>
        <v>-</v>
      </c>
      <c r="X124" s="131" t="str">
        <f t="shared" si="67"/>
        <v>-</v>
      </c>
      <c r="Y124" s="131" t="str">
        <f t="shared" si="67"/>
        <v>-</v>
      </c>
      <c r="Z124" s="131" t="str">
        <f t="shared" si="67"/>
        <v>-</v>
      </c>
      <c r="AA124" s="131" t="str">
        <f t="shared" si="67"/>
        <v>-</v>
      </c>
      <c r="AB124" s="131" t="str">
        <f t="shared" si="67"/>
        <v>-</v>
      </c>
      <c r="AC124" s="131" t="str">
        <f t="shared" si="67"/>
        <v>-</v>
      </c>
      <c r="AD124" s="131" t="str">
        <f t="shared" si="67"/>
        <v>-</v>
      </c>
      <c r="AE124" s="131" t="str">
        <f t="shared" si="67"/>
        <v>-</v>
      </c>
      <c r="AF124" s="131" t="str">
        <f t="shared" si="67"/>
        <v>-</v>
      </c>
      <c r="AG124" s="131" t="str">
        <f t="shared" si="67"/>
        <v>-</v>
      </c>
      <c r="AH124" s="131" t="str">
        <f t="shared" si="67"/>
        <v>-</v>
      </c>
      <c r="AI124" s="131" t="str">
        <f t="shared" si="67"/>
        <v>-</v>
      </c>
      <c r="AJ124" s="131" t="str">
        <f t="shared" si="67"/>
        <v>-</v>
      </c>
      <c r="AK124" s="131" t="str">
        <f t="shared" si="67"/>
        <v>-</v>
      </c>
      <c r="AL124" s="131" t="str">
        <f t="shared" si="67"/>
        <v>-</v>
      </c>
      <c r="AM124" s="131" t="str">
        <f t="shared" si="67"/>
        <v>-</v>
      </c>
      <c r="AN124" s="131" t="str">
        <f t="shared" si="67"/>
        <v>-</v>
      </c>
      <c r="AO124" s="131" t="str">
        <f t="shared" si="67"/>
        <v>-</v>
      </c>
      <c r="AP124" s="131" t="str">
        <f t="shared" si="67"/>
        <v>-</v>
      </c>
      <c r="AQ124" s="131" t="str">
        <f t="shared" si="67"/>
        <v>-</v>
      </c>
      <c r="AR124" s="131" t="str">
        <f t="shared" si="67"/>
        <v>-</v>
      </c>
      <c r="AS124" s="131" t="str">
        <f t="shared" si="67"/>
        <v>-</v>
      </c>
      <c r="AT124" s="131" t="str">
        <f t="shared" si="67"/>
        <v>-</v>
      </c>
      <c r="AU124" s="131" t="str">
        <f t="shared" si="67"/>
        <v>-</v>
      </c>
      <c r="AV124" s="131">
        <f t="shared" si="67"/>
        <v>1</v>
      </c>
      <c r="AW124" s="131">
        <f t="shared" si="67"/>
        <v>1</v>
      </c>
      <c r="AX124" s="131">
        <f t="shared" si="67"/>
        <v>1</v>
      </c>
      <c r="AY124" s="131">
        <f t="shared" si="67"/>
        <v>1</v>
      </c>
      <c r="AZ124" s="131">
        <f t="shared" si="67"/>
        <v>1</v>
      </c>
      <c r="BA124" s="131">
        <f t="shared" si="67"/>
        <v>1</v>
      </c>
      <c r="BB124" s="131">
        <f t="shared" si="67"/>
        <v>1</v>
      </c>
      <c r="BC124" s="131">
        <f t="shared" si="67"/>
        <v>1</v>
      </c>
      <c r="BD124" s="131">
        <f t="shared" si="67"/>
        <v>1</v>
      </c>
      <c r="BE124" s="131">
        <f t="shared" si="67"/>
        <v>1</v>
      </c>
      <c r="BF124" s="131">
        <f t="shared" si="67"/>
        <v>1</v>
      </c>
      <c r="BG124" s="131">
        <f t="shared" si="67"/>
        <v>1</v>
      </c>
      <c r="BH124" s="131">
        <f t="shared" si="67"/>
        <v>1</v>
      </c>
      <c r="BI124" s="131">
        <f t="shared" si="67"/>
        <v>1</v>
      </c>
      <c r="BJ124" s="131">
        <f t="shared" si="67"/>
        <v>1</v>
      </c>
      <c r="BK124" s="131">
        <f t="shared" si="67"/>
        <v>1</v>
      </c>
      <c r="BL124" s="131">
        <f t="shared" si="67"/>
        <v>1</v>
      </c>
      <c r="BM124" s="131">
        <f t="shared" si="67"/>
        <v>1</v>
      </c>
      <c r="BN124" s="131">
        <f t="shared" si="67"/>
        <v>1</v>
      </c>
      <c r="BO124" s="131">
        <f t="shared" si="65"/>
        <v>1</v>
      </c>
      <c r="BP124" s="131">
        <v>1</v>
      </c>
      <c r="BQ124" s="131">
        <v>1</v>
      </c>
      <c r="BR124" s="131">
        <v>1</v>
      </c>
      <c r="BS124" s="131">
        <v>1</v>
      </c>
      <c r="BT124" s="131">
        <v>1</v>
      </c>
      <c r="BU124" s="131">
        <v>1</v>
      </c>
      <c r="BV124" s="131">
        <v>1</v>
      </c>
      <c r="BW124" s="131">
        <v>1</v>
      </c>
      <c r="BX124" s="131">
        <f t="shared" ref="BX124" si="69">IFERROR(BX172/BX76,"-")</f>
        <v>1</v>
      </c>
      <c r="BY124" s="215"/>
      <c r="BZ124" s="215"/>
      <c r="CA124" s="215"/>
      <c r="CB124" s="215"/>
      <c r="CC124" s="215"/>
      <c r="CD124" s="215"/>
      <c r="CE124" s="215"/>
      <c r="CF124" s="215"/>
      <c r="CG124" s="215"/>
      <c r="CH124" s="215"/>
      <c r="CI124" s="215"/>
      <c r="CJ124" s="215"/>
      <c r="CK124" s="215"/>
      <c r="CL124" s="215"/>
      <c r="CM124" s="215"/>
      <c r="CN124" s="215"/>
      <c r="CO124" s="215"/>
      <c r="CP124" s="215"/>
      <c r="CQ124" s="215"/>
      <c r="CR124" s="215"/>
      <c r="CS124" s="215"/>
      <c r="CT124" s="215"/>
      <c r="CU124" s="215"/>
      <c r="CV124" s="215"/>
      <c r="CW124" s="215"/>
      <c r="CX124" s="215"/>
      <c r="CY124" s="215"/>
      <c r="CZ124" s="215"/>
      <c r="DA124" s="215"/>
      <c r="DB124" s="215"/>
      <c r="DC124" s="215"/>
    </row>
    <row r="125" spans="1:107" s="146" customFormat="1" ht="15" customHeight="1" collapsed="1">
      <c r="A125" s="15"/>
      <c r="B125" s="80" t="s">
        <v>15</v>
      </c>
      <c r="C125" s="130">
        <f t="shared" si="67"/>
        <v>0.59988201689021359</v>
      </c>
      <c r="D125" s="130">
        <f t="shared" si="67"/>
        <v>0.59988201689021359</v>
      </c>
      <c r="E125" s="130">
        <f t="shared" si="67"/>
        <v>0.59988201689021359</v>
      </c>
      <c r="F125" s="130">
        <f t="shared" si="67"/>
        <v>0.59988201689021359</v>
      </c>
      <c r="G125" s="130">
        <f t="shared" si="67"/>
        <v>0.59988201689021359</v>
      </c>
      <c r="H125" s="130">
        <f t="shared" si="67"/>
        <v>0.59988201689021359</v>
      </c>
      <c r="I125" s="130">
        <f t="shared" si="67"/>
        <v>0.58974240106315579</v>
      </c>
      <c r="J125" s="130">
        <f t="shared" si="67"/>
        <v>0.61185672514619882</v>
      </c>
      <c r="K125" s="130">
        <f t="shared" si="67"/>
        <v>0.61185672514619882</v>
      </c>
      <c r="L125" s="130">
        <f t="shared" si="67"/>
        <v>0.61185672514619882</v>
      </c>
      <c r="M125" s="130">
        <f t="shared" si="67"/>
        <v>0.61660432942943377</v>
      </c>
      <c r="N125" s="130">
        <f t="shared" si="67"/>
        <v>0.61660432942943377</v>
      </c>
      <c r="O125" s="130">
        <f t="shared" si="67"/>
        <v>0.61660432942943377</v>
      </c>
      <c r="P125" s="130">
        <f t="shared" si="67"/>
        <v>0.61660432942943377</v>
      </c>
      <c r="Q125" s="130">
        <f t="shared" si="67"/>
        <v>0.66112611376666142</v>
      </c>
      <c r="R125" s="130">
        <f t="shared" si="67"/>
        <v>0.66112611376666142</v>
      </c>
      <c r="S125" s="130">
        <f t="shared" si="67"/>
        <v>0.66112611376666142</v>
      </c>
      <c r="T125" s="130">
        <f t="shared" si="67"/>
        <v>0.49451709551033762</v>
      </c>
      <c r="U125" s="130">
        <f t="shared" si="67"/>
        <v>0.49451709551033762</v>
      </c>
      <c r="V125" s="130">
        <f t="shared" si="67"/>
        <v>0.50453895855558462</v>
      </c>
      <c r="W125" s="130">
        <f t="shared" si="67"/>
        <v>0.50453895855558462</v>
      </c>
      <c r="X125" s="130">
        <f t="shared" si="67"/>
        <v>0.50978682773937767</v>
      </c>
      <c r="Y125" s="130">
        <f t="shared" si="67"/>
        <v>0.5097878494371314</v>
      </c>
      <c r="Z125" s="130">
        <f t="shared" si="67"/>
        <v>0.52404183791151804</v>
      </c>
      <c r="AA125" s="130">
        <f t="shared" si="67"/>
        <v>0.52404183791151804</v>
      </c>
      <c r="AB125" s="130">
        <f t="shared" si="67"/>
        <v>0.52404183791151804</v>
      </c>
      <c r="AC125" s="130">
        <f t="shared" si="67"/>
        <v>0.52525436244133883</v>
      </c>
      <c r="AD125" s="130">
        <f t="shared" si="67"/>
        <v>0.52525492262446738</v>
      </c>
      <c r="AE125" s="130">
        <f t="shared" si="67"/>
        <v>0.52525492262446738</v>
      </c>
      <c r="AF125" s="130">
        <f t="shared" si="67"/>
        <v>0.55955485874139232</v>
      </c>
      <c r="AG125" s="130">
        <f t="shared" si="67"/>
        <v>0.55955485874139232</v>
      </c>
      <c r="AH125" s="130">
        <f t="shared" si="67"/>
        <v>0.55758090242337022</v>
      </c>
      <c r="AI125" s="130">
        <f t="shared" si="67"/>
        <v>0.55760474865687726</v>
      </c>
      <c r="AJ125" s="130">
        <f t="shared" si="67"/>
        <v>0.55511887068900811</v>
      </c>
      <c r="AK125" s="130">
        <f t="shared" si="67"/>
        <v>0.55513199518762479</v>
      </c>
      <c r="AL125" s="130">
        <f t="shared" si="67"/>
        <v>0.73424184211936228</v>
      </c>
      <c r="AM125" s="130">
        <f t="shared" si="67"/>
        <v>0.73362493790600736</v>
      </c>
      <c r="AN125" s="130">
        <f t="shared" si="67"/>
        <v>0.73350515219727341</v>
      </c>
      <c r="AO125" s="130">
        <f t="shared" si="67"/>
        <v>0.73016136022760592</v>
      </c>
      <c r="AP125" s="130">
        <f t="shared" si="67"/>
        <v>0.72865319016964847</v>
      </c>
      <c r="AQ125" s="130">
        <f t="shared" si="67"/>
        <v>0.69173836345063677</v>
      </c>
      <c r="AR125" s="130">
        <f t="shared" si="67"/>
        <v>0.69434810678556813</v>
      </c>
      <c r="AS125" s="130">
        <f t="shared" si="67"/>
        <v>0.69391481246324438</v>
      </c>
      <c r="AT125" s="130">
        <f t="shared" si="67"/>
        <v>0.69412319289496749</v>
      </c>
      <c r="AU125" s="130">
        <f t="shared" si="67"/>
        <v>0.54096462970686832</v>
      </c>
      <c r="AV125" s="130">
        <f t="shared" si="67"/>
        <v>0.69553664073049137</v>
      </c>
      <c r="AW125" s="130">
        <f t="shared" si="67"/>
        <v>0.58880864970504343</v>
      </c>
      <c r="AX125" s="130">
        <f t="shared" si="67"/>
        <v>0.58530897906818624</v>
      </c>
      <c r="AY125" s="130">
        <f t="shared" si="67"/>
        <v>0.58527948454905709</v>
      </c>
      <c r="AZ125" s="130">
        <f t="shared" si="67"/>
        <v>0.58526882731411123</v>
      </c>
      <c r="BA125" s="130">
        <f t="shared" si="67"/>
        <v>0.58524297908729406</v>
      </c>
      <c r="BB125" s="130">
        <f t="shared" si="67"/>
        <v>0.58495523702974472</v>
      </c>
      <c r="BC125" s="130">
        <f t="shared" si="67"/>
        <v>0.58507064103844064</v>
      </c>
      <c r="BD125" s="130">
        <f t="shared" si="67"/>
        <v>0.58831673306307264</v>
      </c>
      <c r="BE125" s="130">
        <f t="shared" si="67"/>
        <v>0.58906891109964366</v>
      </c>
      <c r="BF125" s="130">
        <f t="shared" si="67"/>
        <v>0.62416678992716668</v>
      </c>
      <c r="BG125" s="130">
        <f t="shared" si="67"/>
        <v>0.6242379403542867</v>
      </c>
      <c r="BH125" s="130">
        <f t="shared" si="67"/>
        <v>0.62431878976391753</v>
      </c>
      <c r="BI125" s="130">
        <f t="shared" si="67"/>
        <v>0.62427233442973051</v>
      </c>
      <c r="BJ125" s="130">
        <f t="shared" si="67"/>
        <v>0.71943692916900537</v>
      </c>
      <c r="BK125" s="130">
        <f t="shared" si="67"/>
        <v>0.71959055846494779</v>
      </c>
      <c r="BL125" s="130">
        <f t="shared" si="67"/>
        <v>0.71944634955624642</v>
      </c>
      <c r="BM125" s="130">
        <f t="shared" si="67"/>
        <v>0.71964442051818778</v>
      </c>
      <c r="BN125" s="130">
        <f t="shared" si="67"/>
        <v>0.7196500455153686</v>
      </c>
      <c r="BO125" s="130">
        <f t="shared" si="65"/>
        <v>0.75740835394559713</v>
      </c>
      <c r="BP125" s="130">
        <v>0.28662122228508019</v>
      </c>
      <c r="BQ125" s="130">
        <v>0.28634234757198207</v>
      </c>
      <c r="BR125" s="130">
        <v>0.43774662598167108</v>
      </c>
      <c r="BS125" s="130">
        <v>0.43776946503439701</v>
      </c>
      <c r="BT125" s="130">
        <v>0.43775041404946247</v>
      </c>
      <c r="BU125" s="130">
        <v>0.43771230820611523</v>
      </c>
      <c r="BV125" s="130">
        <v>0.45278900016011614</v>
      </c>
      <c r="BW125" s="130">
        <v>0.45278923292258794</v>
      </c>
      <c r="BX125" s="130">
        <f t="shared" ref="BX125" si="70">IFERROR(BX173/BX77,"-")</f>
        <v>0.45279197680142119</v>
      </c>
      <c r="BY125" s="214"/>
      <c r="BZ125" s="214"/>
      <c r="CA125" s="214"/>
      <c r="CB125" s="214"/>
      <c r="CC125" s="214"/>
      <c r="CD125" s="214"/>
      <c r="CE125" s="214"/>
      <c r="CF125" s="214"/>
      <c r="CG125" s="214"/>
      <c r="CH125" s="214"/>
      <c r="CI125" s="214"/>
      <c r="CJ125" s="214"/>
      <c r="CK125" s="214"/>
      <c r="CL125" s="214"/>
      <c r="CM125" s="214"/>
      <c r="CN125" s="214"/>
      <c r="CO125" s="214"/>
      <c r="CP125" s="214"/>
      <c r="CQ125" s="214"/>
      <c r="CR125" s="214"/>
      <c r="CS125" s="214"/>
      <c r="CT125" s="214"/>
      <c r="CU125" s="214"/>
      <c r="CV125" s="214"/>
      <c r="CW125" s="214"/>
      <c r="CX125" s="214"/>
      <c r="CY125" s="214"/>
      <c r="CZ125" s="214"/>
      <c r="DA125" s="214"/>
      <c r="DB125" s="214"/>
      <c r="DC125" s="214"/>
    </row>
    <row r="126" spans="1:107" s="147" customFormat="1" ht="15" hidden="1" customHeight="1" outlineLevel="1">
      <c r="A126" t="s">
        <v>242</v>
      </c>
      <c r="B126" s="142" t="s">
        <v>12</v>
      </c>
      <c r="C126" s="131">
        <f t="shared" si="67"/>
        <v>1</v>
      </c>
      <c r="D126" s="131">
        <f t="shared" si="67"/>
        <v>1</v>
      </c>
      <c r="E126" s="131">
        <f t="shared" si="67"/>
        <v>1</v>
      </c>
      <c r="F126" s="131">
        <f t="shared" si="67"/>
        <v>1</v>
      </c>
      <c r="G126" s="131">
        <f t="shared" si="67"/>
        <v>1</v>
      </c>
      <c r="H126" s="131">
        <f t="shared" si="67"/>
        <v>1</v>
      </c>
      <c r="I126" s="131">
        <f t="shared" si="67"/>
        <v>1</v>
      </c>
      <c r="J126" s="131">
        <f t="shared" si="67"/>
        <v>1</v>
      </c>
      <c r="K126" s="131">
        <f t="shared" si="67"/>
        <v>1</v>
      </c>
      <c r="L126" s="131">
        <f t="shared" si="67"/>
        <v>1</v>
      </c>
      <c r="M126" s="131">
        <f t="shared" si="67"/>
        <v>1</v>
      </c>
      <c r="N126" s="131">
        <f t="shared" si="67"/>
        <v>1</v>
      </c>
      <c r="O126" s="131">
        <f t="shared" si="67"/>
        <v>1</v>
      </c>
      <c r="P126" s="131">
        <f t="shared" si="67"/>
        <v>1</v>
      </c>
      <c r="Q126" s="131">
        <f t="shared" si="67"/>
        <v>1</v>
      </c>
      <c r="R126" s="131">
        <f t="shared" si="67"/>
        <v>1</v>
      </c>
      <c r="S126" s="131">
        <f t="shared" si="67"/>
        <v>1</v>
      </c>
      <c r="T126" s="131">
        <f t="shared" si="67"/>
        <v>1</v>
      </c>
      <c r="U126" s="131">
        <f t="shared" si="67"/>
        <v>1</v>
      </c>
      <c r="V126" s="131">
        <f t="shared" si="67"/>
        <v>1</v>
      </c>
      <c r="W126" s="131">
        <f t="shared" si="67"/>
        <v>1</v>
      </c>
      <c r="X126" s="131">
        <f t="shared" si="67"/>
        <v>1</v>
      </c>
      <c r="Y126" s="131">
        <f t="shared" si="67"/>
        <v>1</v>
      </c>
      <c r="Z126" s="131">
        <f t="shared" si="67"/>
        <v>1</v>
      </c>
      <c r="AA126" s="131">
        <f t="shared" si="67"/>
        <v>1</v>
      </c>
      <c r="AB126" s="131">
        <f t="shared" si="67"/>
        <v>1</v>
      </c>
      <c r="AC126" s="131">
        <f t="shared" si="67"/>
        <v>1</v>
      </c>
      <c r="AD126" s="131">
        <f t="shared" si="67"/>
        <v>1</v>
      </c>
      <c r="AE126" s="131">
        <f t="shared" si="67"/>
        <v>1</v>
      </c>
      <c r="AF126" s="131">
        <f t="shared" si="67"/>
        <v>1</v>
      </c>
      <c r="AG126" s="131">
        <f t="shared" si="67"/>
        <v>1</v>
      </c>
      <c r="AH126" s="131">
        <f t="shared" si="67"/>
        <v>1</v>
      </c>
      <c r="AI126" s="131">
        <f t="shared" si="67"/>
        <v>1</v>
      </c>
      <c r="AJ126" s="131">
        <f t="shared" si="67"/>
        <v>1</v>
      </c>
      <c r="AK126" s="131">
        <f t="shared" si="67"/>
        <v>1</v>
      </c>
      <c r="AL126" s="131">
        <f t="shared" si="67"/>
        <v>1</v>
      </c>
      <c r="AM126" s="131">
        <f t="shared" si="67"/>
        <v>1</v>
      </c>
      <c r="AN126" s="131">
        <f t="shared" si="67"/>
        <v>1</v>
      </c>
      <c r="AO126" s="131">
        <f t="shared" si="67"/>
        <v>1</v>
      </c>
      <c r="AP126" s="131">
        <f t="shared" si="67"/>
        <v>1</v>
      </c>
      <c r="AQ126" s="131">
        <f t="shared" si="67"/>
        <v>1</v>
      </c>
      <c r="AR126" s="131">
        <f t="shared" si="67"/>
        <v>1</v>
      </c>
      <c r="AS126" s="131">
        <f t="shared" si="67"/>
        <v>1</v>
      </c>
      <c r="AT126" s="131">
        <f t="shared" si="67"/>
        <v>1</v>
      </c>
      <c r="AU126" s="131">
        <f t="shared" si="67"/>
        <v>0.31589703473091363</v>
      </c>
      <c r="AV126" s="131">
        <f t="shared" si="67"/>
        <v>1</v>
      </c>
      <c r="AW126" s="131">
        <f t="shared" si="67"/>
        <v>1</v>
      </c>
      <c r="AX126" s="131">
        <f t="shared" si="67"/>
        <v>1</v>
      </c>
      <c r="AY126" s="131">
        <f t="shared" si="67"/>
        <v>1</v>
      </c>
      <c r="AZ126" s="131">
        <f t="shared" si="67"/>
        <v>1</v>
      </c>
      <c r="BA126" s="131">
        <f t="shared" si="67"/>
        <v>0.99996700444053144</v>
      </c>
      <c r="BB126" s="131">
        <f t="shared" si="67"/>
        <v>1.0000513372434079</v>
      </c>
      <c r="BC126" s="131">
        <f t="shared" si="67"/>
        <v>1</v>
      </c>
      <c r="BD126" s="131">
        <f t="shared" si="67"/>
        <v>1</v>
      </c>
      <c r="BE126" s="131">
        <f t="shared" si="67"/>
        <v>1</v>
      </c>
      <c r="BF126" s="131">
        <f t="shared" si="67"/>
        <v>1</v>
      </c>
      <c r="BG126" s="131">
        <f t="shared" si="67"/>
        <v>1</v>
      </c>
      <c r="BH126" s="131">
        <f t="shared" si="67"/>
        <v>1</v>
      </c>
      <c r="BI126" s="131">
        <f t="shared" si="67"/>
        <v>1</v>
      </c>
      <c r="BJ126" s="131">
        <f t="shared" si="67"/>
        <v>1</v>
      </c>
      <c r="BK126" s="131">
        <f t="shared" si="67"/>
        <v>1</v>
      </c>
      <c r="BL126" s="131">
        <f t="shared" si="67"/>
        <v>1</v>
      </c>
      <c r="BM126" s="131">
        <f t="shared" si="67"/>
        <v>1</v>
      </c>
      <c r="BN126" s="131">
        <f t="shared" ref="BN126:BO129" si="71">IFERROR(BN174/BN78,"-")</f>
        <v>1</v>
      </c>
      <c r="BO126" s="131">
        <f t="shared" si="71"/>
        <v>1</v>
      </c>
      <c r="BP126" s="131">
        <v>0.35879565096180643</v>
      </c>
      <c r="BQ126" s="131">
        <v>0.35889999999999994</v>
      </c>
      <c r="BR126" s="131">
        <v>0.35879565096180643</v>
      </c>
      <c r="BS126" s="131">
        <v>0.35879565096180649</v>
      </c>
      <c r="BT126" s="131">
        <v>0.35879565096180654</v>
      </c>
      <c r="BU126" s="131">
        <v>0.35879565096180654</v>
      </c>
      <c r="BV126" s="131" t="s">
        <v>18</v>
      </c>
      <c r="BW126" s="131" t="s">
        <v>18</v>
      </c>
      <c r="BX126" s="131" t="str">
        <f t="shared" ref="BX126" si="72">IFERROR(BX174/BX78,"-")</f>
        <v>-</v>
      </c>
      <c r="BY126" s="215"/>
      <c r="BZ126" s="215"/>
      <c r="CA126" s="215"/>
      <c r="CB126" s="215"/>
      <c r="CC126" s="215"/>
      <c r="CD126" s="215"/>
      <c r="CE126" s="215"/>
      <c r="CF126" s="215"/>
      <c r="CG126" s="215"/>
      <c r="CH126" s="215"/>
      <c r="CI126" s="215"/>
      <c r="CJ126" s="215"/>
      <c r="CK126" s="215"/>
      <c r="CL126" s="215"/>
      <c r="CM126" s="215"/>
      <c r="CN126" s="215"/>
      <c r="CO126" s="215"/>
      <c r="CP126" s="215"/>
      <c r="CQ126" s="215"/>
      <c r="CR126" s="215"/>
      <c r="CS126" s="215"/>
      <c r="CT126" s="215"/>
      <c r="CU126" s="215"/>
      <c r="CV126" s="215"/>
      <c r="CW126" s="215"/>
      <c r="CX126" s="215"/>
      <c r="CY126" s="215"/>
      <c r="CZ126" s="215"/>
      <c r="DA126" s="215"/>
      <c r="DB126" s="215"/>
      <c r="DC126" s="215"/>
    </row>
    <row r="127" spans="1:107" s="147" customFormat="1" ht="15" hidden="1" customHeight="1" outlineLevel="1">
      <c r="A127" t="s">
        <v>243</v>
      </c>
      <c r="B127" s="142" t="s">
        <v>30</v>
      </c>
      <c r="C127" s="131">
        <f t="shared" ref="C127:BN130" si="73">IFERROR(C175/C79,"-")</f>
        <v>0.57023994130692146</v>
      </c>
      <c r="D127" s="131">
        <f t="shared" si="73"/>
        <v>0.57023994130692146</v>
      </c>
      <c r="E127" s="131">
        <f t="shared" si="73"/>
        <v>0.57023994130692146</v>
      </c>
      <c r="F127" s="131">
        <f t="shared" si="73"/>
        <v>0.57023994130692146</v>
      </c>
      <c r="G127" s="131">
        <f t="shared" si="73"/>
        <v>0.57023994130692146</v>
      </c>
      <c r="H127" s="131">
        <f t="shared" si="73"/>
        <v>0.57023994130692146</v>
      </c>
      <c r="I127" s="131">
        <f t="shared" si="73"/>
        <v>0.55717716916302495</v>
      </c>
      <c r="J127" s="131">
        <f t="shared" si="73"/>
        <v>0.55717716916302495</v>
      </c>
      <c r="K127" s="131">
        <f t="shared" si="73"/>
        <v>0.55717716916302495</v>
      </c>
      <c r="L127" s="131">
        <f t="shared" si="73"/>
        <v>0.55717716916302495</v>
      </c>
      <c r="M127" s="131">
        <f t="shared" si="73"/>
        <v>0.55717716916302495</v>
      </c>
      <c r="N127" s="131">
        <f t="shared" si="73"/>
        <v>0.55717716916302495</v>
      </c>
      <c r="O127" s="131">
        <f t="shared" si="73"/>
        <v>0.55717716916302495</v>
      </c>
      <c r="P127" s="131">
        <f t="shared" si="73"/>
        <v>0.55717716916302495</v>
      </c>
      <c r="Q127" s="131">
        <f t="shared" si="73"/>
        <v>0.6085999266104013</v>
      </c>
      <c r="R127" s="131">
        <f t="shared" si="73"/>
        <v>0.6085999266104013</v>
      </c>
      <c r="S127" s="131">
        <f t="shared" si="73"/>
        <v>0.6085999266104013</v>
      </c>
      <c r="T127" s="131">
        <f t="shared" si="73"/>
        <v>0.5973079360843313</v>
      </c>
      <c r="U127" s="131">
        <f t="shared" si="73"/>
        <v>0.5973079360843313</v>
      </c>
      <c r="V127" s="131">
        <f t="shared" si="73"/>
        <v>0.59730426377403067</v>
      </c>
      <c r="W127" s="131">
        <f t="shared" si="73"/>
        <v>0.59730426377403067</v>
      </c>
      <c r="X127" s="131">
        <f t="shared" si="73"/>
        <v>0.61412484280324686</v>
      </c>
      <c r="Y127" s="131">
        <f t="shared" si="73"/>
        <v>0.61413099999999998</v>
      </c>
      <c r="Z127" s="131">
        <f t="shared" si="73"/>
        <v>0.61413099999999998</v>
      </c>
      <c r="AA127" s="131">
        <f t="shared" si="73"/>
        <v>0.61413099999999998</v>
      </c>
      <c r="AB127" s="131">
        <f t="shared" si="73"/>
        <v>0.61413099999999998</v>
      </c>
      <c r="AC127" s="131">
        <f t="shared" si="73"/>
        <v>0.61409999999999998</v>
      </c>
      <c r="AD127" s="131">
        <f t="shared" si="73"/>
        <v>0.61409999999999998</v>
      </c>
      <c r="AE127" s="131">
        <f t="shared" si="73"/>
        <v>0.61409999999999998</v>
      </c>
      <c r="AF127" s="131">
        <f t="shared" si="73"/>
        <v>0.61409999999999998</v>
      </c>
      <c r="AG127" s="131">
        <f t="shared" si="73"/>
        <v>0.61409999999999998</v>
      </c>
      <c r="AH127" s="131">
        <f t="shared" si="73"/>
        <v>0.61409999999999998</v>
      </c>
      <c r="AI127" s="131">
        <f t="shared" si="73"/>
        <v>0.61409999999999998</v>
      </c>
      <c r="AJ127" s="131">
        <f t="shared" si="73"/>
        <v>0.61409999999999998</v>
      </c>
      <c r="AK127" s="131">
        <f t="shared" si="73"/>
        <v>0.61409999999999998</v>
      </c>
      <c r="AL127" s="131">
        <f t="shared" si="73"/>
        <v>0.61409999999999998</v>
      </c>
      <c r="AM127" s="131">
        <f t="shared" si="73"/>
        <v>0.61409999999999998</v>
      </c>
      <c r="AN127" s="131">
        <f t="shared" si="73"/>
        <v>0.61409913257022919</v>
      </c>
      <c r="AO127" s="131">
        <f t="shared" si="73"/>
        <v>0.61409913257022919</v>
      </c>
      <c r="AP127" s="131">
        <f t="shared" si="73"/>
        <v>0.61409999999999998</v>
      </c>
      <c r="AQ127" s="131">
        <f t="shared" si="73"/>
        <v>0.61409999999999998</v>
      </c>
      <c r="AR127" s="131">
        <f t="shared" si="73"/>
        <v>0.61409999999999998</v>
      </c>
      <c r="AS127" s="131">
        <f t="shared" si="73"/>
        <v>0.61409999999999998</v>
      </c>
      <c r="AT127" s="131">
        <f t="shared" si="73"/>
        <v>0.61409999999999998</v>
      </c>
      <c r="AU127" s="131">
        <f t="shared" si="73"/>
        <v>0.61410002943841235</v>
      </c>
      <c r="AV127" s="131">
        <f t="shared" si="73"/>
        <v>0.61409999999999998</v>
      </c>
      <c r="AW127" s="131">
        <f t="shared" si="73"/>
        <v>0.6140969036284929</v>
      </c>
      <c r="AX127" s="131">
        <f t="shared" si="73"/>
        <v>0.61409739969102384</v>
      </c>
      <c r="AY127" s="131">
        <f t="shared" si="73"/>
        <v>0.61409999999999998</v>
      </c>
      <c r="AZ127" s="131">
        <f t="shared" si="73"/>
        <v>0.61409973400615059</v>
      </c>
      <c r="BA127" s="131">
        <f t="shared" si="73"/>
        <v>0.6141000591097755</v>
      </c>
      <c r="BB127" s="131">
        <f t="shared" si="73"/>
        <v>0.61409766568386204</v>
      </c>
      <c r="BC127" s="131">
        <f t="shared" si="73"/>
        <v>0.61409973400615048</v>
      </c>
      <c r="BD127" s="131">
        <f t="shared" si="73"/>
        <v>0.61409999999999998</v>
      </c>
      <c r="BE127" s="131">
        <f t="shared" si="73"/>
        <v>0.61409999999999998</v>
      </c>
      <c r="BF127" s="131">
        <f t="shared" si="73"/>
        <v>0.61409999999999998</v>
      </c>
      <c r="BG127" s="131">
        <f t="shared" si="73"/>
        <v>0.61409999999999998</v>
      </c>
      <c r="BH127" s="131">
        <f t="shared" si="73"/>
        <v>0.61409999999999998</v>
      </c>
      <c r="BI127" s="131">
        <f t="shared" si="73"/>
        <v>0.61409999999999998</v>
      </c>
      <c r="BJ127" s="131">
        <f t="shared" si="73"/>
        <v>1</v>
      </c>
      <c r="BK127" s="131">
        <f t="shared" si="73"/>
        <v>1</v>
      </c>
      <c r="BL127" s="131">
        <f t="shared" si="73"/>
        <v>1</v>
      </c>
      <c r="BM127" s="131">
        <f t="shared" si="73"/>
        <v>1</v>
      </c>
      <c r="BN127" s="131">
        <f t="shared" si="73"/>
        <v>1</v>
      </c>
      <c r="BO127" s="131">
        <f t="shared" si="71"/>
        <v>1</v>
      </c>
      <c r="BP127" s="131">
        <v>0.16951636541279921</v>
      </c>
      <c r="BQ127" s="131">
        <v>0.16945807604624652</v>
      </c>
      <c r="BR127" s="131">
        <v>1</v>
      </c>
      <c r="BS127" s="131">
        <v>1</v>
      </c>
      <c r="BT127" s="131">
        <v>1</v>
      </c>
      <c r="BU127" s="131">
        <v>1</v>
      </c>
      <c r="BV127" s="131">
        <v>1</v>
      </c>
      <c r="BW127" s="131">
        <v>1</v>
      </c>
      <c r="BX127" s="131">
        <f t="shared" ref="BX127" si="74">IFERROR(BX175/BX79,"-")</f>
        <v>1</v>
      </c>
      <c r="BY127" s="215"/>
      <c r="BZ127" s="215"/>
      <c r="CA127" s="215"/>
      <c r="CB127" s="215"/>
      <c r="CC127" s="215"/>
      <c r="CD127" s="215"/>
      <c r="CE127" s="215"/>
      <c r="CF127" s="215"/>
      <c r="CG127" s="215"/>
      <c r="CH127" s="215"/>
      <c r="CI127" s="215"/>
      <c r="CJ127" s="215"/>
      <c r="CK127" s="215"/>
      <c r="CL127" s="215"/>
      <c r="CM127" s="215"/>
      <c r="CN127" s="215"/>
      <c r="CO127" s="215"/>
      <c r="CP127" s="215"/>
      <c r="CQ127" s="215"/>
      <c r="CR127" s="215"/>
      <c r="CS127" s="215"/>
      <c r="CT127" s="215"/>
      <c r="CU127" s="215"/>
      <c r="CV127" s="215"/>
      <c r="CW127" s="215"/>
      <c r="CX127" s="215"/>
      <c r="CY127" s="215"/>
      <c r="CZ127" s="215"/>
      <c r="DA127" s="215"/>
      <c r="DB127" s="215"/>
      <c r="DC127" s="215"/>
    </row>
    <row r="128" spans="1:107" s="147" customFormat="1" ht="15" hidden="1" customHeight="1" outlineLevel="1">
      <c r="A128" t="s">
        <v>18</v>
      </c>
      <c r="B128" s="142" t="s">
        <v>31</v>
      </c>
      <c r="C128" s="131" t="str">
        <f t="shared" si="73"/>
        <v>-</v>
      </c>
      <c r="D128" s="131" t="str">
        <f t="shared" si="73"/>
        <v>-</v>
      </c>
      <c r="E128" s="131" t="str">
        <f t="shared" si="73"/>
        <v>-</v>
      </c>
      <c r="F128" s="131" t="str">
        <f t="shared" si="73"/>
        <v>-</v>
      </c>
      <c r="G128" s="131" t="str">
        <f t="shared" si="73"/>
        <v>-</v>
      </c>
      <c r="H128" s="131" t="str">
        <f t="shared" si="73"/>
        <v>-</v>
      </c>
      <c r="I128" s="131" t="str">
        <f t="shared" si="73"/>
        <v>-</v>
      </c>
      <c r="J128" s="131" t="str">
        <f t="shared" si="73"/>
        <v>-</v>
      </c>
      <c r="K128" s="131" t="str">
        <f t="shared" si="73"/>
        <v>-</v>
      </c>
      <c r="L128" s="131" t="str">
        <f t="shared" si="73"/>
        <v>-</v>
      </c>
      <c r="M128" s="131" t="str">
        <f t="shared" si="73"/>
        <v>-</v>
      </c>
      <c r="N128" s="131" t="str">
        <f t="shared" si="73"/>
        <v>-</v>
      </c>
      <c r="O128" s="131" t="str">
        <f t="shared" si="73"/>
        <v>-</v>
      </c>
      <c r="P128" s="131" t="str">
        <f t="shared" si="73"/>
        <v>-</v>
      </c>
      <c r="Q128" s="131" t="str">
        <f t="shared" si="73"/>
        <v>-</v>
      </c>
      <c r="R128" s="131" t="str">
        <f t="shared" si="73"/>
        <v>-</v>
      </c>
      <c r="S128" s="131" t="str">
        <f t="shared" si="73"/>
        <v>-</v>
      </c>
      <c r="T128" s="131">
        <f t="shared" si="73"/>
        <v>0.40000588546877758</v>
      </c>
      <c r="U128" s="131">
        <f t="shared" si="73"/>
        <v>0.40000588546877758</v>
      </c>
      <c r="V128" s="131">
        <f t="shared" si="73"/>
        <v>0.40000588546877758</v>
      </c>
      <c r="W128" s="131">
        <f t="shared" si="73"/>
        <v>0.40000588546877758</v>
      </c>
      <c r="X128" s="131">
        <f t="shared" si="73"/>
        <v>0.40000588546877758</v>
      </c>
      <c r="Y128" s="131">
        <f t="shared" si="73"/>
        <v>0.4</v>
      </c>
      <c r="Z128" s="131">
        <f t="shared" si="73"/>
        <v>0.4</v>
      </c>
      <c r="AA128" s="131">
        <f t="shared" si="73"/>
        <v>0.4</v>
      </c>
      <c r="AB128" s="131">
        <f t="shared" si="73"/>
        <v>0.4</v>
      </c>
      <c r="AC128" s="131">
        <f t="shared" si="73"/>
        <v>0.4</v>
      </c>
      <c r="AD128" s="131">
        <f t="shared" si="73"/>
        <v>0.4</v>
      </c>
      <c r="AE128" s="131">
        <f t="shared" si="73"/>
        <v>0.4</v>
      </c>
      <c r="AF128" s="131">
        <f t="shared" si="73"/>
        <v>0.4</v>
      </c>
      <c r="AG128" s="131">
        <f t="shared" si="73"/>
        <v>0.4</v>
      </c>
      <c r="AH128" s="131">
        <f t="shared" si="73"/>
        <v>0.4</v>
      </c>
      <c r="AI128" s="131">
        <f t="shared" si="73"/>
        <v>0.4</v>
      </c>
      <c r="AJ128" s="131">
        <f t="shared" si="73"/>
        <v>0.4</v>
      </c>
      <c r="AK128" s="131">
        <f t="shared" si="73"/>
        <v>0.4</v>
      </c>
      <c r="AL128" s="131" t="str">
        <f t="shared" si="73"/>
        <v>-</v>
      </c>
      <c r="AM128" s="131" t="str">
        <f t="shared" si="73"/>
        <v>-</v>
      </c>
      <c r="AN128" s="131" t="str">
        <f t="shared" si="73"/>
        <v>-</v>
      </c>
      <c r="AO128" s="131" t="str">
        <f t="shared" si="73"/>
        <v>-</v>
      </c>
      <c r="AP128" s="131" t="str">
        <f t="shared" si="73"/>
        <v>-</v>
      </c>
      <c r="AQ128" s="131" t="str">
        <f t="shared" si="73"/>
        <v>-</v>
      </c>
      <c r="AR128" s="131" t="str">
        <f t="shared" si="73"/>
        <v>-</v>
      </c>
      <c r="AS128" s="131" t="str">
        <f t="shared" si="73"/>
        <v>-</v>
      </c>
      <c r="AT128" s="131" t="str">
        <f t="shared" si="73"/>
        <v>-</v>
      </c>
      <c r="AU128" s="131">
        <f t="shared" si="73"/>
        <v>0.40000241787786112</v>
      </c>
      <c r="AV128" s="131" t="str">
        <f t="shared" si="73"/>
        <v>-</v>
      </c>
      <c r="AW128" s="131">
        <f t="shared" si="73"/>
        <v>0.40001621139661181</v>
      </c>
      <c r="AX128" s="131">
        <f t="shared" si="73"/>
        <v>0.39998929078204065</v>
      </c>
      <c r="AY128" s="131">
        <f t="shared" si="73"/>
        <v>0.39999711160439694</v>
      </c>
      <c r="AZ128" s="131">
        <f t="shared" si="73"/>
        <v>0.39999632867288665</v>
      </c>
      <c r="BA128" s="131">
        <f t="shared" si="73"/>
        <v>0.39999704392267904</v>
      </c>
      <c r="BB128" s="131">
        <f t="shared" si="73"/>
        <v>0.40001067976718108</v>
      </c>
      <c r="BC128" s="131">
        <f t="shared" si="73"/>
        <v>0.4</v>
      </c>
      <c r="BD128" s="131">
        <f t="shared" si="73"/>
        <v>0.4</v>
      </c>
      <c r="BE128" s="131">
        <f t="shared" si="73"/>
        <v>0.39999999999999991</v>
      </c>
      <c r="BF128" s="131" t="str">
        <f t="shared" si="73"/>
        <v>-</v>
      </c>
      <c r="BG128" s="131" t="str">
        <f t="shared" si="73"/>
        <v>-</v>
      </c>
      <c r="BH128" s="131" t="str">
        <f t="shared" si="73"/>
        <v>-</v>
      </c>
      <c r="BI128" s="131" t="str">
        <f t="shared" si="73"/>
        <v>-</v>
      </c>
      <c r="BJ128" s="131" t="str">
        <f t="shared" si="73"/>
        <v>-</v>
      </c>
      <c r="BK128" s="131" t="str">
        <f t="shared" si="73"/>
        <v>-</v>
      </c>
      <c r="BL128" s="131" t="str">
        <f t="shared" si="73"/>
        <v>-</v>
      </c>
      <c r="BM128" s="131" t="str">
        <f t="shared" si="73"/>
        <v>-</v>
      </c>
      <c r="BN128" s="131" t="str">
        <f t="shared" si="73"/>
        <v>-</v>
      </c>
      <c r="BO128" s="131" t="str">
        <f t="shared" si="71"/>
        <v>-</v>
      </c>
      <c r="BP128" s="131" t="s">
        <v>18</v>
      </c>
      <c r="BQ128" s="131" t="s">
        <v>18</v>
      </c>
      <c r="BR128" s="131" t="s">
        <v>18</v>
      </c>
      <c r="BS128" s="131" t="s">
        <v>18</v>
      </c>
      <c r="BT128" s="131" t="s">
        <v>18</v>
      </c>
      <c r="BU128" s="131" t="s">
        <v>18</v>
      </c>
      <c r="BV128" s="131" t="s">
        <v>18</v>
      </c>
      <c r="BW128" s="131" t="s">
        <v>18</v>
      </c>
      <c r="BX128" s="131" t="str">
        <f t="shared" ref="BX128" si="75">IFERROR(BX176/BX80,"-")</f>
        <v>-</v>
      </c>
      <c r="BY128" s="215"/>
      <c r="BZ128" s="215"/>
      <c r="CA128" s="215"/>
      <c r="CB128" s="215"/>
      <c r="CC128" s="215"/>
      <c r="CD128" s="215"/>
      <c r="CE128" s="215"/>
      <c r="CF128" s="215"/>
      <c r="CG128" s="215"/>
      <c r="CH128" s="215"/>
      <c r="CI128" s="215"/>
      <c r="CJ128" s="215"/>
      <c r="CK128" s="215"/>
      <c r="CL128" s="215"/>
      <c r="CM128" s="215"/>
      <c r="CN128" s="215"/>
      <c r="CO128" s="215"/>
      <c r="CP128" s="215"/>
      <c r="CQ128" s="215"/>
      <c r="CR128" s="215"/>
      <c r="CS128" s="215"/>
      <c r="CT128" s="215"/>
      <c r="CU128" s="215"/>
      <c r="CV128" s="215"/>
      <c r="CW128" s="215"/>
      <c r="CX128" s="215"/>
      <c r="CY128" s="215"/>
      <c r="CZ128" s="215"/>
      <c r="DA128" s="215"/>
      <c r="DB128" s="215"/>
      <c r="DC128" s="215"/>
    </row>
    <row r="129" spans="1:107" s="147" customFormat="1" ht="15" hidden="1" customHeight="1" outlineLevel="1">
      <c r="A129" t="s">
        <v>244</v>
      </c>
      <c r="B129" s="142" t="s">
        <v>16</v>
      </c>
      <c r="C129" s="131" t="str">
        <f t="shared" si="73"/>
        <v>-</v>
      </c>
      <c r="D129" s="131" t="str">
        <f t="shared" si="73"/>
        <v>-</v>
      </c>
      <c r="E129" s="131" t="str">
        <f t="shared" si="73"/>
        <v>-</v>
      </c>
      <c r="F129" s="131" t="str">
        <f t="shared" si="73"/>
        <v>-</v>
      </c>
      <c r="G129" s="131" t="str">
        <f t="shared" si="73"/>
        <v>-</v>
      </c>
      <c r="H129" s="131" t="str">
        <f t="shared" si="73"/>
        <v>-</v>
      </c>
      <c r="I129" s="131" t="str">
        <f t="shared" si="73"/>
        <v>-</v>
      </c>
      <c r="J129" s="131" t="str">
        <f t="shared" si="73"/>
        <v>-</v>
      </c>
      <c r="K129" s="131" t="str">
        <f t="shared" si="73"/>
        <v>-</v>
      </c>
      <c r="L129" s="131" t="str">
        <f t="shared" si="73"/>
        <v>-</v>
      </c>
      <c r="M129" s="131" t="str">
        <f t="shared" si="73"/>
        <v>-</v>
      </c>
      <c r="N129" s="131" t="str">
        <f t="shared" si="73"/>
        <v>-</v>
      </c>
      <c r="O129" s="131" t="str">
        <f t="shared" si="73"/>
        <v>-</v>
      </c>
      <c r="P129" s="131" t="str">
        <f t="shared" si="73"/>
        <v>-</v>
      </c>
      <c r="Q129" s="131" t="str">
        <f t="shared" si="73"/>
        <v>-</v>
      </c>
      <c r="R129" s="131" t="str">
        <f t="shared" si="73"/>
        <v>-</v>
      </c>
      <c r="S129" s="131" t="str">
        <f t="shared" si="73"/>
        <v>-</v>
      </c>
      <c r="T129" s="131" t="str">
        <f t="shared" si="73"/>
        <v>-</v>
      </c>
      <c r="U129" s="131" t="str">
        <f t="shared" si="73"/>
        <v>-</v>
      </c>
      <c r="V129" s="131" t="str">
        <f t="shared" si="73"/>
        <v>-</v>
      </c>
      <c r="W129" s="131" t="str">
        <f t="shared" si="73"/>
        <v>-</v>
      </c>
      <c r="X129" s="131" t="str">
        <f t="shared" si="73"/>
        <v>-</v>
      </c>
      <c r="Y129" s="131" t="str">
        <f t="shared" si="73"/>
        <v>-</v>
      </c>
      <c r="Z129" s="131">
        <f t="shared" si="73"/>
        <v>0.8</v>
      </c>
      <c r="AA129" s="131">
        <f t="shared" si="73"/>
        <v>0.8</v>
      </c>
      <c r="AB129" s="131">
        <f t="shared" si="73"/>
        <v>0.8</v>
      </c>
      <c r="AC129" s="131">
        <f t="shared" si="73"/>
        <v>0.8</v>
      </c>
      <c r="AD129" s="131">
        <f t="shared" si="73"/>
        <v>0.8</v>
      </c>
      <c r="AE129" s="131">
        <f t="shared" si="73"/>
        <v>0.8</v>
      </c>
      <c r="AF129" s="131">
        <f t="shared" si="73"/>
        <v>0.8</v>
      </c>
      <c r="AG129" s="131">
        <f t="shared" si="73"/>
        <v>0.8</v>
      </c>
      <c r="AH129" s="131">
        <f t="shared" si="73"/>
        <v>0.8</v>
      </c>
      <c r="AI129" s="131">
        <f t="shared" si="73"/>
        <v>0.8</v>
      </c>
      <c r="AJ129" s="131">
        <f t="shared" si="73"/>
        <v>0.8</v>
      </c>
      <c r="AK129" s="131">
        <f t="shared" si="73"/>
        <v>0.8</v>
      </c>
      <c r="AL129" s="131">
        <f t="shared" si="73"/>
        <v>0.8</v>
      </c>
      <c r="AM129" s="131">
        <f t="shared" si="73"/>
        <v>0.8</v>
      </c>
      <c r="AN129" s="131">
        <f t="shared" si="73"/>
        <v>0.79999202454988549</v>
      </c>
      <c r="AO129" s="131">
        <f t="shared" si="73"/>
        <v>0.79999202454988549</v>
      </c>
      <c r="AP129" s="131">
        <f t="shared" si="73"/>
        <v>0.8</v>
      </c>
      <c r="AQ129" s="131">
        <f t="shared" si="73"/>
        <v>0.8</v>
      </c>
      <c r="AR129" s="131">
        <f t="shared" si="73"/>
        <v>0.79999999999999982</v>
      </c>
      <c r="AS129" s="131">
        <f t="shared" si="73"/>
        <v>0.8</v>
      </c>
      <c r="AT129" s="131">
        <f t="shared" si="73"/>
        <v>0.8</v>
      </c>
      <c r="AU129" s="131">
        <f t="shared" si="73"/>
        <v>0.8000042309813612</v>
      </c>
      <c r="AV129" s="131">
        <f t="shared" si="73"/>
        <v>0.7998530648386909</v>
      </c>
      <c r="AW129" s="131">
        <f t="shared" si="73"/>
        <v>0.79999093237821051</v>
      </c>
      <c r="AX129" s="131">
        <f t="shared" si="73"/>
        <v>0.80000453350258405</v>
      </c>
      <c r="AY129" s="131">
        <f t="shared" si="73"/>
        <v>0.8</v>
      </c>
      <c r="AZ129" s="131">
        <f t="shared" si="73"/>
        <v>0.80000326412186062</v>
      </c>
      <c r="BA129" s="131">
        <f t="shared" si="73"/>
        <v>0.8</v>
      </c>
      <c r="BB129" s="131">
        <f t="shared" si="73"/>
        <v>0.80000695257362353</v>
      </c>
      <c r="BC129" s="131">
        <f t="shared" si="73"/>
        <v>0.80000018167366871</v>
      </c>
      <c r="BD129" s="131">
        <f t="shared" si="73"/>
        <v>0.8</v>
      </c>
      <c r="BE129" s="131">
        <f t="shared" si="73"/>
        <v>0.8</v>
      </c>
      <c r="BF129" s="131">
        <f t="shared" si="73"/>
        <v>0.8</v>
      </c>
      <c r="BG129" s="131">
        <f t="shared" si="73"/>
        <v>0.8</v>
      </c>
      <c r="BH129" s="131">
        <f t="shared" si="73"/>
        <v>0.8</v>
      </c>
      <c r="BI129" s="131">
        <f t="shared" si="73"/>
        <v>0.8</v>
      </c>
      <c r="BJ129" s="131">
        <f t="shared" si="73"/>
        <v>0.8</v>
      </c>
      <c r="BK129" s="131">
        <f t="shared" si="73"/>
        <v>0.8</v>
      </c>
      <c r="BL129" s="131">
        <f t="shared" si="73"/>
        <v>0.8</v>
      </c>
      <c r="BM129" s="131">
        <f t="shared" si="73"/>
        <v>0.8</v>
      </c>
      <c r="BN129" s="131">
        <f t="shared" si="73"/>
        <v>0.8</v>
      </c>
      <c r="BO129" s="131">
        <f t="shared" si="71"/>
        <v>1</v>
      </c>
      <c r="BP129" s="131">
        <v>0.125</v>
      </c>
      <c r="BQ129" s="131">
        <v>0.125</v>
      </c>
      <c r="BR129" s="131">
        <v>0.125</v>
      </c>
      <c r="BS129" s="131">
        <v>0.125</v>
      </c>
      <c r="BT129" s="131">
        <v>0.125</v>
      </c>
      <c r="BU129" s="131">
        <v>0.125</v>
      </c>
      <c r="BV129" s="131">
        <v>0.125</v>
      </c>
      <c r="BW129" s="131">
        <v>0.125</v>
      </c>
      <c r="BX129" s="131">
        <f t="shared" ref="BX129" si="76">IFERROR(BX177/BX81,"-")</f>
        <v>0.125</v>
      </c>
      <c r="BY129" s="215"/>
      <c r="BZ129" s="215"/>
      <c r="CA129" s="215"/>
      <c r="CB129" s="215"/>
      <c r="CC129" s="215"/>
      <c r="CD129" s="215"/>
      <c r="CE129" s="215"/>
      <c r="CF129" s="215"/>
      <c r="CG129" s="215"/>
      <c r="CH129" s="215"/>
      <c r="CI129" s="215"/>
      <c r="CJ129" s="215"/>
      <c r="CK129" s="215"/>
      <c r="CL129" s="215"/>
      <c r="CM129" s="215"/>
      <c r="CN129" s="215"/>
      <c r="CO129" s="215"/>
      <c r="CP129" s="215"/>
      <c r="CQ129" s="215"/>
      <c r="CR129" s="215"/>
      <c r="CS129" s="215"/>
      <c r="CT129" s="215"/>
      <c r="CU129" s="215"/>
      <c r="CV129" s="215"/>
      <c r="CW129" s="215"/>
      <c r="CX129" s="215"/>
      <c r="CY129" s="215"/>
      <c r="CZ129" s="215"/>
      <c r="DA129" s="215"/>
      <c r="DB129" s="215"/>
      <c r="DC129" s="215"/>
    </row>
    <row r="130" spans="1:107" s="147" customFormat="1" ht="15" hidden="1" customHeight="1" outlineLevel="1">
      <c r="A130" t="s">
        <v>245</v>
      </c>
      <c r="B130" s="142" t="s">
        <v>17</v>
      </c>
      <c r="C130" s="131" t="str">
        <f t="shared" si="73"/>
        <v>-</v>
      </c>
      <c r="D130" s="131" t="str">
        <f t="shared" si="73"/>
        <v>-</v>
      </c>
      <c r="E130" s="131" t="str">
        <f t="shared" si="73"/>
        <v>-</v>
      </c>
      <c r="F130" s="131" t="str">
        <f t="shared" si="73"/>
        <v>-</v>
      </c>
      <c r="G130" s="131" t="str">
        <f t="shared" si="73"/>
        <v>-</v>
      </c>
      <c r="H130" s="131" t="str">
        <f t="shared" si="73"/>
        <v>-</v>
      </c>
      <c r="I130" s="131" t="str">
        <f t="shared" si="73"/>
        <v>-</v>
      </c>
      <c r="J130" s="131" t="str">
        <f t="shared" si="73"/>
        <v>-</v>
      </c>
      <c r="K130" s="131" t="str">
        <f t="shared" si="73"/>
        <v>-</v>
      </c>
      <c r="L130" s="131" t="str">
        <f t="shared" si="73"/>
        <v>-</v>
      </c>
      <c r="M130" s="131" t="str">
        <f t="shared" si="73"/>
        <v>-</v>
      </c>
      <c r="N130" s="131" t="str">
        <f t="shared" si="73"/>
        <v>-</v>
      </c>
      <c r="O130" s="131" t="str">
        <f t="shared" si="73"/>
        <v>-</v>
      </c>
      <c r="P130" s="131" t="str">
        <f t="shared" si="73"/>
        <v>-</v>
      </c>
      <c r="Q130" s="131" t="str">
        <f t="shared" si="73"/>
        <v>-</v>
      </c>
      <c r="R130" s="131" t="str">
        <f t="shared" si="73"/>
        <v>-</v>
      </c>
      <c r="S130" s="131" t="str">
        <f t="shared" si="73"/>
        <v>-</v>
      </c>
      <c r="T130" s="131" t="str">
        <f t="shared" si="73"/>
        <v>-</v>
      </c>
      <c r="U130" s="131" t="str">
        <f t="shared" si="73"/>
        <v>-</v>
      </c>
      <c r="V130" s="131" t="str">
        <f t="shared" si="73"/>
        <v>-</v>
      </c>
      <c r="W130" s="131" t="str">
        <f t="shared" si="73"/>
        <v>-</v>
      </c>
      <c r="X130" s="131" t="str">
        <f t="shared" si="73"/>
        <v>-</v>
      </c>
      <c r="Y130" s="131" t="str">
        <f t="shared" si="73"/>
        <v>-</v>
      </c>
      <c r="Z130" s="131">
        <f t="shared" si="73"/>
        <v>0.25</v>
      </c>
      <c r="AA130" s="131">
        <f t="shared" si="73"/>
        <v>0.25</v>
      </c>
      <c r="AB130" s="131">
        <f t="shared" si="73"/>
        <v>0.25</v>
      </c>
      <c r="AC130" s="131">
        <f t="shared" si="73"/>
        <v>0.25</v>
      </c>
      <c r="AD130" s="131">
        <f t="shared" si="73"/>
        <v>0.25</v>
      </c>
      <c r="AE130" s="131">
        <f t="shared" si="73"/>
        <v>0.25</v>
      </c>
      <c r="AF130" s="131">
        <f t="shared" si="73"/>
        <v>0.25</v>
      </c>
      <c r="AG130" s="131">
        <f t="shared" si="73"/>
        <v>0.25</v>
      </c>
      <c r="AH130" s="131">
        <f t="shared" si="73"/>
        <v>0.25</v>
      </c>
      <c r="AI130" s="131">
        <f t="shared" si="73"/>
        <v>0.25</v>
      </c>
      <c r="AJ130" s="131">
        <f t="shared" si="73"/>
        <v>0.25</v>
      </c>
      <c r="AK130" s="131">
        <f t="shared" si="73"/>
        <v>0.25</v>
      </c>
      <c r="AL130" s="131">
        <f t="shared" si="73"/>
        <v>0.25</v>
      </c>
      <c r="AM130" s="131">
        <f t="shared" si="73"/>
        <v>0.25</v>
      </c>
      <c r="AN130" s="131">
        <f t="shared" si="73"/>
        <v>0.24999740836383746</v>
      </c>
      <c r="AO130" s="131">
        <f t="shared" si="73"/>
        <v>0.25000668538574677</v>
      </c>
      <c r="AP130" s="131">
        <f t="shared" si="73"/>
        <v>0.25</v>
      </c>
      <c r="AQ130" s="131">
        <f t="shared" si="73"/>
        <v>0.25</v>
      </c>
      <c r="AR130" s="131">
        <f t="shared" si="73"/>
        <v>0.25</v>
      </c>
      <c r="AS130" s="131">
        <f t="shared" si="73"/>
        <v>0.25</v>
      </c>
      <c r="AT130" s="131">
        <f t="shared" si="73"/>
        <v>0.25</v>
      </c>
      <c r="AU130" s="131">
        <f t="shared" si="73"/>
        <v>0.25000026766595285</v>
      </c>
      <c r="AV130" s="131">
        <f t="shared" si="73"/>
        <v>0.25</v>
      </c>
      <c r="AW130" s="131">
        <f t="shared" si="73"/>
        <v>0.24999973233433373</v>
      </c>
      <c r="AX130" s="131">
        <f t="shared" si="73"/>
        <v>0.24999973233433373</v>
      </c>
      <c r="AY130" s="131">
        <f t="shared" si="73"/>
        <v>0.25</v>
      </c>
      <c r="AZ130" s="131">
        <f t="shared" si="73"/>
        <v>0.25000026766595285</v>
      </c>
      <c r="BA130" s="131">
        <f t="shared" si="73"/>
        <v>0.25000000000000006</v>
      </c>
      <c r="BB130" s="131">
        <f t="shared" si="73"/>
        <v>0.25001181978889025</v>
      </c>
      <c r="BC130" s="131">
        <f t="shared" si="73"/>
        <v>0.25000013351847894</v>
      </c>
      <c r="BD130" s="131">
        <f t="shared" si="73"/>
        <v>0.25</v>
      </c>
      <c r="BE130" s="131">
        <f t="shared" si="73"/>
        <v>0.25</v>
      </c>
      <c r="BF130" s="131">
        <f t="shared" si="73"/>
        <v>0.25</v>
      </c>
      <c r="BG130" s="131">
        <f t="shared" si="73"/>
        <v>0.25</v>
      </c>
      <c r="BH130" s="131">
        <f t="shared" si="73"/>
        <v>0.25</v>
      </c>
      <c r="BI130" s="131">
        <f t="shared" si="73"/>
        <v>0.25</v>
      </c>
      <c r="BJ130" s="131">
        <f t="shared" si="73"/>
        <v>0.25</v>
      </c>
      <c r="BK130" s="131">
        <f t="shared" si="73"/>
        <v>0.25</v>
      </c>
      <c r="BL130" s="131">
        <f t="shared" si="73"/>
        <v>0.25</v>
      </c>
      <c r="BM130" s="131">
        <f t="shared" si="73"/>
        <v>0.25</v>
      </c>
      <c r="BN130" s="131">
        <f t="shared" ref="BN130:BO133" si="77">IFERROR(BN178/BN82,"-")</f>
        <v>0.25</v>
      </c>
      <c r="BO130" s="131">
        <f t="shared" si="77"/>
        <v>0.25</v>
      </c>
      <c r="BP130" s="131">
        <v>1</v>
      </c>
      <c r="BQ130" s="131">
        <v>1</v>
      </c>
      <c r="BR130" s="131">
        <v>1</v>
      </c>
      <c r="BS130" s="131">
        <v>1</v>
      </c>
      <c r="BT130" s="131">
        <v>1</v>
      </c>
      <c r="BU130" s="131">
        <v>1</v>
      </c>
      <c r="BV130" s="131">
        <v>1</v>
      </c>
      <c r="BW130" s="131">
        <v>1</v>
      </c>
      <c r="BX130" s="131">
        <f t="shared" ref="BX130" si="78">IFERROR(BX178/BX82,"-")</f>
        <v>1</v>
      </c>
      <c r="BY130" s="215"/>
      <c r="BZ130" s="215"/>
      <c r="CA130" s="215"/>
      <c r="CB130" s="215"/>
      <c r="CC130" s="215"/>
      <c r="CD130" s="215"/>
      <c r="CE130" s="215"/>
      <c r="CF130" s="215"/>
      <c r="CG130" s="215"/>
      <c r="CH130" s="215"/>
      <c r="CI130" s="215"/>
      <c r="CJ130" s="215"/>
      <c r="CK130" s="215"/>
      <c r="CL130" s="215"/>
      <c r="CM130" s="215"/>
      <c r="CN130" s="215"/>
      <c r="CO130" s="215"/>
      <c r="CP130" s="215"/>
      <c r="CQ130" s="215"/>
      <c r="CR130" s="215"/>
      <c r="CS130" s="215"/>
      <c r="CT130" s="215"/>
      <c r="CU130" s="215"/>
      <c r="CV130" s="215"/>
      <c r="CW130" s="215"/>
      <c r="CX130" s="215"/>
      <c r="CY130" s="215"/>
      <c r="CZ130" s="215"/>
      <c r="DA130" s="215"/>
      <c r="DB130" s="215"/>
      <c r="DC130" s="215"/>
    </row>
    <row r="131" spans="1:107" s="148" customFormat="1" ht="15" hidden="1" customHeight="1" outlineLevel="1">
      <c r="A131" t="s">
        <v>246</v>
      </c>
      <c r="B131" s="142" t="s">
        <v>20</v>
      </c>
      <c r="C131" s="131" t="str">
        <f t="shared" ref="C131:BN134" si="79">IFERROR(C179/C83,"-")</f>
        <v>-</v>
      </c>
      <c r="D131" s="131" t="str">
        <f t="shared" si="79"/>
        <v>-</v>
      </c>
      <c r="E131" s="131" t="str">
        <f t="shared" si="79"/>
        <v>-</v>
      </c>
      <c r="F131" s="131" t="str">
        <f t="shared" si="79"/>
        <v>-</v>
      </c>
      <c r="G131" s="131" t="str">
        <f t="shared" si="79"/>
        <v>-</v>
      </c>
      <c r="H131" s="131" t="str">
        <f t="shared" si="79"/>
        <v>-</v>
      </c>
      <c r="I131" s="131" t="str">
        <f t="shared" si="79"/>
        <v>-</v>
      </c>
      <c r="J131" s="131" t="str">
        <f t="shared" si="79"/>
        <v>-</v>
      </c>
      <c r="K131" s="131" t="str">
        <f t="shared" si="79"/>
        <v>-</v>
      </c>
      <c r="L131" s="131" t="str">
        <f t="shared" si="79"/>
        <v>-</v>
      </c>
      <c r="M131" s="131" t="str">
        <f t="shared" si="79"/>
        <v>-</v>
      </c>
      <c r="N131" s="131" t="str">
        <f t="shared" si="79"/>
        <v>-</v>
      </c>
      <c r="O131" s="131" t="str">
        <f t="shared" si="79"/>
        <v>-</v>
      </c>
      <c r="P131" s="131" t="str">
        <f t="shared" si="79"/>
        <v>-</v>
      </c>
      <c r="Q131" s="131" t="str">
        <f t="shared" si="79"/>
        <v>-</v>
      </c>
      <c r="R131" s="131" t="str">
        <f t="shared" si="79"/>
        <v>-</v>
      </c>
      <c r="S131" s="131" t="str">
        <f t="shared" si="79"/>
        <v>-</v>
      </c>
      <c r="T131" s="131" t="str">
        <f t="shared" si="79"/>
        <v>-</v>
      </c>
      <c r="U131" s="131" t="str">
        <f t="shared" si="79"/>
        <v>-</v>
      </c>
      <c r="V131" s="131" t="str">
        <f t="shared" si="79"/>
        <v>-</v>
      </c>
      <c r="W131" s="131" t="str">
        <f t="shared" si="79"/>
        <v>-</v>
      </c>
      <c r="X131" s="131" t="str">
        <f t="shared" si="79"/>
        <v>-</v>
      </c>
      <c r="Y131" s="131" t="str">
        <f t="shared" si="79"/>
        <v>-</v>
      </c>
      <c r="Z131" s="131" t="str">
        <f t="shared" si="79"/>
        <v>-</v>
      </c>
      <c r="AA131" s="131" t="str">
        <f t="shared" si="79"/>
        <v>-</v>
      </c>
      <c r="AB131" s="131" t="str">
        <f t="shared" si="79"/>
        <v>-</v>
      </c>
      <c r="AC131" s="131" t="str">
        <f t="shared" si="79"/>
        <v>-</v>
      </c>
      <c r="AD131" s="131" t="str">
        <f t="shared" si="79"/>
        <v>-</v>
      </c>
      <c r="AE131" s="131" t="str">
        <f t="shared" si="79"/>
        <v>-</v>
      </c>
      <c r="AF131" s="131">
        <f t="shared" si="79"/>
        <v>1</v>
      </c>
      <c r="AG131" s="131">
        <f t="shared" si="79"/>
        <v>1</v>
      </c>
      <c r="AH131" s="131">
        <f t="shared" si="79"/>
        <v>1</v>
      </c>
      <c r="AI131" s="131">
        <f t="shared" si="79"/>
        <v>1</v>
      </c>
      <c r="AJ131" s="131">
        <f t="shared" si="79"/>
        <v>1</v>
      </c>
      <c r="AK131" s="131">
        <f t="shared" si="79"/>
        <v>1</v>
      </c>
      <c r="AL131" s="131">
        <f t="shared" si="79"/>
        <v>1</v>
      </c>
      <c r="AM131" s="131">
        <f t="shared" si="79"/>
        <v>1</v>
      </c>
      <c r="AN131" s="131">
        <f t="shared" si="79"/>
        <v>1</v>
      </c>
      <c r="AO131" s="131">
        <f t="shared" si="79"/>
        <v>0.99997533005082617</v>
      </c>
      <c r="AP131" s="131">
        <f t="shared" si="79"/>
        <v>1</v>
      </c>
      <c r="AQ131" s="131">
        <f t="shared" si="79"/>
        <v>1</v>
      </c>
      <c r="AR131" s="131">
        <f t="shared" si="79"/>
        <v>1</v>
      </c>
      <c r="AS131" s="131">
        <f t="shared" si="79"/>
        <v>1</v>
      </c>
      <c r="AT131" s="131">
        <f t="shared" si="79"/>
        <v>1</v>
      </c>
      <c r="AU131" s="131">
        <f t="shared" si="79"/>
        <v>0.92002267235679513</v>
      </c>
      <c r="AV131" s="131">
        <f t="shared" si="79"/>
        <v>1</v>
      </c>
      <c r="AW131" s="131">
        <f t="shared" si="79"/>
        <v>0.99997274345821441</v>
      </c>
      <c r="AX131" s="131">
        <f t="shared" si="79"/>
        <v>0.91999279755116736</v>
      </c>
      <c r="AY131" s="131">
        <f t="shared" si="79"/>
        <v>0.92</v>
      </c>
      <c r="AZ131" s="131">
        <f t="shared" si="79"/>
        <v>0.92000220875097538</v>
      </c>
      <c r="BA131" s="131">
        <f t="shared" si="79"/>
        <v>0.92</v>
      </c>
      <c r="BB131" s="131">
        <f t="shared" si="79"/>
        <v>0.91998059244208308</v>
      </c>
      <c r="BC131" s="131">
        <f t="shared" si="79"/>
        <v>0.92</v>
      </c>
      <c r="BD131" s="131">
        <f t="shared" si="79"/>
        <v>1</v>
      </c>
      <c r="BE131" s="131">
        <f t="shared" si="79"/>
        <v>1</v>
      </c>
      <c r="BF131" s="131">
        <f t="shared" si="79"/>
        <v>1</v>
      </c>
      <c r="BG131" s="131">
        <f t="shared" si="79"/>
        <v>1</v>
      </c>
      <c r="BH131" s="131">
        <f t="shared" si="79"/>
        <v>1</v>
      </c>
      <c r="BI131" s="131">
        <f t="shared" si="79"/>
        <v>1</v>
      </c>
      <c r="BJ131" s="131">
        <f t="shared" si="79"/>
        <v>1</v>
      </c>
      <c r="BK131" s="131">
        <f t="shared" si="79"/>
        <v>1</v>
      </c>
      <c r="BL131" s="131">
        <f t="shared" si="79"/>
        <v>1</v>
      </c>
      <c r="BM131" s="131">
        <f t="shared" si="79"/>
        <v>1</v>
      </c>
      <c r="BN131" s="131">
        <f t="shared" si="79"/>
        <v>1</v>
      </c>
      <c r="BO131" s="131">
        <f t="shared" si="77"/>
        <v>1</v>
      </c>
      <c r="BP131" s="131">
        <v>1</v>
      </c>
      <c r="BQ131" s="131">
        <v>1</v>
      </c>
      <c r="BR131" s="131">
        <v>1</v>
      </c>
      <c r="BS131" s="131">
        <v>1</v>
      </c>
      <c r="BT131" s="131">
        <v>1</v>
      </c>
      <c r="BU131" s="131">
        <v>1</v>
      </c>
      <c r="BV131" s="131">
        <v>1</v>
      </c>
      <c r="BW131" s="131">
        <v>1</v>
      </c>
      <c r="BX131" s="131">
        <f t="shared" ref="BX131" si="80">IFERROR(BX179/BX83,"-")</f>
        <v>1</v>
      </c>
      <c r="BY131" s="216"/>
      <c r="BZ131" s="216"/>
      <c r="CA131" s="216"/>
      <c r="CB131" s="216"/>
      <c r="CC131" s="216"/>
      <c r="CD131" s="216"/>
      <c r="CE131" s="216"/>
      <c r="CF131" s="216"/>
      <c r="CG131" s="216"/>
      <c r="CH131" s="216"/>
      <c r="CI131" s="216"/>
      <c r="CJ131" s="216"/>
      <c r="CK131" s="216"/>
      <c r="CL131" s="216"/>
      <c r="CM131" s="216"/>
      <c r="CN131" s="216"/>
      <c r="CO131" s="216"/>
      <c r="CP131" s="216"/>
      <c r="CQ131" s="216"/>
      <c r="CR131" s="216"/>
      <c r="CS131" s="216"/>
      <c r="CT131" s="216"/>
      <c r="CU131" s="216"/>
      <c r="CV131" s="216"/>
      <c r="CW131" s="216"/>
      <c r="CX131" s="216"/>
      <c r="CY131" s="216"/>
      <c r="CZ131" s="216"/>
      <c r="DA131" s="216"/>
      <c r="DB131" s="216"/>
      <c r="DC131" s="216"/>
    </row>
    <row r="132" spans="1:107" s="147" customFormat="1" ht="15" hidden="1" customHeight="1" outlineLevel="1">
      <c r="A132" t="s">
        <v>247</v>
      </c>
      <c r="B132" s="142" t="s">
        <v>23</v>
      </c>
      <c r="C132" s="131" t="str">
        <f t="shared" si="79"/>
        <v>-</v>
      </c>
      <c r="D132" s="131" t="str">
        <f t="shared" si="79"/>
        <v>-</v>
      </c>
      <c r="E132" s="131" t="str">
        <f t="shared" si="79"/>
        <v>-</v>
      </c>
      <c r="F132" s="131" t="str">
        <f t="shared" si="79"/>
        <v>-</v>
      </c>
      <c r="G132" s="131" t="str">
        <f t="shared" si="79"/>
        <v>-</v>
      </c>
      <c r="H132" s="131" t="str">
        <f t="shared" si="79"/>
        <v>-</v>
      </c>
      <c r="I132" s="131" t="str">
        <f t="shared" si="79"/>
        <v>-</v>
      </c>
      <c r="J132" s="131" t="str">
        <f t="shared" si="79"/>
        <v>-</v>
      </c>
      <c r="K132" s="131" t="str">
        <f t="shared" si="79"/>
        <v>-</v>
      </c>
      <c r="L132" s="131" t="str">
        <f t="shared" si="79"/>
        <v>-</v>
      </c>
      <c r="M132" s="131" t="str">
        <f t="shared" si="79"/>
        <v>-</v>
      </c>
      <c r="N132" s="131" t="str">
        <f t="shared" si="79"/>
        <v>-</v>
      </c>
      <c r="O132" s="131" t="str">
        <f t="shared" si="79"/>
        <v>-</v>
      </c>
      <c r="P132" s="131" t="str">
        <f t="shared" si="79"/>
        <v>-</v>
      </c>
      <c r="Q132" s="131" t="str">
        <f t="shared" si="79"/>
        <v>-</v>
      </c>
      <c r="R132" s="131" t="str">
        <f t="shared" si="79"/>
        <v>-</v>
      </c>
      <c r="S132" s="131" t="str">
        <f t="shared" si="79"/>
        <v>-</v>
      </c>
      <c r="T132" s="131" t="str">
        <f t="shared" si="79"/>
        <v>-</v>
      </c>
      <c r="U132" s="131" t="str">
        <f t="shared" si="79"/>
        <v>-</v>
      </c>
      <c r="V132" s="131" t="str">
        <f t="shared" si="79"/>
        <v>-</v>
      </c>
      <c r="W132" s="131" t="str">
        <f t="shared" si="79"/>
        <v>-</v>
      </c>
      <c r="X132" s="131" t="str">
        <f t="shared" si="79"/>
        <v>-</v>
      </c>
      <c r="Y132" s="131" t="str">
        <f t="shared" si="79"/>
        <v>-</v>
      </c>
      <c r="Z132" s="131" t="str">
        <f t="shared" si="79"/>
        <v>-</v>
      </c>
      <c r="AA132" s="131" t="str">
        <f t="shared" si="79"/>
        <v>-</v>
      </c>
      <c r="AB132" s="131" t="str">
        <f t="shared" si="79"/>
        <v>-</v>
      </c>
      <c r="AC132" s="131" t="str">
        <f t="shared" si="79"/>
        <v>-</v>
      </c>
      <c r="AD132" s="131" t="str">
        <f t="shared" si="79"/>
        <v>-</v>
      </c>
      <c r="AE132" s="131" t="str">
        <f t="shared" si="79"/>
        <v>-</v>
      </c>
      <c r="AF132" s="131" t="str">
        <f t="shared" si="79"/>
        <v>-</v>
      </c>
      <c r="AG132" s="131" t="str">
        <f t="shared" si="79"/>
        <v>-</v>
      </c>
      <c r="AH132" s="131" t="str">
        <f t="shared" si="79"/>
        <v>-</v>
      </c>
      <c r="AI132" s="131" t="str">
        <f t="shared" si="79"/>
        <v>-</v>
      </c>
      <c r="AJ132" s="131">
        <f t="shared" si="79"/>
        <v>0.5312596156535847</v>
      </c>
      <c r="AK132" s="131">
        <f t="shared" si="79"/>
        <v>0.5312596156535847</v>
      </c>
      <c r="AL132" s="131">
        <f t="shared" si="79"/>
        <v>0.5312596156535847</v>
      </c>
      <c r="AM132" s="131">
        <f t="shared" si="79"/>
        <v>0.5312596156535847</v>
      </c>
      <c r="AN132" s="131">
        <f t="shared" si="79"/>
        <v>0.5312596156535847</v>
      </c>
      <c r="AO132" s="131">
        <f t="shared" si="79"/>
        <v>0.5312596156535847</v>
      </c>
      <c r="AP132" s="131">
        <f t="shared" si="79"/>
        <v>0.53125</v>
      </c>
      <c r="AQ132" s="131">
        <f t="shared" si="79"/>
        <v>0.53125</v>
      </c>
      <c r="AR132" s="131">
        <f t="shared" si="79"/>
        <v>0.53125505606571033</v>
      </c>
      <c r="AS132" s="131">
        <f t="shared" si="79"/>
        <v>0.53125</v>
      </c>
      <c r="AT132" s="131">
        <f t="shared" si="79"/>
        <v>0.53125</v>
      </c>
      <c r="AU132" s="131">
        <f t="shared" si="79"/>
        <v>0.53125</v>
      </c>
      <c r="AV132" s="131">
        <f t="shared" si="79"/>
        <v>0.53124103570051107</v>
      </c>
      <c r="AW132" s="131">
        <f t="shared" si="79"/>
        <v>0.5312770875469518</v>
      </c>
      <c r="AX132" s="131">
        <f t="shared" si="79"/>
        <v>0.5312770875469518</v>
      </c>
      <c r="AY132" s="131">
        <f t="shared" si="79"/>
        <v>0.53125</v>
      </c>
      <c r="AZ132" s="131">
        <f t="shared" si="79"/>
        <v>0.53125920976596352</v>
      </c>
      <c r="BA132" s="131">
        <f t="shared" si="79"/>
        <v>0.53125</v>
      </c>
      <c r="BB132" s="131">
        <f t="shared" si="79"/>
        <v>0.53126787747106374</v>
      </c>
      <c r="BC132" s="131">
        <f t="shared" si="79"/>
        <v>0.53125</v>
      </c>
      <c r="BD132" s="131">
        <f t="shared" si="79"/>
        <v>0.53125</v>
      </c>
      <c r="BE132" s="131">
        <f t="shared" si="79"/>
        <v>0.53125</v>
      </c>
      <c r="BF132" s="131">
        <f t="shared" si="79"/>
        <v>0.53125</v>
      </c>
      <c r="BG132" s="131">
        <f t="shared" si="79"/>
        <v>0.53125</v>
      </c>
      <c r="BH132" s="131">
        <f t="shared" si="79"/>
        <v>0.53125</v>
      </c>
      <c r="BI132" s="131">
        <f t="shared" si="79"/>
        <v>0.53125</v>
      </c>
      <c r="BJ132" s="131">
        <f t="shared" si="79"/>
        <v>0.53125</v>
      </c>
      <c r="BK132" s="131">
        <f t="shared" si="79"/>
        <v>0.53125</v>
      </c>
      <c r="BL132" s="131">
        <f t="shared" si="79"/>
        <v>0.53125</v>
      </c>
      <c r="BM132" s="131">
        <f t="shared" si="79"/>
        <v>0.53125</v>
      </c>
      <c r="BN132" s="131">
        <f t="shared" si="79"/>
        <v>0.53125</v>
      </c>
      <c r="BO132" s="131">
        <f t="shared" si="77"/>
        <v>0.53125</v>
      </c>
      <c r="BP132" s="131" t="s">
        <v>18</v>
      </c>
      <c r="BQ132" s="131" t="s">
        <v>18</v>
      </c>
      <c r="BR132" s="131" t="s">
        <v>18</v>
      </c>
      <c r="BS132" s="131" t="s">
        <v>18</v>
      </c>
      <c r="BT132" s="131" t="s">
        <v>18</v>
      </c>
      <c r="BU132" s="131" t="s">
        <v>18</v>
      </c>
      <c r="BV132" s="131" t="s">
        <v>18</v>
      </c>
      <c r="BW132" s="131" t="s">
        <v>18</v>
      </c>
      <c r="BX132" s="131" t="str">
        <f t="shared" ref="BX132" si="81">IFERROR(BX180/BX84,"-")</f>
        <v>-</v>
      </c>
      <c r="BY132" s="215"/>
      <c r="BZ132" s="215"/>
      <c r="CA132" s="215"/>
      <c r="CB132" s="215"/>
      <c r="CC132" s="215"/>
      <c r="CD132" s="215"/>
      <c r="CE132" s="215"/>
      <c r="CF132" s="215"/>
      <c r="CG132" s="215"/>
      <c r="CH132" s="215"/>
      <c r="CI132" s="215"/>
      <c r="CJ132" s="215"/>
      <c r="CK132" s="215"/>
      <c r="CL132" s="215"/>
      <c r="CM132" s="215"/>
      <c r="CN132" s="215"/>
      <c r="CO132" s="215"/>
      <c r="CP132" s="215"/>
      <c r="CQ132" s="215"/>
      <c r="CR132" s="215"/>
      <c r="CS132" s="215"/>
      <c r="CT132" s="215"/>
      <c r="CU132" s="215"/>
      <c r="CV132" s="215"/>
      <c r="CW132" s="215"/>
      <c r="CX132" s="215"/>
      <c r="CY132" s="215"/>
      <c r="CZ132" s="215"/>
      <c r="DA132" s="215"/>
      <c r="DB132" s="215"/>
      <c r="DC132" s="215"/>
    </row>
    <row r="133" spans="1:107" s="147" customFormat="1" ht="15" hidden="1" customHeight="1" outlineLevel="1">
      <c r="A133" t="s">
        <v>18</v>
      </c>
      <c r="B133" s="142" t="s">
        <v>13</v>
      </c>
      <c r="C133" s="131" t="str">
        <f t="shared" si="79"/>
        <v>-</v>
      </c>
      <c r="D133" s="131" t="str">
        <f t="shared" si="79"/>
        <v>-</v>
      </c>
      <c r="E133" s="131" t="str">
        <f t="shared" si="79"/>
        <v>-</v>
      </c>
      <c r="F133" s="131" t="str">
        <f t="shared" si="79"/>
        <v>-</v>
      </c>
      <c r="G133" s="131" t="str">
        <f t="shared" si="79"/>
        <v>-</v>
      </c>
      <c r="H133" s="131" t="str">
        <f t="shared" si="79"/>
        <v>-</v>
      </c>
      <c r="I133" s="131" t="str">
        <f t="shared" si="79"/>
        <v>-</v>
      </c>
      <c r="J133" s="131" t="str">
        <f t="shared" si="79"/>
        <v>-</v>
      </c>
      <c r="K133" s="131" t="str">
        <f t="shared" si="79"/>
        <v>-</v>
      </c>
      <c r="L133" s="131" t="str">
        <f t="shared" si="79"/>
        <v>-</v>
      </c>
      <c r="M133" s="131" t="str">
        <f t="shared" si="79"/>
        <v>-</v>
      </c>
      <c r="N133" s="131" t="str">
        <f t="shared" si="79"/>
        <v>-</v>
      </c>
      <c r="O133" s="131" t="str">
        <f t="shared" si="79"/>
        <v>-</v>
      </c>
      <c r="P133" s="131" t="str">
        <f t="shared" si="79"/>
        <v>-</v>
      </c>
      <c r="Q133" s="131" t="str">
        <f t="shared" si="79"/>
        <v>-</v>
      </c>
      <c r="R133" s="131" t="str">
        <f t="shared" si="79"/>
        <v>-</v>
      </c>
      <c r="S133" s="131" t="str">
        <f t="shared" si="79"/>
        <v>-</v>
      </c>
      <c r="T133" s="131">
        <f t="shared" si="79"/>
        <v>0.25</v>
      </c>
      <c r="U133" s="131">
        <f t="shared" si="79"/>
        <v>0.25</v>
      </c>
      <c r="V133" s="131">
        <f t="shared" si="79"/>
        <v>0.25</v>
      </c>
      <c r="W133" s="131">
        <f t="shared" si="79"/>
        <v>0.25</v>
      </c>
      <c r="X133" s="131">
        <f t="shared" si="79"/>
        <v>0.25</v>
      </c>
      <c r="Y133" s="131">
        <f t="shared" si="79"/>
        <v>0.25</v>
      </c>
      <c r="Z133" s="131">
        <f t="shared" si="79"/>
        <v>0.25</v>
      </c>
      <c r="AA133" s="131">
        <f t="shared" si="79"/>
        <v>0.25</v>
      </c>
      <c r="AB133" s="131">
        <f t="shared" si="79"/>
        <v>0.25</v>
      </c>
      <c r="AC133" s="131">
        <f t="shared" si="79"/>
        <v>0.25</v>
      </c>
      <c r="AD133" s="131">
        <f t="shared" si="79"/>
        <v>0.25</v>
      </c>
      <c r="AE133" s="131">
        <f t="shared" si="79"/>
        <v>0.25</v>
      </c>
      <c r="AF133" s="131">
        <f t="shared" si="79"/>
        <v>0.25</v>
      </c>
      <c r="AG133" s="131">
        <f t="shared" si="79"/>
        <v>0.25</v>
      </c>
      <c r="AH133" s="131">
        <f t="shared" si="79"/>
        <v>0.25</v>
      </c>
      <c r="AI133" s="131">
        <f t="shared" si="79"/>
        <v>0.25</v>
      </c>
      <c r="AJ133" s="131">
        <f t="shared" si="79"/>
        <v>0.25</v>
      </c>
      <c r="AK133" s="131">
        <f t="shared" si="79"/>
        <v>0.25</v>
      </c>
      <c r="AL133" s="131" t="str">
        <f t="shared" si="79"/>
        <v>-</v>
      </c>
      <c r="AM133" s="131" t="str">
        <f t="shared" si="79"/>
        <v>-</v>
      </c>
      <c r="AN133" s="131" t="str">
        <f t="shared" si="79"/>
        <v>-</v>
      </c>
      <c r="AO133" s="131" t="str">
        <f t="shared" si="79"/>
        <v>-</v>
      </c>
      <c r="AP133" s="131" t="str">
        <f t="shared" si="79"/>
        <v>-</v>
      </c>
      <c r="AQ133" s="131" t="str">
        <f t="shared" si="79"/>
        <v>-</v>
      </c>
      <c r="AR133" s="131" t="str">
        <f t="shared" si="79"/>
        <v>-</v>
      </c>
      <c r="AS133" s="131" t="str">
        <f t="shared" si="79"/>
        <v>-</v>
      </c>
      <c r="AT133" s="131" t="str">
        <f t="shared" si="79"/>
        <v>-</v>
      </c>
      <c r="AU133" s="131" t="str">
        <f t="shared" si="79"/>
        <v>-</v>
      </c>
      <c r="AV133" s="131" t="str">
        <f t="shared" si="79"/>
        <v>-</v>
      </c>
      <c r="AW133" s="131" t="str">
        <f t="shared" si="79"/>
        <v>-</v>
      </c>
      <c r="AX133" s="131" t="str">
        <f t="shared" si="79"/>
        <v>-</v>
      </c>
      <c r="AY133" s="131" t="str">
        <f t="shared" si="79"/>
        <v>-</v>
      </c>
      <c r="AZ133" s="131" t="str">
        <f t="shared" si="79"/>
        <v>-</v>
      </c>
      <c r="BA133" s="131" t="str">
        <f t="shared" si="79"/>
        <v>-</v>
      </c>
      <c r="BB133" s="131" t="str">
        <f t="shared" si="79"/>
        <v>-</v>
      </c>
      <c r="BC133" s="131" t="str">
        <f t="shared" si="79"/>
        <v>-</v>
      </c>
      <c r="BD133" s="131" t="str">
        <f t="shared" si="79"/>
        <v>-</v>
      </c>
      <c r="BE133" s="131" t="str">
        <f t="shared" si="79"/>
        <v>-</v>
      </c>
      <c r="BF133" s="131" t="str">
        <f t="shared" si="79"/>
        <v>-</v>
      </c>
      <c r="BG133" s="131" t="str">
        <f t="shared" si="79"/>
        <v>-</v>
      </c>
      <c r="BH133" s="131" t="str">
        <f t="shared" si="79"/>
        <v>-</v>
      </c>
      <c r="BI133" s="131" t="str">
        <f t="shared" si="79"/>
        <v>-</v>
      </c>
      <c r="BJ133" s="131" t="str">
        <f t="shared" si="79"/>
        <v>-</v>
      </c>
      <c r="BK133" s="131" t="str">
        <f t="shared" si="79"/>
        <v>-</v>
      </c>
      <c r="BL133" s="131" t="str">
        <f t="shared" si="79"/>
        <v>-</v>
      </c>
      <c r="BM133" s="131" t="str">
        <f t="shared" si="79"/>
        <v>-</v>
      </c>
      <c r="BN133" s="131" t="str">
        <f t="shared" si="79"/>
        <v>-</v>
      </c>
      <c r="BO133" s="131" t="str">
        <f t="shared" si="77"/>
        <v>-</v>
      </c>
      <c r="BP133" s="131" t="s">
        <v>18</v>
      </c>
      <c r="BQ133" s="131" t="s">
        <v>18</v>
      </c>
      <c r="BR133" s="131" t="s">
        <v>18</v>
      </c>
      <c r="BS133" s="131" t="s">
        <v>18</v>
      </c>
      <c r="BT133" s="131" t="s">
        <v>18</v>
      </c>
      <c r="BU133" s="131" t="s">
        <v>18</v>
      </c>
      <c r="BV133" s="131" t="s">
        <v>18</v>
      </c>
      <c r="BW133" s="131" t="s">
        <v>18</v>
      </c>
      <c r="BX133" s="131" t="str">
        <f t="shared" ref="BX133" si="82">IFERROR(BX181/BX85,"-")</f>
        <v>-</v>
      </c>
      <c r="BY133" s="215"/>
      <c r="BZ133" s="215"/>
      <c r="CA133" s="215"/>
      <c r="CB133" s="215"/>
      <c r="CC133" s="215"/>
      <c r="CD133" s="215"/>
      <c r="CE133" s="215"/>
      <c r="CF133" s="215"/>
      <c r="CG133" s="215"/>
      <c r="CH133" s="215"/>
      <c r="CI133" s="215"/>
      <c r="CJ133" s="215"/>
      <c r="CK133" s="215"/>
      <c r="CL133" s="215"/>
      <c r="CM133" s="215"/>
      <c r="CN133" s="215"/>
      <c r="CO133" s="215"/>
      <c r="CP133" s="215"/>
      <c r="CQ133" s="215"/>
      <c r="CR133" s="215"/>
      <c r="CS133" s="215"/>
      <c r="CT133" s="215"/>
      <c r="CU133" s="215"/>
      <c r="CV133" s="215"/>
      <c r="CW133" s="215"/>
      <c r="CX133" s="215"/>
      <c r="CY133" s="215"/>
      <c r="CZ133" s="215"/>
      <c r="DA133" s="215"/>
      <c r="DB133" s="215"/>
      <c r="DC133" s="215"/>
    </row>
    <row r="134" spans="1:107" s="146" customFormat="1" ht="15" customHeight="1" collapsed="1">
      <c r="A134" s="15"/>
      <c r="B134" s="80" t="str">
        <f>IF('Sumário | Summary'!P1=1,"Galpões Logísticos","Distribution Centers")</f>
        <v>Galpões Logísticos</v>
      </c>
      <c r="C134" s="130">
        <f t="shared" si="79"/>
        <v>1.0000039653193173</v>
      </c>
      <c r="D134" s="130">
        <f t="shared" si="79"/>
        <v>1.0000039653193173</v>
      </c>
      <c r="E134" s="130">
        <f t="shared" si="79"/>
        <v>1.0000039653193173</v>
      </c>
      <c r="F134" s="130">
        <f t="shared" si="79"/>
        <v>1.0000039653193173</v>
      </c>
      <c r="G134" s="130">
        <f t="shared" si="79"/>
        <v>1.0000039653193173</v>
      </c>
      <c r="H134" s="130">
        <f t="shared" si="79"/>
        <v>1.0000039653193173</v>
      </c>
      <c r="I134" s="130">
        <f t="shared" si="79"/>
        <v>1.0000039653193173</v>
      </c>
      <c r="J134" s="130">
        <f t="shared" si="79"/>
        <v>1.0000039653193173</v>
      </c>
      <c r="K134" s="130">
        <f t="shared" si="79"/>
        <v>1.0000039653193173</v>
      </c>
      <c r="L134" s="130">
        <f t="shared" si="79"/>
        <v>1.0000039653193173</v>
      </c>
      <c r="M134" s="130">
        <f t="shared" si="79"/>
        <v>1.0000039653193173</v>
      </c>
      <c r="N134" s="130">
        <f t="shared" si="79"/>
        <v>1.0000039653193173</v>
      </c>
      <c r="O134" s="130">
        <f t="shared" si="79"/>
        <v>1.0000039653193173</v>
      </c>
      <c r="P134" s="130">
        <f t="shared" si="79"/>
        <v>1.0000039653193173</v>
      </c>
      <c r="Q134" s="130">
        <f t="shared" si="79"/>
        <v>0.56540684403988706</v>
      </c>
      <c r="R134" s="130">
        <f t="shared" si="79"/>
        <v>0.3504715386790897</v>
      </c>
      <c r="S134" s="130">
        <f t="shared" si="79"/>
        <v>0.27813539963521389</v>
      </c>
      <c r="T134" s="130">
        <f t="shared" si="79"/>
        <v>0.27813539963521389</v>
      </c>
      <c r="U134" s="130">
        <f t="shared" si="79"/>
        <v>0.27813539963521389</v>
      </c>
      <c r="V134" s="130">
        <f t="shared" si="79"/>
        <v>0.27813539963521389</v>
      </c>
      <c r="W134" s="130">
        <f t="shared" si="79"/>
        <v>0.19501910842394299</v>
      </c>
      <c r="X134" s="130">
        <f t="shared" si="79"/>
        <v>0.16483735189830553</v>
      </c>
      <c r="Y134" s="130">
        <f t="shared" si="79"/>
        <v>0.16483735189830553</v>
      </c>
      <c r="Z134" s="130">
        <f t="shared" si="79"/>
        <v>0.19304563774137939</v>
      </c>
      <c r="AA134" s="130">
        <f t="shared" si="79"/>
        <v>0.19304516439410019</v>
      </c>
      <c r="AB134" s="130">
        <f t="shared" si="79"/>
        <v>0.22318269951815403</v>
      </c>
      <c r="AC134" s="130">
        <f t="shared" si="79"/>
        <v>0.22594519975149632</v>
      </c>
      <c r="AD134" s="130">
        <f t="shared" si="79"/>
        <v>0.2259459125859439</v>
      </c>
      <c r="AE134" s="130">
        <f t="shared" si="79"/>
        <v>0.2259459125859439</v>
      </c>
      <c r="AF134" s="130">
        <f t="shared" si="79"/>
        <v>0.22595728217469083</v>
      </c>
      <c r="AG134" s="130">
        <f t="shared" si="79"/>
        <v>0.22595728217469083</v>
      </c>
      <c r="AH134" s="130">
        <f t="shared" si="79"/>
        <v>0.22595728217469083</v>
      </c>
      <c r="AI134" s="130">
        <f t="shared" si="79"/>
        <v>0.22970238723480194</v>
      </c>
      <c r="AJ134" s="130">
        <f t="shared" si="79"/>
        <v>0.23804473057285028</v>
      </c>
      <c r="AK134" s="130">
        <f t="shared" si="79"/>
        <v>0.22690832175852527</v>
      </c>
      <c r="AL134" s="130">
        <f t="shared" si="79"/>
        <v>0.64141536740392135</v>
      </c>
      <c r="AM134" s="130">
        <f t="shared" si="79"/>
        <v>0.68342131068115386</v>
      </c>
      <c r="AN134" s="130">
        <f t="shared" si="79"/>
        <v>0.68342131068115386</v>
      </c>
      <c r="AO134" s="130">
        <f t="shared" si="79"/>
        <v>1.0000318753843511</v>
      </c>
      <c r="AP134" s="130">
        <f t="shared" si="79"/>
        <v>1.0000318753843511</v>
      </c>
      <c r="AQ134" s="130">
        <f t="shared" si="79"/>
        <v>1.0000318753843511</v>
      </c>
      <c r="AR134" s="130" t="str">
        <f t="shared" si="79"/>
        <v>-</v>
      </c>
      <c r="AS134" s="130" t="str">
        <f t="shared" si="79"/>
        <v>-</v>
      </c>
      <c r="AT134" s="130" t="str">
        <f t="shared" si="79"/>
        <v>-</v>
      </c>
      <c r="AU134" s="130" t="str">
        <f t="shared" si="79"/>
        <v>-</v>
      </c>
      <c r="AV134" s="130" t="str">
        <f t="shared" si="79"/>
        <v>-</v>
      </c>
      <c r="AW134" s="130" t="str">
        <f t="shared" si="79"/>
        <v>-</v>
      </c>
      <c r="AX134" s="130" t="str">
        <f t="shared" si="79"/>
        <v>-</v>
      </c>
      <c r="AY134" s="130" t="str">
        <f t="shared" si="79"/>
        <v>-</v>
      </c>
      <c r="AZ134" s="130" t="str">
        <f t="shared" si="79"/>
        <v>-</v>
      </c>
      <c r="BA134" s="130" t="str">
        <f t="shared" si="79"/>
        <v>-</v>
      </c>
      <c r="BB134" s="130" t="str">
        <f t="shared" si="79"/>
        <v>-</v>
      </c>
      <c r="BC134" s="130" t="str">
        <f t="shared" si="79"/>
        <v>-</v>
      </c>
      <c r="BD134" s="130" t="str">
        <f t="shared" si="79"/>
        <v>-</v>
      </c>
      <c r="BE134" s="130" t="str">
        <f t="shared" si="79"/>
        <v>-</v>
      </c>
      <c r="BF134" s="130" t="str">
        <f t="shared" si="79"/>
        <v>-</v>
      </c>
      <c r="BG134" s="130" t="str">
        <f t="shared" si="79"/>
        <v>-</v>
      </c>
      <c r="BH134" s="130" t="str">
        <f t="shared" si="79"/>
        <v>-</v>
      </c>
      <c r="BI134" s="130" t="str">
        <f t="shared" si="79"/>
        <v>-</v>
      </c>
      <c r="BJ134" s="130" t="str">
        <f t="shared" si="79"/>
        <v>-</v>
      </c>
      <c r="BK134" s="130" t="str">
        <f t="shared" si="79"/>
        <v>-</v>
      </c>
      <c r="BL134" s="130" t="str">
        <f t="shared" si="79"/>
        <v>-</v>
      </c>
      <c r="BM134" s="130" t="str">
        <f t="shared" si="79"/>
        <v>-</v>
      </c>
      <c r="BN134" s="130">
        <f t="shared" ref="BN134:BO137" si="83">IFERROR(BN182/BN86,"-")</f>
        <v>0.2</v>
      </c>
      <c r="BO134" s="130">
        <f t="shared" si="83"/>
        <v>0.2</v>
      </c>
      <c r="BP134" s="130">
        <v>0.2</v>
      </c>
      <c r="BQ134" s="130">
        <v>0.2</v>
      </c>
      <c r="BR134" s="130">
        <v>0.2</v>
      </c>
      <c r="BS134" s="130">
        <v>0.2</v>
      </c>
      <c r="BT134" s="130">
        <v>0.2</v>
      </c>
      <c r="BU134" s="130">
        <v>0.2</v>
      </c>
      <c r="BV134" s="130">
        <v>0.19999999999999998</v>
      </c>
      <c r="BW134" s="130">
        <v>0.2</v>
      </c>
      <c r="BX134" s="130">
        <f t="shared" ref="BX134" si="84">IFERROR(BX182/BX86,"-")</f>
        <v>0.2</v>
      </c>
      <c r="BY134" s="214"/>
      <c r="BZ134" s="214"/>
      <c r="CA134" s="214"/>
      <c r="CB134" s="214"/>
      <c r="CC134" s="214"/>
      <c r="CD134" s="214"/>
      <c r="CE134" s="214"/>
      <c r="CF134" s="214"/>
      <c r="CG134" s="214"/>
      <c r="CH134" s="214"/>
      <c r="CI134" s="214"/>
      <c r="CJ134" s="214"/>
      <c r="CK134" s="214"/>
      <c r="CL134" s="214"/>
      <c r="CM134" s="214"/>
      <c r="CN134" s="214"/>
      <c r="CO134" s="214"/>
      <c r="CP134" s="214"/>
      <c r="CQ134" s="214"/>
      <c r="CR134" s="214"/>
      <c r="CS134" s="214"/>
      <c r="CT134" s="214"/>
      <c r="CU134" s="214"/>
      <c r="CV134" s="214"/>
      <c r="CW134" s="214"/>
      <c r="CX134" s="214"/>
      <c r="CY134" s="214"/>
      <c r="CZ134" s="214"/>
      <c r="DA134" s="214"/>
      <c r="DB134" s="214"/>
      <c r="DC134" s="214"/>
    </row>
    <row r="135" spans="1:107" s="147" customFormat="1" ht="15" hidden="1" customHeight="1" outlineLevel="1">
      <c r="A135"/>
      <c r="B135" s="38" t="s">
        <v>314</v>
      </c>
      <c r="C135" s="131" t="str">
        <f t="shared" ref="C135:BN138" si="85">IFERROR(C183/C87,"-")</f>
        <v>-</v>
      </c>
      <c r="D135" s="131" t="str">
        <f t="shared" si="85"/>
        <v>-</v>
      </c>
      <c r="E135" s="131" t="str">
        <f t="shared" si="85"/>
        <v>-</v>
      </c>
      <c r="F135" s="131" t="str">
        <f t="shared" si="85"/>
        <v>-</v>
      </c>
      <c r="G135" s="131" t="str">
        <f t="shared" si="85"/>
        <v>-</v>
      </c>
      <c r="H135" s="131" t="str">
        <f t="shared" si="85"/>
        <v>-</v>
      </c>
      <c r="I135" s="131" t="str">
        <f t="shared" si="85"/>
        <v>-</v>
      </c>
      <c r="J135" s="131" t="str">
        <f t="shared" si="85"/>
        <v>-</v>
      </c>
      <c r="K135" s="131" t="str">
        <f t="shared" si="85"/>
        <v>-</v>
      </c>
      <c r="L135" s="131" t="str">
        <f t="shared" si="85"/>
        <v>-</v>
      </c>
      <c r="M135" s="131" t="str">
        <f t="shared" si="85"/>
        <v>-</v>
      </c>
      <c r="N135" s="131" t="str">
        <f t="shared" si="85"/>
        <v>-</v>
      </c>
      <c r="O135" s="131" t="str">
        <f t="shared" si="85"/>
        <v>-</v>
      </c>
      <c r="P135" s="131" t="str">
        <f t="shared" si="85"/>
        <v>-</v>
      </c>
      <c r="Q135" s="131" t="str">
        <f t="shared" si="85"/>
        <v>-</v>
      </c>
      <c r="R135" s="131" t="str">
        <f t="shared" si="85"/>
        <v>-</v>
      </c>
      <c r="S135" s="131" t="str">
        <f t="shared" si="85"/>
        <v>-</v>
      </c>
      <c r="T135" s="131" t="str">
        <f t="shared" si="85"/>
        <v>-</v>
      </c>
      <c r="U135" s="131" t="str">
        <f t="shared" si="85"/>
        <v>-</v>
      </c>
      <c r="V135" s="131" t="str">
        <f t="shared" si="85"/>
        <v>-</v>
      </c>
      <c r="W135" s="131" t="str">
        <f t="shared" si="85"/>
        <v>-</v>
      </c>
      <c r="X135" s="131" t="str">
        <f t="shared" si="85"/>
        <v>-</v>
      </c>
      <c r="Y135" s="131" t="str">
        <f t="shared" si="85"/>
        <v>-</v>
      </c>
      <c r="Z135" s="131" t="str">
        <f t="shared" si="85"/>
        <v>-</v>
      </c>
      <c r="AA135" s="131" t="str">
        <f t="shared" si="85"/>
        <v>-</v>
      </c>
      <c r="AB135" s="131" t="str">
        <f t="shared" si="85"/>
        <v>-</v>
      </c>
      <c r="AC135" s="131" t="str">
        <f t="shared" si="85"/>
        <v>-</v>
      </c>
      <c r="AD135" s="131" t="str">
        <f t="shared" si="85"/>
        <v>-</v>
      </c>
      <c r="AE135" s="131" t="str">
        <f t="shared" si="85"/>
        <v>-</v>
      </c>
      <c r="AF135" s="131" t="str">
        <f t="shared" si="85"/>
        <v>-</v>
      </c>
      <c r="AG135" s="131" t="str">
        <f t="shared" si="85"/>
        <v>-</v>
      </c>
      <c r="AH135" s="131" t="str">
        <f t="shared" si="85"/>
        <v>-</v>
      </c>
      <c r="AI135" s="131" t="str">
        <f t="shared" si="85"/>
        <v>-</v>
      </c>
      <c r="AJ135" s="131" t="str">
        <f t="shared" si="85"/>
        <v>-</v>
      </c>
      <c r="AK135" s="131" t="str">
        <f t="shared" si="85"/>
        <v>-</v>
      </c>
      <c r="AL135" s="131" t="str">
        <f t="shared" si="85"/>
        <v>-</v>
      </c>
      <c r="AM135" s="131" t="str">
        <f t="shared" si="85"/>
        <v>-</v>
      </c>
      <c r="AN135" s="131" t="str">
        <f t="shared" si="85"/>
        <v>-</v>
      </c>
      <c r="AO135" s="131" t="str">
        <f t="shared" si="85"/>
        <v>-</v>
      </c>
      <c r="AP135" s="131" t="str">
        <f t="shared" si="85"/>
        <v>-</v>
      </c>
      <c r="AQ135" s="131" t="str">
        <f t="shared" si="85"/>
        <v>-</v>
      </c>
      <c r="AR135" s="131" t="str">
        <f t="shared" si="85"/>
        <v>-</v>
      </c>
      <c r="AS135" s="131" t="str">
        <f t="shared" si="85"/>
        <v>-</v>
      </c>
      <c r="AT135" s="131" t="str">
        <f t="shared" si="85"/>
        <v>-</v>
      </c>
      <c r="AU135" s="131" t="str">
        <f t="shared" si="85"/>
        <v>-</v>
      </c>
      <c r="AV135" s="131" t="str">
        <f t="shared" si="85"/>
        <v>-</v>
      </c>
      <c r="AW135" s="131" t="str">
        <f t="shared" si="85"/>
        <v>-</v>
      </c>
      <c r="AX135" s="131" t="str">
        <f t="shared" si="85"/>
        <v>-</v>
      </c>
      <c r="AY135" s="131" t="str">
        <f t="shared" si="85"/>
        <v>-</v>
      </c>
      <c r="AZ135" s="131" t="str">
        <f t="shared" si="85"/>
        <v>-</v>
      </c>
      <c r="BA135" s="131" t="str">
        <f t="shared" si="85"/>
        <v>-</v>
      </c>
      <c r="BB135" s="131" t="str">
        <f t="shared" si="85"/>
        <v>-</v>
      </c>
      <c r="BC135" s="131" t="str">
        <f t="shared" si="85"/>
        <v>-</v>
      </c>
      <c r="BD135" s="131" t="str">
        <f t="shared" si="85"/>
        <v>-</v>
      </c>
      <c r="BE135" s="131" t="str">
        <f t="shared" si="85"/>
        <v>-</v>
      </c>
      <c r="BF135" s="131" t="str">
        <f t="shared" si="85"/>
        <v>-</v>
      </c>
      <c r="BG135" s="131" t="str">
        <f t="shared" si="85"/>
        <v>-</v>
      </c>
      <c r="BH135" s="131" t="str">
        <f t="shared" si="85"/>
        <v>-</v>
      </c>
      <c r="BI135" s="131" t="str">
        <f t="shared" si="85"/>
        <v>-</v>
      </c>
      <c r="BJ135" s="131" t="str">
        <f t="shared" si="85"/>
        <v>-</v>
      </c>
      <c r="BK135" s="131" t="str">
        <f t="shared" si="85"/>
        <v>-</v>
      </c>
      <c r="BL135" s="131" t="str">
        <f t="shared" si="85"/>
        <v>-</v>
      </c>
      <c r="BM135" s="131" t="str">
        <f t="shared" si="85"/>
        <v>-</v>
      </c>
      <c r="BN135" s="131">
        <f t="shared" si="85"/>
        <v>0.2</v>
      </c>
      <c r="BO135" s="131">
        <f t="shared" si="83"/>
        <v>0.2</v>
      </c>
      <c r="BP135" s="131">
        <v>0.2</v>
      </c>
      <c r="BQ135" s="131">
        <v>0.2</v>
      </c>
      <c r="BR135" s="131">
        <v>0.2</v>
      </c>
      <c r="BS135" s="131">
        <v>0.2</v>
      </c>
      <c r="BT135" s="131">
        <v>0.2</v>
      </c>
      <c r="BU135" s="131">
        <v>0.2</v>
      </c>
      <c r="BV135" s="131">
        <v>0.19999999999999998</v>
      </c>
      <c r="BW135" s="131">
        <v>0.2</v>
      </c>
      <c r="BX135" s="131">
        <f t="shared" ref="BX135" si="86">IFERROR(BX183/BX87,"-")</f>
        <v>0.2</v>
      </c>
      <c r="BY135" s="215"/>
      <c r="BZ135" s="215"/>
      <c r="CA135" s="215"/>
      <c r="CB135" s="215"/>
      <c r="CC135" s="215"/>
      <c r="CD135" s="215"/>
      <c r="CE135" s="215"/>
      <c r="CF135" s="215"/>
      <c r="CG135" s="215"/>
      <c r="CH135" s="215"/>
      <c r="CI135" s="215"/>
      <c r="CJ135" s="215"/>
      <c r="CK135" s="215"/>
      <c r="CL135" s="215"/>
      <c r="CM135" s="215"/>
      <c r="CN135" s="215"/>
      <c r="CO135" s="215"/>
      <c r="CP135" s="215"/>
      <c r="CQ135" s="215"/>
      <c r="CR135" s="215"/>
      <c r="CS135" s="215"/>
      <c r="CT135" s="215"/>
      <c r="CU135" s="215"/>
      <c r="CV135" s="215"/>
      <c r="CW135" s="215"/>
      <c r="CX135" s="215"/>
      <c r="CY135" s="215"/>
      <c r="CZ135" s="215"/>
      <c r="DA135" s="215"/>
      <c r="DB135" s="215"/>
      <c r="DC135" s="215"/>
    </row>
    <row r="136" spans="1:107" s="147" customFormat="1" ht="15" hidden="1" customHeight="1" outlineLevel="1">
      <c r="A136" t="s">
        <v>18</v>
      </c>
      <c r="B136" s="38" t="s">
        <v>32</v>
      </c>
      <c r="C136" s="131">
        <f t="shared" si="85"/>
        <v>1.0000039653193173</v>
      </c>
      <c r="D136" s="131">
        <f t="shared" si="85"/>
        <v>1.0000039653193173</v>
      </c>
      <c r="E136" s="131">
        <f t="shared" si="85"/>
        <v>1.0000039653193173</v>
      </c>
      <c r="F136" s="131">
        <f t="shared" si="85"/>
        <v>1.0000039653193173</v>
      </c>
      <c r="G136" s="131">
        <f t="shared" si="85"/>
        <v>1.0000039653193173</v>
      </c>
      <c r="H136" s="131">
        <f t="shared" si="85"/>
        <v>1.0000039653193173</v>
      </c>
      <c r="I136" s="131">
        <f t="shared" si="85"/>
        <v>1.0000039653193173</v>
      </c>
      <c r="J136" s="131">
        <f t="shared" si="85"/>
        <v>1.0000039653193173</v>
      </c>
      <c r="K136" s="131">
        <f t="shared" si="85"/>
        <v>1.0000039653193173</v>
      </c>
      <c r="L136" s="131">
        <f t="shared" si="85"/>
        <v>1.0000039653193173</v>
      </c>
      <c r="M136" s="131">
        <f t="shared" si="85"/>
        <v>1.0000039653193173</v>
      </c>
      <c r="N136" s="131">
        <f t="shared" si="85"/>
        <v>1.0000039653193173</v>
      </c>
      <c r="O136" s="131">
        <f t="shared" si="85"/>
        <v>1.0000039653193173</v>
      </c>
      <c r="P136" s="131">
        <f t="shared" si="85"/>
        <v>1.0000039653193173</v>
      </c>
      <c r="Q136" s="131">
        <f t="shared" si="85"/>
        <v>1.0000039653193173</v>
      </c>
      <c r="R136" s="131">
        <f t="shared" si="85"/>
        <v>1.0000039653193173</v>
      </c>
      <c r="S136" s="131">
        <f t="shared" si="85"/>
        <v>1.0000039653193173</v>
      </c>
      <c r="T136" s="131">
        <f t="shared" si="85"/>
        <v>1.0000039653193173</v>
      </c>
      <c r="U136" s="131">
        <f t="shared" si="85"/>
        <v>1.0000039653193173</v>
      </c>
      <c r="V136" s="131">
        <f t="shared" si="85"/>
        <v>1.0000039653193173</v>
      </c>
      <c r="W136" s="131">
        <f t="shared" si="85"/>
        <v>1.0000039653193173</v>
      </c>
      <c r="X136" s="131">
        <f t="shared" si="85"/>
        <v>1</v>
      </c>
      <c r="Y136" s="131">
        <f t="shared" si="85"/>
        <v>1</v>
      </c>
      <c r="Z136" s="131">
        <f t="shared" si="85"/>
        <v>1</v>
      </c>
      <c r="AA136" s="131">
        <f t="shared" si="85"/>
        <v>1</v>
      </c>
      <c r="AB136" s="131">
        <f t="shared" si="85"/>
        <v>1</v>
      </c>
      <c r="AC136" s="131">
        <f t="shared" si="85"/>
        <v>1</v>
      </c>
      <c r="AD136" s="131">
        <f t="shared" si="85"/>
        <v>1.0000039653193173</v>
      </c>
      <c r="AE136" s="131">
        <f t="shared" si="85"/>
        <v>1.0000039653193173</v>
      </c>
      <c r="AF136" s="131">
        <f t="shared" si="85"/>
        <v>1</v>
      </c>
      <c r="AG136" s="131">
        <f t="shared" si="85"/>
        <v>1</v>
      </c>
      <c r="AH136" s="131">
        <f t="shared" si="85"/>
        <v>1</v>
      </c>
      <c r="AI136" s="131">
        <f t="shared" si="85"/>
        <v>1</v>
      </c>
      <c r="AJ136" s="131">
        <f t="shared" si="85"/>
        <v>1</v>
      </c>
      <c r="AK136" s="131">
        <f t="shared" si="85"/>
        <v>1.0000025466649058</v>
      </c>
      <c r="AL136" s="131">
        <f t="shared" si="85"/>
        <v>1.0000025466649058</v>
      </c>
      <c r="AM136" s="131">
        <f t="shared" si="85"/>
        <v>1.0000025466649058</v>
      </c>
      <c r="AN136" s="131">
        <f t="shared" si="85"/>
        <v>1.0000025466649058</v>
      </c>
      <c r="AO136" s="131">
        <f t="shared" si="85"/>
        <v>1.0000318753843511</v>
      </c>
      <c r="AP136" s="131">
        <f t="shared" si="85"/>
        <v>1.0000318753843511</v>
      </c>
      <c r="AQ136" s="131">
        <f t="shared" si="85"/>
        <v>1.0000318753843511</v>
      </c>
      <c r="AR136" s="131" t="str">
        <f t="shared" si="85"/>
        <v>-</v>
      </c>
      <c r="AS136" s="131" t="str">
        <f t="shared" si="85"/>
        <v>-</v>
      </c>
      <c r="AT136" s="131" t="str">
        <f t="shared" si="85"/>
        <v>-</v>
      </c>
      <c r="AU136" s="131" t="str">
        <f t="shared" si="85"/>
        <v>-</v>
      </c>
      <c r="AV136" s="131" t="str">
        <f t="shared" si="85"/>
        <v>-</v>
      </c>
      <c r="AW136" s="131" t="str">
        <f t="shared" si="85"/>
        <v>-</v>
      </c>
      <c r="AX136" s="131" t="str">
        <f t="shared" si="85"/>
        <v>-</v>
      </c>
      <c r="AY136" s="131" t="str">
        <f t="shared" si="85"/>
        <v>-</v>
      </c>
      <c r="AZ136" s="131" t="str">
        <f t="shared" si="85"/>
        <v>-</v>
      </c>
      <c r="BA136" s="131" t="str">
        <f t="shared" si="85"/>
        <v>-</v>
      </c>
      <c r="BB136" s="131" t="str">
        <f t="shared" si="85"/>
        <v>-</v>
      </c>
      <c r="BC136" s="131" t="str">
        <f t="shared" si="85"/>
        <v>-</v>
      </c>
      <c r="BD136" s="131" t="str">
        <f t="shared" si="85"/>
        <v>-</v>
      </c>
      <c r="BE136" s="131" t="str">
        <f t="shared" si="85"/>
        <v>-</v>
      </c>
      <c r="BF136" s="131" t="str">
        <f t="shared" si="85"/>
        <v>-</v>
      </c>
      <c r="BG136" s="131" t="str">
        <f t="shared" si="85"/>
        <v>-</v>
      </c>
      <c r="BH136" s="131" t="str">
        <f t="shared" si="85"/>
        <v>-</v>
      </c>
      <c r="BI136" s="131" t="str">
        <f t="shared" si="85"/>
        <v>-</v>
      </c>
      <c r="BJ136" s="131" t="str">
        <f t="shared" si="85"/>
        <v>-</v>
      </c>
      <c r="BK136" s="131" t="str">
        <f t="shared" si="85"/>
        <v>-</v>
      </c>
      <c r="BL136" s="131" t="str">
        <f t="shared" si="85"/>
        <v>-</v>
      </c>
      <c r="BM136" s="131" t="str">
        <f t="shared" si="85"/>
        <v>-</v>
      </c>
      <c r="BN136" s="131" t="str">
        <f t="shared" si="85"/>
        <v>-</v>
      </c>
      <c r="BO136" s="131" t="str">
        <f t="shared" si="83"/>
        <v>-</v>
      </c>
      <c r="BP136" s="131" t="s">
        <v>18</v>
      </c>
      <c r="BQ136" s="131" t="s">
        <v>18</v>
      </c>
      <c r="BR136" s="131" t="s">
        <v>18</v>
      </c>
      <c r="BS136" s="131" t="s">
        <v>18</v>
      </c>
      <c r="BT136" s="131" t="s">
        <v>18</v>
      </c>
      <c r="BU136" s="131" t="s">
        <v>18</v>
      </c>
      <c r="BV136" s="131" t="s">
        <v>18</v>
      </c>
      <c r="BW136" s="131" t="s">
        <v>18</v>
      </c>
      <c r="BX136" s="131" t="str">
        <f t="shared" ref="BX136" si="87">IFERROR(BX184/BX88,"-")</f>
        <v>-</v>
      </c>
      <c r="BY136" s="215"/>
      <c r="BZ136" s="215"/>
      <c r="CA136" s="215"/>
      <c r="CB136" s="215"/>
      <c r="CC136" s="215"/>
      <c r="CD136" s="215"/>
      <c r="CE136" s="215"/>
      <c r="CF136" s="215"/>
      <c r="CG136" s="215"/>
      <c r="CH136" s="215"/>
      <c r="CI136" s="215"/>
      <c r="CJ136" s="215"/>
      <c r="CK136" s="215"/>
      <c r="CL136" s="215"/>
      <c r="CM136" s="215"/>
      <c r="CN136" s="215"/>
      <c r="CO136" s="215"/>
      <c r="CP136" s="215"/>
      <c r="CQ136" s="215"/>
      <c r="CR136" s="215"/>
      <c r="CS136" s="215"/>
      <c r="CT136" s="215"/>
      <c r="CU136" s="215"/>
      <c r="CV136" s="215"/>
      <c r="CW136" s="215"/>
      <c r="CX136" s="215"/>
      <c r="CY136" s="215"/>
      <c r="CZ136" s="215"/>
      <c r="DA136" s="215"/>
      <c r="DB136" s="215"/>
      <c r="DC136" s="215"/>
    </row>
    <row r="137" spans="1:107" s="147" customFormat="1" ht="15" hidden="1" customHeight="1" outlineLevel="1">
      <c r="A137" t="s">
        <v>18</v>
      </c>
      <c r="B137" s="38" t="s">
        <v>34</v>
      </c>
      <c r="C137" s="131" t="str">
        <f t="shared" si="85"/>
        <v>-</v>
      </c>
      <c r="D137" s="131" t="str">
        <f t="shared" si="85"/>
        <v>-</v>
      </c>
      <c r="E137" s="131" t="str">
        <f t="shared" si="85"/>
        <v>-</v>
      </c>
      <c r="F137" s="131" t="str">
        <f t="shared" si="85"/>
        <v>-</v>
      </c>
      <c r="G137" s="131" t="str">
        <f t="shared" si="85"/>
        <v>-</v>
      </c>
      <c r="H137" s="131" t="str">
        <f t="shared" si="85"/>
        <v>-</v>
      </c>
      <c r="I137" s="131" t="str">
        <f t="shared" si="85"/>
        <v>-</v>
      </c>
      <c r="J137" s="131" t="str">
        <f t="shared" si="85"/>
        <v>-</v>
      </c>
      <c r="K137" s="131" t="str">
        <f t="shared" si="85"/>
        <v>-</v>
      </c>
      <c r="L137" s="131" t="str">
        <f t="shared" si="85"/>
        <v>-</v>
      </c>
      <c r="M137" s="131" t="str">
        <f t="shared" si="85"/>
        <v>-</v>
      </c>
      <c r="N137" s="131" t="str">
        <f t="shared" si="85"/>
        <v>-</v>
      </c>
      <c r="O137" s="131" t="str">
        <f t="shared" si="85"/>
        <v>-</v>
      </c>
      <c r="P137" s="131" t="str">
        <f t="shared" si="85"/>
        <v>-</v>
      </c>
      <c r="Q137" s="131">
        <f t="shared" si="85"/>
        <v>0.24999550335449755</v>
      </c>
      <c r="R137" s="131">
        <f t="shared" si="85"/>
        <v>4.9997707053104648E-2</v>
      </c>
      <c r="S137" s="131">
        <f t="shared" si="85"/>
        <v>2.5002765773447129E-2</v>
      </c>
      <c r="T137" s="131">
        <f t="shared" si="85"/>
        <v>2.5002765773447129E-2</v>
      </c>
      <c r="U137" s="131">
        <f t="shared" si="85"/>
        <v>2.5002765773447129E-2</v>
      </c>
      <c r="V137" s="131">
        <f t="shared" si="85"/>
        <v>2.5002765773447129E-2</v>
      </c>
      <c r="W137" s="131">
        <f t="shared" si="85"/>
        <v>2.5002765773447129E-2</v>
      </c>
      <c r="X137" s="131">
        <f t="shared" si="85"/>
        <v>2.5002765773447129E-2</v>
      </c>
      <c r="Y137" s="131">
        <f t="shared" si="85"/>
        <v>2.5002765773447129E-2</v>
      </c>
      <c r="Z137" s="131">
        <f t="shared" si="85"/>
        <v>2.4999999999999994E-2</v>
      </c>
      <c r="AA137" s="131">
        <f t="shared" si="85"/>
        <v>2.4999999999999994E-2</v>
      </c>
      <c r="AB137" s="131">
        <f t="shared" si="85"/>
        <v>2.4999999999999994E-2</v>
      </c>
      <c r="AC137" s="131">
        <f t="shared" si="85"/>
        <v>2.4999999999999994E-2</v>
      </c>
      <c r="AD137" s="131">
        <f t="shared" si="85"/>
        <v>2.5002765773447129E-2</v>
      </c>
      <c r="AE137" s="131">
        <f t="shared" si="85"/>
        <v>2.5002765773447129E-2</v>
      </c>
      <c r="AF137" s="131">
        <f t="shared" si="85"/>
        <v>2.4999999999999994E-2</v>
      </c>
      <c r="AG137" s="131">
        <f t="shared" si="85"/>
        <v>2.4999999999999994E-2</v>
      </c>
      <c r="AH137" s="131">
        <f t="shared" si="85"/>
        <v>2.4999999999999994E-2</v>
      </c>
      <c r="AI137" s="131">
        <f t="shared" si="85"/>
        <v>2.4999999999999994E-2</v>
      </c>
      <c r="AJ137" s="131">
        <f t="shared" si="85"/>
        <v>2.4999999999999994E-2</v>
      </c>
      <c r="AK137" s="131">
        <f t="shared" si="85"/>
        <v>2.5002765773447129E-2</v>
      </c>
      <c r="AL137" s="131" t="str">
        <f t="shared" si="85"/>
        <v>-</v>
      </c>
      <c r="AM137" s="131" t="str">
        <f t="shared" si="85"/>
        <v>-</v>
      </c>
      <c r="AN137" s="131" t="str">
        <f t="shared" si="85"/>
        <v>-</v>
      </c>
      <c r="AO137" s="131" t="str">
        <f t="shared" si="85"/>
        <v>-</v>
      </c>
      <c r="AP137" s="131" t="str">
        <f t="shared" si="85"/>
        <v>-</v>
      </c>
      <c r="AQ137" s="131" t="str">
        <f t="shared" si="85"/>
        <v>-</v>
      </c>
      <c r="AR137" s="131" t="str">
        <f t="shared" si="85"/>
        <v>-</v>
      </c>
      <c r="AS137" s="131" t="str">
        <f t="shared" si="85"/>
        <v>-</v>
      </c>
      <c r="AT137" s="131" t="str">
        <f t="shared" si="85"/>
        <v>-</v>
      </c>
      <c r="AU137" s="131" t="str">
        <f t="shared" si="85"/>
        <v>-</v>
      </c>
      <c r="AV137" s="131" t="str">
        <f t="shared" si="85"/>
        <v>-</v>
      </c>
      <c r="AW137" s="131" t="str">
        <f t="shared" si="85"/>
        <v>-</v>
      </c>
      <c r="AX137" s="131" t="str">
        <f t="shared" si="85"/>
        <v>-</v>
      </c>
      <c r="AY137" s="131" t="str">
        <f t="shared" si="85"/>
        <v>-</v>
      </c>
      <c r="AZ137" s="131" t="str">
        <f t="shared" si="85"/>
        <v>-</v>
      </c>
      <c r="BA137" s="131" t="str">
        <f t="shared" si="85"/>
        <v>-</v>
      </c>
      <c r="BB137" s="131" t="str">
        <f t="shared" si="85"/>
        <v>-</v>
      </c>
      <c r="BC137" s="131" t="str">
        <f t="shared" si="85"/>
        <v>-</v>
      </c>
      <c r="BD137" s="131" t="str">
        <f t="shared" si="85"/>
        <v>-</v>
      </c>
      <c r="BE137" s="131" t="str">
        <f t="shared" si="85"/>
        <v>-</v>
      </c>
      <c r="BF137" s="131" t="str">
        <f t="shared" si="85"/>
        <v>-</v>
      </c>
      <c r="BG137" s="131" t="str">
        <f t="shared" si="85"/>
        <v>-</v>
      </c>
      <c r="BH137" s="131" t="str">
        <f t="shared" si="85"/>
        <v>-</v>
      </c>
      <c r="BI137" s="131" t="str">
        <f t="shared" si="85"/>
        <v>-</v>
      </c>
      <c r="BJ137" s="131" t="str">
        <f t="shared" si="85"/>
        <v>-</v>
      </c>
      <c r="BK137" s="131" t="str">
        <f t="shared" si="85"/>
        <v>-</v>
      </c>
      <c r="BL137" s="131" t="str">
        <f t="shared" si="85"/>
        <v>-</v>
      </c>
      <c r="BM137" s="131" t="str">
        <f t="shared" si="85"/>
        <v>-</v>
      </c>
      <c r="BN137" s="131" t="str">
        <f t="shared" si="85"/>
        <v>-</v>
      </c>
      <c r="BO137" s="131" t="str">
        <f t="shared" si="83"/>
        <v>-</v>
      </c>
      <c r="BP137" s="131" t="s">
        <v>18</v>
      </c>
      <c r="BQ137" s="131" t="s">
        <v>18</v>
      </c>
      <c r="BR137" s="131" t="s">
        <v>18</v>
      </c>
      <c r="BS137" s="131" t="s">
        <v>18</v>
      </c>
      <c r="BT137" s="131" t="s">
        <v>18</v>
      </c>
      <c r="BU137" s="131" t="s">
        <v>18</v>
      </c>
      <c r="BV137" s="131" t="s">
        <v>18</v>
      </c>
      <c r="BW137" s="131" t="s">
        <v>18</v>
      </c>
      <c r="BX137" s="131" t="str">
        <f t="shared" ref="BX137" si="88">IFERROR(BX185/BX89,"-")</f>
        <v>-</v>
      </c>
      <c r="BY137" s="215"/>
      <c r="BZ137" s="215"/>
      <c r="CA137" s="215"/>
      <c r="CB137" s="215"/>
      <c r="CC137" s="215"/>
      <c r="CD137" s="215"/>
      <c r="CE137" s="215"/>
      <c r="CF137" s="215"/>
      <c r="CG137" s="215"/>
      <c r="CH137" s="215"/>
      <c r="CI137" s="215"/>
      <c r="CJ137" s="215"/>
      <c r="CK137" s="215"/>
      <c r="CL137" s="215"/>
      <c r="CM137" s="215"/>
      <c r="CN137" s="215"/>
      <c r="CO137" s="215"/>
      <c r="CP137" s="215"/>
      <c r="CQ137" s="215"/>
      <c r="CR137" s="215"/>
      <c r="CS137" s="215"/>
      <c r="CT137" s="215"/>
      <c r="CU137" s="215"/>
      <c r="CV137" s="215"/>
      <c r="CW137" s="215"/>
      <c r="CX137" s="215"/>
      <c r="CY137" s="215"/>
      <c r="CZ137" s="215"/>
      <c r="DA137" s="215"/>
      <c r="DB137" s="215"/>
      <c r="DC137" s="215"/>
    </row>
    <row r="138" spans="1:107" s="147" customFormat="1" ht="15" hidden="1" customHeight="1" outlineLevel="1">
      <c r="A138" t="s">
        <v>18</v>
      </c>
      <c r="B138" s="38" t="s">
        <v>36</v>
      </c>
      <c r="C138" s="131" t="str">
        <f t="shared" si="85"/>
        <v>-</v>
      </c>
      <c r="D138" s="131" t="str">
        <f t="shared" si="85"/>
        <v>-</v>
      </c>
      <c r="E138" s="131" t="str">
        <f t="shared" si="85"/>
        <v>-</v>
      </c>
      <c r="F138" s="131" t="str">
        <f t="shared" si="85"/>
        <v>-</v>
      </c>
      <c r="G138" s="131" t="str">
        <f t="shared" si="85"/>
        <v>-</v>
      </c>
      <c r="H138" s="131" t="str">
        <f t="shared" si="85"/>
        <v>-</v>
      </c>
      <c r="I138" s="131" t="str">
        <f t="shared" si="85"/>
        <v>-</v>
      </c>
      <c r="J138" s="131" t="str">
        <f t="shared" si="85"/>
        <v>-</v>
      </c>
      <c r="K138" s="131" t="str">
        <f t="shared" si="85"/>
        <v>-</v>
      </c>
      <c r="L138" s="131" t="str">
        <f t="shared" si="85"/>
        <v>-</v>
      </c>
      <c r="M138" s="131" t="str">
        <f t="shared" si="85"/>
        <v>-</v>
      </c>
      <c r="N138" s="131" t="str">
        <f t="shared" si="85"/>
        <v>-</v>
      </c>
      <c r="O138" s="131" t="str">
        <f t="shared" si="85"/>
        <v>-</v>
      </c>
      <c r="P138" s="131" t="str">
        <f t="shared" si="85"/>
        <v>-</v>
      </c>
      <c r="Q138" s="131" t="str">
        <f t="shared" si="85"/>
        <v>-</v>
      </c>
      <c r="R138" s="131" t="str">
        <f t="shared" si="85"/>
        <v>-</v>
      </c>
      <c r="S138" s="131" t="str">
        <f t="shared" si="85"/>
        <v>-</v>
      </c>
      <c r="T138" s="131" t="str">
        <f t="shared" si="85"/>
        <v>-</v>
      </c>
      <c r="U138" s="131" t="str">
        <f t="shared" si="85"/>
        <v>-</v>
      </c>
      <c r="V138" s="131" t="str">
        <f t="shared" si="85"/>
        <v>-</v>
      </c>
      <c r="W138" s="131">
        <f t="shared" si="85"/>
        <v>2.49948667730166E-2</v>
      </c>
      <c r="X138" s="131">
        <f t="shared" si="85"/>
        <v>2.5000000000000001E-2</v>
      </c>
      <c r="Y138" s="131">
        <f t="shared" si="85"/>
        <v>2.5000000000000001E-2</v>
      </c>
      <c r="Z138" s="131">
        <f t="shared" si="85"/>
        <v>2.5000000000000001E-2</v>
      </c>
      <c r="AA138" s="131">
        <f t="shared" si="85"/>
        <v>2.5000000000000001E-2</v>
      </c>
      <c r="AB138" s="131">
        <f t="shared" si="85"/>
        <v>2.5000000000000001E-2</v>
      </c>
      <c r="AC138" s="131">
        <f t="shared" si="85"/>
        <v>2.5000000000000001E-2</v>
      </c>
      <c r="AD138" s="131">
        <f t="shared" si="85"/>
        <v>2.49948667730166E-2</v>
      </c>
      <c r="AE138" s="131">
        <f t="shared" si="85"/>
        <v>2.49948667730166E-2</v>
      </c>
      <c r="AF138" s="131">
        <f t="shared" si="85"/>
        <v>2.5000000000000001E-2</v>
      </c>
      <c r="AG138" s="131">
        <f t="shared" si="85"/>
        <v>2.5000000000000001E-2</v>
      </c>
      <c r="AH138" s="131">
        <f t="shared" si="85"/>
        <v>2.5000000000000001E-2</v>
      </c>
      <c r="AI138" s="131">
        <f t="shared" si="85"/>
        <v>2.5000000000000001E-2</v>
      </c>
      <c r="AJ138" s="131">
        <f t="shared" si="85"/>
        <v>2.5000000000000001E-2</v>
      </c>
      <c r="AK138" s="131">
        <f t="shared" si="85"/>
        <v>2.49948667730166E-2</v>
      </c>
      <c r="AL138" s="131" t="str">
        <f t="shared" si="85"/>
        <v>-</v>
      </c>
      <c r="AM138" s="131" t="str">
        <f t="shared" si="85"/>
        <v>-</v>
      </c>
      <c r="AN138" s="131" t="str">
        <f t="shared" si="85"/>
        <v>-</v>
      </c>
      <c r="AO138" s="131" t="str">
        <f t="shared" si="85"/>
        <v>-</v>
      </c>
      <c r="AP138" s="131" t="str">
        <f t="shared" si="85"/>
        <v>-</v>
      </c>
      <c r="AQ138" s="131" t="str">
        <f t="shared" si="85"/>
        <v>-</v>
      </c>
      <c r="AR138" s="131" t="str">
        <f t="shared" si="85"/>
        <v>-</v>
      </c>
      <c r="AS138" s="131" t="str">
        <f t="shared" si="85"/>
        <v>-</v>
      </c>
      <c r="AT138" s="131" t="str">
        <f t="shared" si="85"/>
        <v>-</v>
      </c>
      <c r="AU138" s="131" t="str">
        <f t="shared" si="85"/>
        <v>-</v>
      </c>
      <c r="AV138" s="131" t="str">
        <f t="shared" si="85"/>
        <v>-</v>
      </c>
      <c r="AW138" s="131" t="str">
        <f t="shared" si="85"/>
        <v>-</v>
      </c>
      <c r="AX138" s="131" t="str">
        <f t="shared" si="85"/>
        <v>-</v>
      </c>
      <c r="AY138" s="131" t="str">
        <f t="shared" si="85"/>
        <v>-</v>
      </c>
      <c r="AZ138" s="131" t="str">
        <f t="shared" si="85"/>
        <v>-</v>
      </c>
      <c r="BA138" s="131" t="str">
        <f t="shared" si="85"/>
        <v>-</v>
      </c>
      <c r="BB138" s="131" t="str">
        <f t="shared" si="85"/>
        <v>-</v>
      </c>
      <c r="BC138" s="131" t="str">
        <f t="shared" si="85"/>
        <v>-</v>
      </c>
      <c r="BD138" s="131" t="str">
        <f t="shared" si="85"/>
        <v>-</v>
      </c>
      <c r="BE138" s="131" t="str">
        <f t="shared" si="85"/>
        <v>-</v>
      </c>
      <c r="BF138" s="131" t="str">
        <f t="shared" si="85"/>
        <v>-</v>
      </c>
      <c r="BG138" s="131" t="str">
        <f t="shared" si="85"/>
        <v>-</v>
      </c>
      <c r="BH138" s="131" t="str">
        <f t="shared" si="85"/>
        <v>-</v>
      </c>
      <c r="BI138" s="131" t="str">
        <f t="shared" si="85"/>
        <v>-</v>
      </c>
      <c r="BJ138" s="131" t="str">
        <f t="shared" si="85"/>
        <v>-</v>
      </c>
      <c r="BK138" s="131" t="str">
        <f t="shared" si="85"/>
        <v>-</v>
      </c>
      <c r="BL138" s="131" t="str">
        <f t="shared" si="85"/>
        <v>-</v>
      </c>
      <c r="BM138" s="131" t="str">
        <f t="shared" si="85"/>
        <v>-</v>
      </c>
      <c r="BN138" s="131" t="str">
        <f t="shared" ref="BN138:BO141" si="89">IFERROR(BN186/BN90,"-")</f>
        <v>-</v>
      </c>
      <c r="BO138" s="131" t="str">
        <f t="shared" si="89"/>
        <v>-</v>
      </c>
      <c r="BP138" s="131" t="s">
        <v>18</v>
      </c>
      <c r="BQ138" s="131" t="s">
        <v>18</v>
      </c>
      <c r="BR138" s="131" t="s">
        <v>18</v>
      </c>
      <c r="BS138" s="131" t="s">
        <v>18</v>
      </c>
      <c r="BT138" s="131" t="s">
        <v>18</v>
      </c>
      <c r="BU138" s="131" t="s">
        <v>18</v>
      </c>
      <c r="BV138" s="131" t="s">
        <v>18</v>
      </c>
      <c r="BW138" s="131" t="s">
        <v>18</v>
      </c>
      <c r="BX138" s="131" t="str">
        <f t="shared" ref="BX138" si="90">IFERROR(BX186/BX90,"-")</f>
        <v>-</v>
      </c>
      <c r="BY138" s="215"/>
      <c r="BZ138" s="215"/>
      <c r="CA138" s="215"/>
      <c r="CB138" s="215"/>
      <c r="CC138" s="215"/>
      <c r="CD138" s="215"/>
      <c r="CE138" s="215"/>
      <c r="CF138" s="215"/>
      <c r="CG138" s="215"/>
      <c r="CH138" s="215"/>
      <c r="CI138" s="215"/>
      <c r="CJ138" s="215"/>
      <c r="CK138" s="215"/>
      <c r="CL138" s="215"/>
      <c r="CM138" s="215"/>
      <c r="CN138" s="215"/>
      <c r="CO138" s="215"/>
      <c r="CP138" s="215"/>
      <c r="CQ138" s="215"/>
      <c r="CR138" s="215"/>
      <c r="CS138" s="215"/>
      <c r="CT138" s="215"/>
      <c r="CU138" s="215"/>
      <c r="CV138" s="215"/>
      <c r="CW138" s="215"/>
      <c r="CX138" s="215"/>
      <c r="CY138" s="215"/>
      <c r="CZ138" s="215"/>
      <c r="DA138" s="215"/>
      <c r="DB138" s="215"/>
      <c r="DC138" s="215"/>
    </row>
    <row r="139" spans="1:107" s="147" customFormat="1" ht="15" hidden="1" customHeight="1" outlineLevel="1">
      <c r="A139" t="s">
        <v>18</v>
      </c>
      <c r="B139" s="38" t="s">
        <v>37</v>
      </c>
      <c r="C139" s="131" t="str">
        <f t="shared" ref="C139:BN142" si="91">IFERROR(C187/C91,"-")</f>
        <v>-</v>
      </c>
      <c r="D139" s="131" t="str">
        <f t="shared" si="91"/>
        <v>-</v>
      </c>
      <c r="E139" s="131" t="str">
        <f t="shared" si="91"/>
        <v>-</v>
      </c>
      <c r="F139" s="131" t="str">
        <f t="shared" si="91"/>
        <v>-</v>
      </c>
      <c r="G139" s="131" t="str">
        <f t="shared" si="91"/>
        <v>-</v>
      </c>
      <c r="H139" s="131" t="str">
        <f t="shared" si="91"/>
        <v>-</v>
      </c>
      <c r="I139" s="131" t="str">
        <f t="shared" si="91"/>
        <v>-</v>
      </c>
      <c r="J139" s="131" t="str">
        <f t="shared" si="91"/>
        <v>-</v>
      </c>
      <c r="K139" s="131" t="str">
        <f t="shared" si="91"/>
        <v>-</v>
      </c>
      <c r="L139" s="131" t="str">
        <f t="shared" si="91"/>
        <v>-</v>
      </c>
      <c r="M139" s="131" t="str">
        <f t="shared" si="91"/>
        <v>-</v>
      </c>
      <c r="N139" s="131" t="str">
        <f t="shared" si="91"/>
        <v>-</v>
      </c>
      <c r="O139" s="131" t="str">
        <f t="shared" si="91"/>
        <v>-</v>
      </c>
      <c r="P139" s="131" t="str">
        <f t="shared" si="91"/>
        <v>-</v>
      </c>
      <c r="Q139" s="131" t="str">
        <f t="shared" si="91"/>
        <v>-</v>
      </c>
      <c r="R139" s="131" t="str">
        <f t="shared" si="91"/>
        <v>-</v>
      </c>
      <c r="S139" s="131" t="str">
        <f t="shared" si="91"/>
        <v>-</v>
      </c>
      <c r="T139" s="131" t="str">
        <f t="shared" si="91"/>
        <v>-</v>
      </c>
      <c r="U139" s="131" t="str">
        <f t="shared" si="91"/>
        <v>-</v>
      </c>
      <c r="V139" s="131" t="str">
        <f t="shared" si="91"/>
        <v>-</v>
      </c>
      <c r="W139" s="131" t="str">
        <f t="shared" si="91"/>
        <v>-</v>
      </c>
      <c r="X139" s="131">
        <f t="shared" si="91"/>
        <v>0.24977407021229064</v>
      </c>
      <c r="Y139" s="131">
        <f t="shared" si="91"/>
        <v>0.24977407021229064</v>
      </c>
      <c r="Z139" s="131">
        <f t="shared" si="91"/>
        <v>0.24977407021229064</v>
      </c>
      <c r="AA139" s="131">
        <f t="shared" si="91"/>
        <v>0.24977407021229064</v>
      </c>
      <c r="AB139" s="131">
        <f t="shared" si="91"/>
        <v>0.24977407021229064</v>
      </c>
      <c r="AC139" s="131">
        <f t="shared" si="91"/>
        <v>0.24977407021229064</v>
      </c>
      <c r="AD139" s="131">
        <f t="shared" si="91"/>
        <v>0.24976774231009305</v>
      </c>
      <c r="AE139" s="131">
        <f t="shared" si="91"/>
        <v>0.24976774231009305</v>
      </c>
      <c r="AF139" s="131">
        <f t="shared" si="91"/>
        <v>0.25</v>
      </c>
      <c r="AG139" s="131">
        <f t="shared" si="91"/>
        <v>0.25</v>
      </c>
      <c r="AH139" s="131">
        <f t="shared" si="91"/>
        <v>0.25</v>
      </c>
      <c r="AI139" s="131">
        <f t="shared" si="91"/>
        <v>0.25</v>
      </c>
      <c r="AJ139" s="131">
        <f t="shared" si="91"/>
        <v>0.25</v>
      </c>
      <c r="AK139" s="131">
        <f t="shared" si="91"/>
        <v>0.25000967740374613</v>
      </c>
      <c r="AL139" s="131" t="str">
        <f t="shared" si="91"/>
        <v>-</v>
      </c>
      <c r="AM139" s="131" t="str">
        <f t="shared" si="91"/>
        <v>-</v>
      </c>
      <c r="AN139" s="131" t="str">
        <f t="shared" si="91"/>
        <v>-</v>
      </c>
      <c r="AO139" s="131" t="str">
        <f t="shared" si="91"/>
        <v>-</v>
      </c>
      <c r="AP139" s="131" t="str">
        <f t="shared" si="91"/>
        <v>-</v>
      </c>
      <c r="AQ139" s="131" t="str">
        <f t="shared" si="91"/>
        <v>-</v>
      </c>
      <c r="AR139" s="131" t="str">
        <f t="shared" si="91"/>
        <v>-</v>
      </c>
      <c r="AS139" s="131" t="str">
        <f t="shared" si="91"/>
        <v>-</v>
      </c>
      <c r="AT139" s="131" t="str">
        <f t="shared" si="91"/>
        <v>-</v>
      </c>
      <c r="AU139" s="131" t="str">
        <f t="shared" si="91"/>
        <v>-</v>
      </c>
      <c r="AV139" s="131" t="str">
        <f t="shared" si="91"/>
        <v>-</v>
      </c>
      <c r="AW139" s="131" t="str">
        <f t="shared" si="91"/>
        <v>-</v>
      </c>
      <c r="AX139" s="131" t="str">
        <f t="shared" si="91"/>
        <v>-</v>
      </c>
      <c r="AY139" s="131" t="str">
        <f t="shared" si="91"/>
        <v>-</v>
      </c>
      <c r="AZ139" s="131" t="str">
        <f t="shared" si="91"/>
        <v>-</v>
      </c>
      <c r="BA139" s="131" t="str">
        <f t="shared" si="91"/>
        <v>-</v>
      </c>
      <c r="BB139" s="131" t="str">
        <f t="shared" si="91"/>
        <v>-</v>
      </c>
      <c r="BC139" s="131" t="str">
        <f t="shared" si="91"/>
        <v>-</v>
      </c>
      <c r="BD139" s="131" t="str">
        <f t="shared" si="91"/>
        <v>-</v>
      </c>
      <c r="BE139" s="131" t="str">
        <f t="shared" si="91"/>
        <v>-</v>
      </c>
      <c r="BF139" s="131" t="str">
        <f t="shared" si="91"/>
        <v>-</v>
      </c>
      <c r="BG139" s="131" t="str">
        <f t="shared" si="91"/>
        <v>-</v>
      </c>
      <c r="BH139" s="131" t="str">
        <f t="shared" si="91"/>
        <v>-</v>
      </c>
      <c r="BI139" s="131" t="str">
        <f t="shared" si="91"/>
        <v>-</v>
      </c>
      <c r="BJ139" s="131" t="str">
        <f t="shared" si="91"/>
        <v>-</v>
      </c>
      <c r="BK139" s="131" t="str">
        <f t="shared" si="91"/>
        <v>-</v>
      </c>
      <c r="BL139" s="131" t="str">
        <f t="shared" si="91"/>
        <v>-</v>
      </c>
      <c r="BM139" s="131" t="str">
        <f t="shared" si="91"/>
        <v>-</v>
      </c>
      <c r="BN139" s="131" t="str">
        <f t="shared" si="91"/>
        <v>-</v>
      </c>
      <c r="BO139" s="131" t="str">
        <f t="shared" si="89"/>
        <v>-</v>
      </c>
      <c r="BP139" s="131" t="s">
        <v>18</v>
      </c>
      <c r="BQ139" s="131" t="s">
        <v>18</v>
      </c>
      <c r="BR139" s="131" t="s">
        <v>18</v>
      </c>
      <c r="BS139" s="131" t="s">
        <v>18</v>
      </c>
      <c r="BT139" s="131" t="s">
        <v>18</v>
      </c>
      <c r="BU139" s="131" t="s">
        <v>18</v>
      </c>
      <c r="BV139" s="131" t="s">
        <v>18</v>
      </c>
      <c r="BW139" s="131" t="s">
        <v>18</v>
      </c>
      <c r="BX139" s="131" t="str">
        <f t="shared" ref="BX139" si="92">IFERROR(BX187/BX91,"-")</f>
        <v>-</v>
      </c>
      <c r="BY139" s="215"/>
      <c r="BZ139" s="215"/>
      <c r="CA139" s="215"/>
      <c r="CB139" s="215"/>
      <c r="CC139" s="215"/>
      <c r="CD139" s="215"/>
      <c r="CE139" s="215"/>
      <c r="CF139" s="215"/>
      <c r="CG139" s="215"/>
      <c r="CH139" s="215"/>
      <c r="CI139" s="215"/>
      <c r="CJ139" s="215"/>
      <c r="CK139" s="215"/>
      <c r="CL139" s="215"/>
      <c r="CM139" s="215"/>
      <c r="CN139" s="215"/>
      <c r="CO139" s="215"/>
      <c r="CP139" s="215"/>
      <c r="CQ139" s="215"/>
      <c r="CR139" s="215"/>
      <c r="CS139" s="215"/>
      <c r="CT139" s="215"/>
      <c r="CU139" s="215"/>
      <c r="CV139" s="215"/>
      <c r="CW139" s="215"/>
      <c r="CX139" s="215"/>
      <c r="CY139" s="215"/>
      <c r="CZ139" s="215"/>
      <c r="DA139" s="215"/>
      <c r="DB139" s="215"/>
      <c r="DC139" s="215"/>
    </row>
    <row r="140" spans="1:107" s="147" customFormat="1" ht="15" hidden="1" customHeight="1" outlineLevel="1">
      <c r="A140" t="s">
        <v>18</v>
      </c>
      <c r="B140" s="38" t="s">
        <v>38</v>
      </c>
      <c r="C140" s="131" t="str">
        <f t="shared" si="91"/>
        <v>-</v>
      </c>
      <c r="D140" s="131" t="str">
        <f t="shared" si="91"/>
        <v>-</v>
      </c>
      <c r="E140" s="131" t="str">
        <f t="shared" si="91"/>
        <v>-</v>
      </c>
      <c r="F140" s="131" t="str">
        <f t="shared" si="91"/>
        <v>-</v>
      </c>
      <c r="G140" s="131" t="str">
        <f t="shared" si="91"/>
        <v>-</v>
      </c>
      <c r="H140" s="131" t="str">
        <f t="shared" si="91"/>
        <v>-</v>
      </c>
      <c r="I140" s="131" t="str">
        <f t="shared" si="91"/>
        <v>-</v>
      </c>
      <c r="J140" s="131" t="str">
        <f t="shared" si="91"/>
        <v>-</v>
      </c>
      <c r="K140" s="131" t="str">
        <f t="shared" si="91"/>
        <v>-</v>
      </c>
      <c r="L140" s="131" t="str">
        <f t="shared" si="91"/>
        <v>-</v>
      </c>
      <c r="M140" s="131" t="str">
        <f t="shared" si="91"/>
        <v>-</v>
      </c>
      <c r="N140" s="131" t="str">
        <f t="shared" si="91"/>
        <v>-</v>
      </c>
      <c r="O140" s="131" t="str">
        <f t="shared" si="91"/>
        <v>-</v>
      </c>
      <c r="P140" s="131" t="str">
        <f t="shared" si="91"/>
        <v>-</v>
      </c>
      <c r="Q140" s="131" t="str">
        <f t="shared" si="91"/>
        <v>-</v>
      </c>
      <c r="R140" s="131" t="str">
        <f t="shared" si="91"/>
        <v>-</v>
      </c>
      <c r="S140" s="131" t="str">
        <f t="shared" si="91"/>
        <v>-</v>
      </c>
      <c r="T140" s="131" t="str">
        <f t="shared" si="91"/>
        <v>-</v>
      </c>
      <c r="U140" s="131" t="str">
        <f t="shared" si="91"/>
        <v>-</v>
      </c>
      <c r="V140" s="131" t="str">
        <f t="shared" si="91"/>
        <v>-</v>
      </c>
      <c r="W140" s="131" t="str">
        <f t="shared" si="91"/>
        <v>-</v>
      </c>
      <c r="X140" s="131" t="str">
        <f t="shared" si="91"/>
        <v>-</v>
      </c>
      <c r="Y140" s="131" t="str">
        <f t="shared" si="91"/>
        <v>-</v>
      </c>
      <c r="Z140" s="131">
        <f t="shared" si="91"/>
        <v>0.25</v>
      </c>
      <c r="AA140" s="131">
        <f t="shared" si="91"/>
        <v>0.25</v>
      </c>
      <c r="AB140" s="131">
        <f t="shared" si="91"/>
        <v>0.25</v>
      </c>
      <c r="AC140" s="131">
        <f t="shared" si="91"/>
        <v>0.24999911715778345</v>
      </c>
      <c r="AD140" s="131">
        <f t="shared" si="91"/>
        <v>0.24999911715778345</v>
      </c>
      <c r="AE140" s="131">
        <f t="shared" si="91"/>
        <v>0.24999911715778345</v>
      </c>
      <c r="AF140" s="131">
        <f t="shared" si="91"/>
        <v>0.24999911715778345</v>
      </c>
      <c r="AG140" s="131">
        <f t="shared" si="91"/>
        <v>0.24999911715778345</v>
      </c>
      <c r="AH140" s="131">
        <f t="shared" si="91"/>
        <v>0.24999911715778345</v>
      </c>
      <c r="AI140" s="131">
        <f t="shared" si="91"/>
        <v>0.24999911715778345</v>
      </c>
      <c r="AJ140" s="131">
        <f t="shared" si="91"/>
        <v>0.24999911715778345</v>
      </c>
      <c r="AK140" s="131">
        <f t="shared" si="91"/>
        <v>0.24999911715778345</v>
      </c>
      <c r="AL140" s="131">
        <f t="shared" si="91"/>
        <v>0.24999911715778345</v>
      </c>
      <c r="AM140" s="131">
        <f t="shared" si="91"/>
        <v>0.24999911715778345</v>
      </c>
      <c r="AN140" s="131">
        <f t="shared" si="91"/>
        <v>0.24999911715778345</v>
      </c>
      <c r="AO140" s="131" t="str">
        <f t="shared" si="91"/>
        <v>-</v>
      </c>
      <c r="AP140" s="131" t="str">
        <f t="shared" si="91"/>
        <v>-</v>
      </c>
      <c r="AQ140" s="131" t="str">
        <f t="shared" si="91"/>
        <v>-</v>
      </c>
      <c r="AR140" s="131" t="str">
        <f t="shared" si="91"/>
        <v>-</v>
      </c>
      <c r="AS140" s="131" t="str">
        <f t="shared" si="91"/>
        <v>-</v>
      </c>
      <c r="AT140" s="131" t="str">
        <f t="shared" si="91"/>
        <v>-</v>
      </c>
      <c r="AU140" s="131" t="str">
        <f t="shared" si="91"/>
        <v>-</v>
      </c>
      <c r="AV140" s="131" t="str">
        <f t="shared" si="91"/>
        <v>-</v>
      </c>
      <c r="AW140" s="131" t="str">
        <f t="shared" si="91"/>
        <v>-</v>
      </c>
      <c r="AX140" s="131" t="str">
        <f t="shared" si="91"/>
        <v>-</v>
      </c>
      <c r="AY140" s="131" t="str">
        <f t="shared" si="91"/>
        <v>-</v>
      </c>
      <c r="AZ140" s="131" t="str">
        <f t="shared" si="91"/>
        <v>-</v>
      </c>
      <c r="BA140" s="131" t="str">
        <f t="shared" si="91"/>
        <v>-</v>
      </c>
      <c r="BB140" s="131" t="str">
        <f t="shared" si="91"/>
        <v>-</v>
      </c>
      <c r="BC140" s="131" t="str">
        <f t="shared" si="91"/>
        <v>-</v>
      </c>
      <c r="BD140" s="131" t="str">
        <f t="shared" si="91"/>
        <v>-</v>
      </c>
      <c r="BE140" s="131" t="str">
        <f t="shared" si="91"/>
        <v>-</v>
      </c>
      <c r="BF140" s="131" t="str">
        <f t="shared" si="91"/>
        <v>-</v>
      </c>
      <c r="BG140" s="131" t="str">
        <f t="shared" si="91"/>
        <v>-</v>
      </c>
      <c r="BH140" s="131" t="str">
        <f t="shared" si="91"/>
        <v>-</v>
      </c>
      <c r="BI140" s="131" t="str">
        <f t="shared" si="91"/>
        <v>-</v>
      </c>
      <c r="BJ140" s="131" t="str">
        <f t="shared" si="91"/>
        <v>-</v>
      </c>
      <c r="BK140" s="131" t="str">
        <f t="shared" si="91"/>
        <v>-</v>
      </c>
      <c r="BL140" s="131" t="str">
        <f t="shared" si="91"/>
        <v>-</v>
      </c>
      <c r="BM140" s="131" t="str">
        <f t="shared" si="91"/>
        <v>-</v>
      </c>
      <c r="BN140" s="131" t="str">
        <f t="shared" si="91"/>
        <v>-</v>
      </c>
      <c r="BO140" s="131" t="str">
        <f t="shared" si="89"/>
        <v>-</v>
      </c>
      <c r="BP140" s="131" t="s">
        <v>18</v>
      </c>
      <c r="BQ140" s="131" t="s">
        <v>18</v>
      </c>
      <c r="BR140" s="131" t="s">
        <v>18</v>
      </c>
      <c r="BS140" s="131" t="s">
        <v>18</v>
      </c>
      <c r="BT140" s="131" t="s">
        <v>18</v>
      </c>
      <c r="BU140" s="131" t="s">
        <v>18</v>
      </c>
      <c r="BV140" s="131" t="s">
        <v>18</v>
      </c>
      <c r="BW140" s="131" t="s">
        <v>18</v>
      </c>
      <c r="BX140" s="131" t="str">
        <f t="shared" ref="BX140" si="93">IFERROR(BX188/BX92,"-")</f>
        <v>-</v>
      </c>
      <c r="BY140" s="215"/>
      <c r="BZ140" s="215"/>
      <c r="CA140" s="215"/>
      <c r="CB140" s="215"/>
      <c r="CC140" s="215"/>
      <c r="CD140" s="215"/>
      <c r="CE140" s="215"/>
      <c r="CF140" s="215"/>
      <c r="CG140" s="215"/>
      <c r="CH140" s="215"/>
      <c r="CI140" s="215"/>
      <c r="CJ140" s="215"/>
      <c r="CK140" s="215"/>
      <c r="CL140" s="215"/>
      <c r="CM140" s="215"/>
      <c r="CN140" s="215"/>
      <c r="CO140" s="215"/>
      <c r="CP140" s="215"/>
      <c r="CQ140" s="215"/>
      <c r="CR140" s="215"/>
      <c r="CS140" s="215"/>
      <c r="CT140" s="215"/>
      <c r="CU140" s="215"/>
      <c r="CV140" s="215"/>
      <c r="CW140" s="215"/>
      <c r="CX140" s="215"/>
      <c r="CY140" s="215"/>
      <c r="CZ140" s="215"/>
      <c r="DA140" s="215"/>
      <c r="DB140" s="215"/>
      <c r="DC140" s="215"/>
    </row>
    <row r="141" spans="1:107" s="147" customFormat="1" ht="15" hidden="1" customHeight="1" outlineLevel="1">
      <c r="A141" t="s">
        <v>18</v>
      </c>
      <c r="B141" s="38" t="s">
        <v>35</v>
      </c>
      <c r="C141" s="131" t="str">
        <f t="shared" si="91"/>
        <v>-</v>
      </c>
      <c r="D141" s="131" t="str">
        <f t="shared" si="91"/>
        <v>-</v>
      </c>
      <c r="E141" s="131" t="str">
        <f t="shared" si="91"/>
        <v>-</v>
      </c>
      <c r="F141" s="131" t="str">
        <f t="shared" si="91"/>
        <v>-</v>
      </c>
      <c r="G141" s="131" t="str">
        <f t="shared" si="91"/>
        <v>-</v>
      </c>
      <c r="H141" s="131" t="str">
        <f t="shared" si="91"/>
        <v>-</v>
      </c>
      <c r="I141" s="131" t="str">
        <f t="shared" si="91"/>
        <v>-</v>
      </c>
      <c r="J141" s="131" t="str">
        <f t="shared" si="91"/>
        <v>-</v>
      </c>
      <c r="K141" s="131" t="str">
        <f t="shared" si="91"/>
        <v>-</v>
      </c>
      <c r="L141" s="131" t="str">
        <f t="shared" si="91"/>
        <v>-</v>
      </c>
      <c r="M141" s="131" t="str">
        <f t="shared" si="91"/>
        <v>-</v>
      </c>
      <c r="N141" s="131" t="str">
        <f t="shared" si="91"/>
        <v>-</v>
      </c>
      <c r="O141" s="131" t="str">
        <f t="shared" si="91"/>
        <v>-</v>
      </c>
      <c r="P141" s="131" t="str">
        <f t="shared" si="91"/>
        <v>-</v>
      </c>
      <c r="Q141" s="131" t="str">
        <f t="shared" si="91"/>
        <v>-</v>
      </c>
      <c r="R141" s="131" t="str">
        <f t="shared" si="91"/>
        <v>-</v>
      </c>
      <c r="S141" s="131" t="str">
        <f t="shared" si="91"/>
        <v>-</v>
      </c>
      <c r="T141" s="131" t="str">
        <f t="shared" si="91"/>
        <v>-</v>
      </c>
      <c r="U141" s="131" t="str">
        <f t="shared" si="91"/>
        <v>-</v>
      </c>
      <c r="V141" s="131" t="str">
        <f t="shared" si="91"/>
        <v>-</v>
      </c>
      <c r="W141" s="131" t="str">
        <f t="shared" si="91"/>
        <v>-</v>
      </c>
      <c r="X141" s="131">
        <f t="shared" si="91"/>
        <v>2.5003380668402766E-2</v>
      </c>
      <c r="Y141" s="131">
        <f t="shared" si="91"/>
        <v>2.5003380668402766E-2</v>
      </c>
      <c r="Z141" s="131">
        <f t="shared" si="91"/>
        <v>2.5003380668402766E-2</v>
      </c>
      <c r="AA141" s="131">
        <f t="shared" si="91"/>
        <v>2.5000000000000001E-2</v>
      </c>
      <c r="AB141" s="131">
        <f t="shared" si="91"/>
        <v>2.5000000000000001E-2</v>
      </c>
      <c r="AC141" s="131">
        <f t="shared" si="91"/>
        <v>2.5000000000000001E-2</v>
      </c>
      <c r="AD141" s="131">
        <f t="shared" si="91"/>
        <v>2.5003380668402766E-2</v>
      </c>
      <c r="AE141" s="131">
        <f t="shared" si="91"/>
        <v>2.5003380668402766E-2</v>
      </c>
      <c r="AF141" s="131">
        <f t="shared" si="91"/>
        <v>2.5000000000000001E-2</v>
      </c>
      <c r="AG141" s="131">
        <f t="shared" si="91"/>
        <v>2.5000000000000001E-2</v>
      </c>
      <c r="AH141" s="131">
        <f t="shared" si="91"/>
        <v>2.5000000000000001E-2</v>
      </c>
      <c r="AI141" s="131">
        <f t="shared" si="91"/>
        <v>2.5000000000000001E-2</v>
      </c>
      <c r="AJ141" s="131">
        <f t="shared" si="91"/>
        <v>2.5000000000000001E-2</v>
      </c>
      <c r="AK141" s="131">
        <f t="shared" si="91"/>
        <v>2.5003380668402766E-2</v>
      </c>
      <c r="AL141" s="131" t="str">
        <f t="shared" si="91"/>
        <v>-</v>
      </c>
      <c r="AM141" s="131" t="str">
        <f t="shared" si="91"/>
        <v>-</v>
      </c>
      <c r="AN141" s="131" t="str">
        <f t="shared" si="91"/>
        <v>-</v>
      </c>
      <c r="AO141" s="131" t="str">
        <f t="shared" si="91"/>
        <v>-</v>
      </c>
      <c r="AP141" s="131" t="str">
        <f t="shared" si="91"/>
        <v>-</v>
      </c>
      <c r="AQ141" s="131" t="str">
        <f t="shared" si="91"/>
        <v>-</v>
      </c>
      <c r="AR141" s="131" t="str">
        <f t="shared" si="91"/>
        <v>-</v>
      </c>
      <c r="AS141" s="131" t="str">
        <f t="shared" si="91"/>
        <v>-</v>
      </c>
      <c r="AT141" s="131" t="str">
        <f t="shared" si="91"/>
        <v>-</v>
      </c>
      <c r="AU141" s="131" t="str">
        <f t="shared" si="91"/>
        <v>-</v>
      </c>
      <c r="AV141" s="131" t="str">
        <f t="shared" si="91"/>
        <v>-</v>
      </c>
      <c r="AW141" s="131" t="str">
        <f t="shared" si="91"/>
        <v>-</v>
      </c>
      <c r="AX141" s="131" t="str">
        <f t="shared" si="91"/>
        <v>-</v>
      </c>
      <c r="AY141" s="131" t="str">
        <f t="shared" si="91"/>
        <v>-</v>
      </c>
      <c r="AZ141" s="131" t="str">
        <f t="shared" si="91"/>
        <v>-</v>
      </c>
      <c r="BA141" s="131" t="str">
        <f t="shared" si="91"/>
        <v>-</v>
      </c>
      <c r="BB141" s="131" t="str">
        <f t="shared" si="91"/>
        <v>-</v>
      </c>
      <c r="BC141" s="131" t="str">
        <f t="shared" si="91"/>
        <v>-</v>
      </c>
      <c r="BD141" s="131" t="str">
        <f t="shared" si="91"/>
        <v>-</v>
      </c>
      <c r="BE141" s="131" t="str">
        <f t="shared" si="91"/>
        <v>-</v>
      </c>
      <c r="BF141" s="131" t="str">
        <f t="shared" si="91"/>
        <v>-</v>
      </c>
      <c r="BG141" s="131" t="str">
        <f t="shared" si="91"/>
        <v>-</v>
      </c>
      <c r="BH141" s="131" t="str">
        <f t="shared" si="91"/>
        <v>-</v>
      </c>
      <c r="BI141" s="131" t="str">
        <f t="shared" si="91"/>
        <v>-</v>
      </c>
      <c r="BJ141" s="131" t="str">
        <f t="shared" si="91"/>
        <v>-</v>
      </c>
      <c r="BK141" s="131" t="str">
        <f t="shared" si="91"/>
        <v>-</v>
      </c>
      <c r="BL141" s="131" t="str">
        <f t="shared" si="91"/>
        <v>-</v>
      </c>
      <c r="BM141" s="131" t="str">
        <f t="shared" si="91"/>
        <v>-</v>
      </c>
      <c r="BN141" s="131" t="str">
        <f t="shared" si="91"/>
        <v>-</v>
      </c>
      <c r="BO141" s="131" t="str">
        <f t="shared" si="89"/>
        <v>-</v>
      </c>
      <c r="BP141" s="131" t="s">
        <v>18</v>
      </c>
      <c r="BQ141" s="131" t="s">
        <v>18</v>
      </c>
      <c r="BR141" s="131" t="s">
        <v>18</v>
      </c>
      <c r="BS141" s="131" t="s">
        <v>18</v>
      </c>
      <c r="BT141" s="131" t="s">
        <v>18</v>
      </c>
      <c r="BU141" s="131" t="s">
        <v>18</v>
      </c>
      <c r="BV141" s="131" t="s">
        <v>18</v>
      </c>
      <c r="BW141" s="131" t="s">
        <v>18</v>
      </c>
      <c r="BX141" s="131" t="str">
        <f t="shared" ref="BX141" si="94">IFERROR(BX189/BX93,"-")</f>
        <v>-</v>
      </c>
      <c r="BY141" s="215"/>
      <c r="BZ141" s="215"/>
      <c r="CA141" s="215"/>
      <c r="CB141" s="215"/>
      <c r="CC141" s="215"/>
      <c r="CD141" s="215"/>
      <c r="CE141" s="215"/>
      <c r="CF141" s="215"/>
      <c r="CG141" s="215"/>
      <c r="CH141" s="215"/>
      <c r="CI141" s="215"/>
      <c r="CJ141" s="215"/>
      <c r="CK141" s="215"/>
      <c r="CL141" s="215"/>
      <c r="CM141" s="215"/>
      <c r="CN141" s="215"/>
      <c r="CO141" s="215"/>
      <c r="CP141" s="215"/>
      <c r="CQ141" s="215"/>
      <c r="CR141" s="215"/>
      <c r="CS141" s="215"/>
      <c r="CT141" s="215"/>
      <c r="CU141" s="215"/>
      <c r="CV141" s="215"/>
      <c r="CW141" s="215"/>
      <c r="CX141" s="215"/>
      <c r="CY141" s="215"/>
      <c r="CZ141" s="215"/>
      <c r="DA141" s="215"/>
      <c r="DB141" s="215"/>
      <c r="DC141" s="215"/>
    </row>
    <row r="142" spans="1:107" s="147" customFormat="1" ht="15" hidden="1" customHeight="1" outlineLevel="1">
      <c r="A142" t="s">
        <v>18</v>
      </c>
      <c r="B142" s="38" t="s">
        <v>39</v>
      </c>
      <c r="C142" s="131" t="str">
        <f t="shared" si="91"/>
        <v>-</v>
      </c>
      <c r="D142" s="131" t="str">
        <f t="shared" si="91"/>
        <v>-</v>
      </c>
      <c r="E142" s="131" t="str">
        <f t="shared" si="91"/>
        <v>-</v>
      </c>
      <c r="F142" s="131" t="str">
        <f t="shared" si="91"/>
        <v>-</v>
      </c>
      <c r="G142" s="131" t="str">
        <f t="shared" si="91"/>
        <v>-</v>
      </c>
      <c r="H142" s="131" t="str">
        <f t="shared" si="91"/>
        <v>-</v>
      </c>
      <c r="I142" s="131" t="str">
        <f t="shared" si="91"/>
        <v>-</v>
      </c>
      <c r="J142" s="131" t="str">
        <f t="shared" si="91"/>
        <v>-</v>
      </c>
      <c r="K142" s="131" t="str">
        <f t="shared" si="91"/>
        <v>-</v>
      </c>
      <c r="L142" s="131" t="str">
        <f t="shared" si="91"/>
        <v>-</v>
      </c>
      <c r="M142" s="131" t="str">
        <f t="shared" si="91"/>
        <v>-</v>
      </c>
      <c r="N142" s="131" t="str">
        <f t="shared" si="91"/>
        <v>-</v>
      </c>
      <c r="O142" s="131" t="str">
        <f t="shared" si="91"/>
        <v>-</v>
      </c>
      <c r="P142" s="131" t="str">
        <f t="shared" si="91"/>
        <v>-</v>
      </c>
      <c r="Q142" s="131" t="str">
        <f t="shared" si="91"/>
        <v>-</v>
      </c>
      <c r="R142" s="131" t="str">
        <f t="shared" si="91"/>
        <v>-</v>
      </c>
      <c r="S142" s="131" t="str">
        <f t="shared" si="91"/>
        <v>-</v>
      </c>
      <c r="T142" s="131" t="str">
        <f t="shared" si="91"/>
        <v>-</v>
      </c>
      <c r="U142" s="131" t="str">
        <f t="shared" si="91"/>
        <v>-</v>
      </c>
      <c r="V142" s="131" t="str">
        <f t="shared" si="91"/>
        <v>-</v>
      </c>
      <c r="W142" s="131" t="str">
        <f t="shared" si="91"/>
        <v>-</v>
      </c>
      <c r="X142" s="131" t="str">
        <f t="shared" si="91"/>
        <v>-</v>
      </c>
      <c r="Y142" s="131" t="str">
        <f t="shared" si="91"/>
        <v>-</v>
      </c>
      <c r="Z142" s="131" t="str">
        <f t="shared" si="91"/>
        <v>-</v>
      </c>
      <c r="AA142" s="131" t="str">
        <f t="shared" si="91"/>
        <v>-</v>
      </c>
      <c r="AB142" s="131">
        <f t="shared" si="91"/>
        <v>0.5</v>
      </c>
      <c r="AC142" s="131">
        <f t="shared" si="91"/>
        <v>0.5</v>
      </c>
      <c r="AD142" s="131">
        <f t="shared" si="91"/>
        <v>0.50000596841149347</v>
      </c>
      <c r="AE142" s="131">
        <f t="shared" si="91"/>
        <v>0.50000596841149347</v>
      </c>
      <c r="AF142" s="131">
        <f t="shared" si="91"/>
        <v>0.5</v>
      </c>
      <c r="AG142" s="131">
        <f t="shared" si="91"/>
        <v>0.5</v>
      </c>
      <c r="AH142" s="131">
        <f t="shared" si="91"/>
        <v>0.5</v>
      </c>
      <c r="AI142" s="131">
        <f t="shared" si="91"/>
        <v>0.5</v>
      </c>
      <c r="AJ142" s="131">
        <f t="shared" si="91"/>
        <v>0.5</v>
      </c>
      <c r="AK142" s="131">
        <f t="shared" si="91"/>
        <v>0.50000596841149347</v>
      </c>
      <c r="AL142" s="131">
        <f t="shared" si="91"/>
        <v>0.50000596841149347</v>
      </c>
      <c r="AM142" s="131">
        <f t="shared" si="91"/>
        <v>0.50000596841149347</v>
      </c>
      <c r="AN142" s="131">
        <f t="shared" si="91"/>
        <v>0.50000596841149347</v>
      </c>
      <c r="AO142" s="131" t="str">
        <f t="shared" si="91"/>
        <v>-</v>
      </c>
      <c r="AP142" s="131" t="str">
        <f t="shared" si="91"/>
        <v>-</v>
      </c>
      <c r="AQ142" s="131" t="str">
        <f t="shared" si="91"/>
        <v>-</v>
      </c>
      <c r="AR142" s="131" t="str">
        <f t="shared" si="91"/>
        <v>-</v>
      </c>
      <c r="AS142" s="131" t="str">
        <f t="shared" si="91"/>
        <v>-</v>
      </c>
      <c r="AT142" s="131" t="str">
        <f t="shared" si="91"/>
        <v>-</v>
      </c>
      <c r="AU142" s="131" t="str">
        <f t="shared" si="91"/>
        <v>-</v>
      </c>
      <c r="AV142" s="131" t="str">
        <f t="shared" si="91"/>
        <v>-</v>
      </c>
      <c r="AW142" s="131" t="str">
        <f t="shared" si="91"/>
        <v>-</v>
      </c>
      <c r="AX142" s="131" t="str">
        <f t="shared" si="91"/>
        <v>-</v>
      </c>
      <c r="AY142" s="131" t="str">
        <f t="shared" si="91"/>
        <v>-</v>
      </c>
      <c r="AZ142" s="131" t="str">
        <f t="shared" si="91"/>
        <v>-</v>
      </c>
      <c r="BA142" s="131" t="str">
        <f t="shared" si="91"/>
        <v>-</v>
      </c>
      <c r="BB142" s="131" t="str">
        <f t="shared" si="91"/>
        <v>-</v>
      </c>
      <c r="BC142" s="131" t="str">
        <f t="shared" si="91"/>
        <v>-</v>
      </c>
      <c r="BD142" s="131" t="str">
        <f t="shared" si="91"/>
        <v>-</v>
      </c>
      <c r="BE142" s="131" t="str">
        <f t="shared" si="91"/>
        <v>-</v>
      </c>
      <c r="BF142" s="131" t="str">
        <f t="shared" si="91"/>
        <v>-</v>
      </c>
      <c r="BG142" s="131" t="str">
        <f t="shared" si="91"/>
        <v>-</v>
      </c>
      <c r="BH142" s="131" t="str">
        <f t="shared" si="91"/>
        <v>-</v>
      </c>
      <c r="BI142" s="131" t="str">
        <f t="shared" si="91"/>
        <v>-</v>
      </c>
      <c r="BJ142" s="131" t="str">
        <f t="shared" si="91"/>
        <v>-</v>
      </c>
      <c r="BK142" s="131" t="str">
        <f t="shared" si="91"/>
        <v>-</v>
      </c>
      <c r="BL142" s="131" t="str">
        <f t="shared" si="91"/>
        <v>-</v>
      </c>
      <c r="BM142" s="131" t="str">
        <f t="shared" si="91"/>
        <v>-</v>
      </c>
      <c r="BN142" s="131" t="str">
        <f t="shared" ref="BN142:BO145" si="95">IFERROR(BN190/BN94,"-")</f>
        <v>-</v>
      </c>
      <c r="BO142" s="131" t="str">
        <f t="shared" si="95"/>
        <v>-</v>
      </c>
      <c r="BP142" s="131" t="s">
        <v>18</v>
      </c>
      <c r="BQ142" s="131" t="s">
        <v>18</v>
      </c>
      <c r="BR142" s="131" t="s">
        <v>18</v>
      </c>
      <c r="BS142" s="131" t="s">
        <v>18</v>
      </c>
      <c r="BT142" s="131" t="s">
        <v>18</v>
      </c>
      <c r="BU142" s="131" t="s">
        <v>18</v>
      </c>
      <c r="BV142" s="131" t="s">
        <v>18</v>
      </c>
      <c r="BW142" s="131" t="s">
        <v>18</v>
      </c>
      <c r="BX142" s="131" t="str">
        <f t="shared" ref="BX142" si="96">IFERROR(BX190/BX94,"-")</f>
        <v>-</v>
      </c>
      <c r="BY142" s="215"/>
      <c r="BZ142" s="215"/>
      <c r="CA142" s="215"/>
      <c r="CB142" s="215"/>
      <c r="CC142" s="215"/>
      <c r="CD142" s="215"/>
      <c r="CE142" s="215"/>
      <c r="CF142" s="215"/>
      <c r="CG142" s="215"/>
      <c r="CH142" s="215"/>
      <c r="CI142" s="215"/>
      <c r="CJ142" s="215"/>
      <c r="CK142" s="215"/>
      <c r="CL142" s="215"/>
      <c r="CM142" s="215"/>
      <c r="CN142" s="215"/>
      <c r="CO142" s="215"/>
      <c r="CP142" s="215"/>
      <c r="CQ142" s="215"/>
      <c r="CR142" s="215"/>
      <c r="CS142" s="215"/>
      <c r="CT142" s="215"/>
      <c r="CU142" s="215"/>
      <c r="CV142" s="215"/>
      <c r="CW142" s="215"/>
      <c r="CX142" s="215"/>
      <c r="CY142" s="215"/>
      <c r="CZ142" s="215"/>
      <c r="DA142" s="215"/>
      <c r="DB142" s="215"/>
      <c r="DC142" s="215"/>
    </row>
    <row r="143" spans="1:107" s="147" customFormat="1" ht="15" hidden="1" customHeight="1" outlineLevel="1">
      <c r="A143" t="s">
        <v>18</v>
      </c>
      <c r="B143" s="38" t="s">
        <v>21</v>
      </c>
      <c r="C143" s="131" t="str">
        <f t="shared" ref="C143:BN146" si="97">IFERROR(C191/C95,"-")</f>
        <v>-</v>
      </c>
      <c r="D143" s="131" t="str">
        <f t="shared" si="97"/>
        <v>-</v>
      </c>
      <c r="E143" s="131" t="str">
        <f t="shared" si="97"/>
        <v>-</v>
      </c>
      <c r="F143" s="131" t="str">
        <f t="shared" si="97"/>
        <v>-</v>
      </c>
      <c r="G143" s="131" t="str">
        <f t="shared" si="97"/>
        <v>-</v>
      </c>
      <c r="H143" s="131" t="str">
        <f t="shared" si="97"/>
        <v>-</v>
      </c>
      <c r="I143" s="131" t="str">
        <f t="shared" si="97"/>
        <v>-</v>
      </c>
      <c r="J143" s="131" t="str">
        <f t="shared" si="97"/>
        <v>-</v>
      </c>
      <c r="K143" s="131" t="str">
        <f t="shared" si="97"/>
        <v>-</v>
      </c>
      <c r="L143" s="131" t="str">
        <f t="shared" si="97"/>
        <v>-</v>
      </c>
      <c r="M143" s="131" t="str">
        <f t="shared" si="97"/>
        <v>-</v>
      </c>
      <c r="N143" s="131" t="str">
        <f t="shared" si="97"/>
        <v>-</v>
      </c>
      <c r="O143" s="131" t="str">
        <f t="shared" si="97"/>
        <v>-</v>
      </c>
      <c r="P143" s="131" t="str">
        <f t="shared" si="97"/>
        <v>-</v>
      </c>
      <c r="Q143" s="131" t="str">
        <f t="shared" si="97"/>
        <v>-</v>
      </c>
      <c r="R143" s="131" t="str">
        <f t="shared" si="97"/>
        <v>-</v>
      </c>
      <c r="S143" s="131" t="str">
        <f t="shared" si="97"/>
        <v>-</v>
      </c>
      <c r="T143" s="131" t="str">
        <f t="shared" si="97"/>
        <v>-</v>
      </c>
      <c r="U143" s="131" t="str">
        <f t="shared" si="97"/>
        <v>-</v>
      </c>
      <c r="V143" s="131" t="str">
        <f t="shared" si="97"/>
        <v>-</v>
      </c>
      <c r="W143" s="131" t="str">
        <f t="shared" si="97"/>
        <v>-</v>
      </c>
      <c r="X143" s="131" t="str">
        <f t="shared" si="97"/>
        <v>-</v>
      </c>
      <c r="Y143" s="131" t="str">
        <f t="shared" si="97"/>
        <v>-</v>
      </c>
      <c r="Z143" s="131" t="str">
        <f t="shared" si="97"/>
        <v>-</v>
      </c>
      <c r="AA143" s="131" t="str">
        <f t="shared" si="97"/>
        <v>-</v>
      </c>
      <c r="AB143" s="131" t="str">
        <f t="shared" si="97"/>
        <v>-</v>
      </c>
      <c r="AC143" s="131" t="str">
        <f t="shared" si="97"/>
        <v>-</v>
      </c>
      <c r="AD143" s="131" t="str">
        <f t="shared" si="97"/>
        <v>-</v>
      </c>
      <c r="AE143" s="131" t="str">
        <f t="shared" si="97"/>
        <v>-</v>
      </c>
      <c r="AF143" s="131" t="str">
        <f t="shared" si="97"/>
        <v>-</v>
      </c>
      <c r="AG143" s="131" t="str">
        <f t="shared" si="97"/>
        <v>-</v>
      </c>
      <c r="AH143" s="131" t="str">
        <f t="shared" si="97"/>
        <v>-</v>
      </c>
      <c r="AI143" s="131">
        <f t="shared" si="97"/>
        <v>0.25000179706049996</v>
      </c>
      <c r="AJ143" s="131">
        <f t="shared" si="97"/>
        <v>0.25000179706049996</v>
      </c>
      <c r="AK143" s="131">
        <f t="shared" si="97"/>
        <v>0.25000179706049996</v>
      </c>
      <c r="AL143" s="131" t="str">
        <f t="shared" si="97"/>
        <v>-</v>
      </c>
      <c r="AM143" s="131" t="str">
        <f t="shared" si="97"/>
        <v>-</v>
      </c>
      <c r="AN143" s="131" t="str">
        <f t="shared" si="97"/>
        <v>-</v>
      </c>
      <c r="AO143" s="131" t="str">
        <f t="shared" si="97"/>
        <v>-</v>
      </c>
      <c r="AP143" s="131" t="str">
        <f t="shared" si="97"/>
        <v>-</v>
      </c>
      <c r="AQ143" s="131" t="str">
        <f t="shared" si="97"/>
        <v>-</v>
      </c>
      <c r="AR143" s="131" t="str">
        <f t="shared" si="97"/>
        <v>-</v>
      </c>
      <c r="AS143" s="131" t="str">
        <f t="shared" si="97"/>
        <v>-</v>
      </c>
      <c r="AT143" s="131" t="str">
        <f t="shared" si="97"/>
        <v>-</v>
      </c>
      <c r="AU143" s="131" t="str">
        <f t="shared" si="97"/>
        <v>-</v>
      </c>
      <c r="AV143" s="131" t="str">
        <f t="shared" si="97"/>
        <v>-</v>
      </c>
      <c r="AW143" s="131" t="str">
        <f t="shared" si="97"/>
        <v>-</v>
      </c>
      <c r="AX143" s="131" t="str">
        <f t="shared" si="97"/>
        <v>-</v>
      </c>
      <c r="AY143" s="131" t="str">
        <f t="shared" si="97"/>
        <v>-</v>
      </c>
      <c r="AZ143" s="131" t="str">
        <f t="shared" si="97"/>
        <v>-</v>
      </c>
      <c r="BA143" s="131" t="str">
        <f t="shared" si="97"/>
        <v>-</v>
      </c>
      <c r="BB143" s="131" t="str">
        <f t="shared" si="97"/>
        <v>-</v>
      </c>
      <c r="BC143" s="131" t="str">
        <f t="shared" si="97"/>
        <v>-</v>
      </c>
      <c r="BD143" s="131" t="str">
        <f t="shared" si="97"/>
        <v>-</v>
      </c>
      <c r="BE143" s="131" t="str">
        <f t="shared" si="97"/>
        <v>-</v>
      </c>
      <c r="BF143" s="131" t="str">
        <f t="shared" si="97"/>
        <v>-</v>
      </c>
      <c r="BG143" s="131" t="str">
        <f t="shared" si="97"/>
        <v>-</v>
      </c>
      <c r="BH143" s="131" t="str">
        <f t="shared" si="97"/>
        <v>-</v>
      </c>
      <c r="BI143" s="131" t="str">
        <f t="shared" si="97"/>
        <v>-</v>
      </c>
      <c r="BJ143" s="131" t="str">
        <f t="shared" si="97"/>
        <v>-</v>
      </c>
      <c r="BK143" s="131" t="str">
        <f t="shared" si="97"/>
        <v>-</v>
      </c>
      <c r="BL143" s="131" t="str">
        <f t="shared" si="97"/>
        <v>-</v>
      </c>
      <c r="BM143" s="131" t="str">
        <f t="shared" si="97"/>
        <v>-</v>
      </c>
      <c r="BN143" s="131" t="str">
        <f t="shared" si="97"/>
        <v>-</v>
      </c>
      <c r="BO143" s="131" t="str">
        <f t="shared" si="95"/>
        <v>-</v>
      </c>
      <c r="BP143" s="131" t="s">
        <v>18</v>
      </c>
      <c r="BQ143" s="131" t="s">
        <v>18</v>
      </c>
      <c r="BR143" s="131" t="s">
        <v>18</v>
      </c>
      <c r="BS143" s="131" t="s">
        <v>18</v>
      </c>
      <c r="BT143" s="131" t="s">
        <v>18</v>
      </c>
      <c r="BU143" s="131" t="s">
        <v>18</v>
      </c>
      <c r="BV143" s="131" t="s">
        <v>18</v>
      </c>
      <c r="BW143" s="131" t="s">
        <v>18</v>
      </c>
      <c r="BX143" s="131" t="str">
        <f t="shared" ref="BX143" si="98">IFERROR(BX191/BX95,"-")</f>
        <v>-</v>
      </c>
      <c r="BY143" s="215"/>
      <c r="BZ143" s="215"/>
      <c r="CA143" s="215"/>
      <c r="CB143" s="215"/>
      <c r="CC143" s="215"/>
      <c r="CD143" s="215"/>
      <c r="CE143" s="215"/>
      <c r="CF143" s="215"/>
      <c r="CG143" s="215"/>
      <c r="CH143" s="215"/>
      <c r="CI143" s="215"/>
      <c r="CJ143" s="215"/>
      <c r="CK143" s="215"/>
      <c r="CL143" s="215"/>
      <c r="CM143" s="215"/>
      <c r="CN143" s="215"/>
      <c r="CO143" s="215"/>
      <c r="CP143" s="215"/>
      <c r="CQ143" s="215"/>
      <c r="CR143" s="215"/>
      <c r="CS143" s="215"/>
      <c r="CT143" s="215"/>
      <c r="CU143" s="215"/>
      <c r="CV143" s="215"/>
      <c r="CW143" s="215"/>
      <c r="CX143" s="215"/>
      <c r="CY143" s="215"/>
      <c r="CZ143" s="215"/>
      <c r="DA143" s="215"/>
      <c r="DB143" s="215"/>
      <c r="DC143" s="215"/>
    </row>
    <row r="144" spans="1:107" s="147" customFormat="1" ht="15" hidden="1" customHeight="1" outlineLevel="1">
      <c r="A144" t="s">
        <v>18</v>
      </c>
      <c r="B144" s="38" t="s">
        <v>22</v>
      </c>
      <c r="C144" s="131" t="str">
        <f t="shared" si="97"/>
        <v>-</v>
      </c>
      <c r="D144" s="131" t="str">
        <f t="shared" si="97"/>
        <v>-</v>
      </c>
      <c r="E144" s="131" t="str">
        <f t="shared" si="97"/>
        <v>-</v>
      </c>
      <c r="F144" s="131" t="str">
        <f t="shared" si="97"/>
        <v>-</v>
      </c>
      <c r="G144" s="131" t="str">
        <f t="shared" si="97"/>
        <v>-</v>
      </c>
      <c r="H144" s="131" t="str">
        <f t="shared" si="97"/>
        <v>-</v>
      </c>
      <c r="I144" s="131" t="str">
        <f t="shared" si="97"/>
        <v>-</v>
      </c>
      <c r="J144" s="131" t="str">
        <f t="shared" si="97"/>
        <v>-</v>
      </c>
      <c r="K144" s="131" t="str">
        <f t="shared" si="97"/>
        <v>-</v>
      </c>
      <c r="L144" s="131" t="str">
        <f t="shared" si="97"/>
        <v>-</v>
      </c>
      <c r="M144" s="131" t="str">
        <f t="shared" si="97"/>
        <v>-</v>
      </c>
      <c r="N144" s="131" t="str">
        <f t="shared" si="97"/>
        <v>-</v>
      </c>
      <c r="O144" s="131" t="str">
        <f t="shared" si="97"/>
        <v>-</v>
      </c>
      <c r="P144" s="131" t="str">
        <f t="shared" si="97"/>
        <v>-</v>
      </c>
      <c r="Q144" s="131" t="str">
        <f t="shared" si="97"/>
        <v>-</v>
      </c>
      <c r="R144" s="131" t="str">
        <f t="shared" si="97"/>
        <v>-</v>
      </c>
      <c r="S144" s="131" t="str">
        <f t="shared" si="97"/>
        <v>-</v>
      </c>
      <c r="T144" s="131" t="str">
        <f t="shared" si="97"/>
        <v>-</v>
      </c>
      <c r="U144" s="131" t="str">
        <f t="shared" si="97"/>
        <v>-</v>
      </c>
      <c r="V144" s="131" t="str">
        <f t="shared" si="97"/>
        <v>-</v>
      </c>
      <c r="W144" s="131" t="str">
        <f t="shared" si="97"/>
        <v>-</v>
      </c>
      <c r="X144" s="131" t="str">
        <f t="shared" si="97"/>
        <v>-</v>
      </c>
      <c r="Y144" s="131" t="str">
        <f t="shared" si="97"/>
        <v>-</v>
      </c>
      <c r="Z144" s="131" t="str">
        <f t="shared" si="97"/>
        <v>-</v>
      </c>
      <c r="AA144" s="131" t="str">
        <f t="shared" si="97"/>
        <v>-</v>
      </c>
      <c r="AB144" s="131" t="str">
        <f t="shared" si="97"/>
        <v>-</v>
      </c>
      <c r="AC144" s="131" t="str">
        <f t="shared" si="97"/>
        <v>-</v>
      </c>
      <c r="AD144" s="131" t="str">
        <f t="shared" si="97"/>
        <v>-</v>
      </c>
      <c r="AE144" s="131" t="str">
        <f t="shared" si="97"/>
        <v>-</v>
      </c>
      <c r="AF144" s="131" t="str">
        <f t="shared" si="97"/>
        <v>-</v>
      </c>
      <c r="AG144" s="131" t="str">
        <f t="shared" si="97"/>
        <v>-</v>
      </c>
      <c r="AH144" s="131" t="str">
        <f t="shared" si="97"/>
        <v>-</v>
      </c>
      <c r="AI144" s="131" t="str">
        <f t="shared" si="97"/>
        <v>-</v>
      </c>
      <c r="AJ144" s="131">
        <f t="shared" si="97"/>
        <v>0.33500524521374248</v>
      </c>
      <c r="AK144" s="131">
        <f t="shared" si="97"/>
        <v>0.33500524521374248</v>
      </c>
      <c r="AL144" s="131" t="str">
        <f t="shared" si="97"/>
        <v>-</v>
      </c>
      <c r="AM144" s="131" t="str">
        <f t="shared" si="97"/>
        <v>-</v>
      </c>
      <c r="AN144" s="131" t="str">
        <f t="shared" si="97"/>
        <v>-</v>
      </c>
      <c r="AO144" s="131" t="str">
        <f t="shared" si="97"/>
        <v>-</v>
      </c>
      <c r="AP144" s="131" t="str">
        <f t="shared" si="97"/>
        <v>-</v>
      </c>
      <c r="AQ144" s="131" t="str">
        <f t="shared" si="97"/>
        <v>-</v>
      </c>
      <c r="AR144" s="131" t="str">
        <f t="shared" si="97"/>
        <v>-</v>
      </c>
      <c r="AS144" s="131" t="str">
        <f t="shared" si="97"/>
        <v>-</v>
      </c>
      <c r="AT144" s="131" t="str">
        <f t="shared" si="97"/>
        <v>-</v>
      </c>
      <c r="AU144" s="131" t="str">
        <f t="shared" si="97"/>
        <v>-</v>
      </c>
      <c r="AV144" s="131" t="str">
        <f t="shared" si="97"/>
        <v>-</v>
      </c>
      <c r="AW144" s="131" t="str">
        <f t="shared" si="97"/>
        <v>-</v>
      </c>
      <c r="AX144" s="131" t="str">
        <f t="shared" si="97"/>
        <v>-</v>
      </c>
      <c r="AY144" s="131" t="str">
        <f t="shared" si="97"/>
        <v>-</v>
      </c>
      <c r="AZ144" s="131" t="str">
        <f t="shared" si="97"/>
        <v>-</v>
      </c>
      <c r="BA144" s="131" t="str">
        <f t="shared" si="97"/>
        <v>-</v>
      </c>
      <c r="BB144" s="131" t="str">
        <f t="shared" si="97"/>
        <v>-</v>
      </c>
      <c r="BC144" s="131" t="str">
        <f t="shared" si="97"/>
        <v>-</v>
      </c>
      <c r="BD144" s="131" t="str">
        <f t="shared" si="97"/>
        <v>-</v>
      </c>
      <c r="BE144" s="131" t="str">
        <f t="shared" si="97"/>
        <v>-</v>
      </c>
      <c r="BF144" s="131" t="str">
        <f t="shared" si="97"/>
        <v>-</v>
      </c>
      <c r="BG144" s="131" t="str">
        <f t="shared" si="97"/>
        <v>-</v>
      </c>
      <c r="BH144" s="131" t="str">
        <f t="shared" si="97"/>
        <v>-</v>
      </c>
      <c r="BI144" s="131" t="str">
        <f t="shared" si="97"/>
        <v>-</v>
      </c>
      <c r="BJ144" s="131" t="str">
        <f t="shared" si="97"/>
        <v>-</v>
      </c>
      <c r="BK144" s="131" t="str">
        <f t="shared" si="97"/>
        <v>-</v>
      </c>
      <c r="BL144" s="131" t="str">
        <f t="shared" si="97"/>
        <v>-</v>
      </c>
      <c r="BM144" s="131" t="str">
        <f t="shared" si="97"/>
        <v>-</v>
      </c>
      <c r="BN144" s="131" t="str">
        <f t="shared" si="97"/>
        <v>-</v>
      </c>
      <c r="BO144" s="131" t="str">
        <f t="shared" si="95"/>
        <v>-</v>
      </c>
      <c r="BP144" s="131" t="s">
        <v>18</v>
      </c>
      <c r="BQ144" s="131" t="s">
        <v>18</v>
      </c>
      <c r="BR144" s="131" t="s">
        <v>18</v>
      </c>
      <c r="BS144" s="131" t="s">
        <v>18</v>
      </c>
      <c r="BT144" s="131" t="s">
        <v>18</v>
      </c>
      <c r="BU144" s="131" t="s">
        <v>18</v>
      </c>
      <c r="BV144" s="131" t="s">
        <v>18</v>
      </c>
      <c r="BW144" s="131" t="s">
        <v>18</v>
      </c>
      <c r="BX144" s="131" t="str">
        <f t="shared" ref="BX144" si="99">IFERROR(BX192/BX96,"-")</f>
        <v>-</v>
      </c>
      <c r="BY144" s="215"/>
      <c r="BZ144" s="215"/>
      <c r="CA144" s="215"/>
      <c r="CB144" s="215"/>
      <c r="CC144" s="215"/>
      <c r="CD144" s="215"/>
      <c r="CE144" s="215"/>
      <c r="CF144" s="215"/>
      <c r="CG144" s="215"/>
      <c r="CH144" s="215"/>
      <c r="CI144" s="215"/>
      <c r="CJ144" s="215"/>
      <c r="CK144" s="215"/>
      <c r="CL144" s="215"/>
      <c r="CM144" s="215"/>
      <c r="CN144" s="215"/>
      <c r="CO144" s="215"/>
      <c r="CP144" s="215"/>
      <c r="CQ144" s="215"/>
      <c r="CR144" s="215"/>
      <c r="CS144" s="215"/>
      <c r="CT144" s="215"/>
      <c r="CU144" s="215"/>
      <c r="CV144" s="215"/>
      <c r="CW144" s="215"/>
      <c r="CX144" s="215"/>
      <c r="CY144" s="215"/>
      <c r="CZ144" s="215"/>
      <c r="DA144" s="215"/>
      <c r="DB144" s="215"/>
      <c r="DC144" s="215"/>
    </row>
    <row r="145" spans="1:107" s="147" customFormat="1" ht="15" hidden="1" customHeight="1" outlineLevel="1">
      <c r="A145" t="s">
        <v>18</v>
      </c>
      <c r="B145" s="38" t="s">
        <v>24</v>
      </c>
      <c r="C145" s="131" t="str">
        <f t="shared" si="97"/>
        <v>-</v>
      </c>
      <c r="D145" s="131" t="str">
        <f t="shared" si="97"/>
        <v>-</v>
      </c>
      <c r="E145" s="131" t="str">
        <f t="shared" si="97"/>
        <v>-</v>
      </c>
      <c r="F145" s="131" t="str">
        <f t="shared" si="97"/>
        <v>-</v>
      </c>
      <c r="G145" s="131" t="str">
        <f t="shared" si="97"/>
        <v>-</v>
      </c>
      <c r="H145" s="131" t="str">
        <f t="shared" si="97"/>
        <v>-</v>
      </c>
      <c r="I145" s="131" t="str">
        <f t="shared" si="97"/>
        <v>-</v>
      </c>
      <c r="J145" s="131" t="str">
        <f t="shared" si="97"/>
        <v>-</v>
      </c>
      <c r="K145" s="131" t="str">
        <f t="shared" si="97"/>
        <v>-</v>
      </c>
      <c r="L145" s="131" t="str">
        <f t="shared" si="97"/>
        <v>-</v>
      </c>
      <c r="M145" s="131" t="str">
        <f t="shared" si="97"/>
        <v>-</v>
      </c>
      <c r="N145" s="131" t="str">
        <f t="shared" si="97"/>
        <v>-</v>
      </c>
      <c r="O145" s="131" t="str">
        <f t="shared" si="97"/>
        <v>-</v>
      </c>
      <c r="P145" s="131" t="str">
        <f t="shared" si="97"/>
        <v>-</v>
      </c>
      <c r="Q145" s="131" t="str">
        <f t="shared" si="97"/>
        <v>-</v>
      </c>
      <c r="R145" s="131" t="str">
        <f t="shared" si="97"/>
        <v>-</v>
      </c>
      <c r="S145" s="131" t="str">
        <f t="shared" si="97"/>
        <v>-</v>
      </c>
      <c r="T145" s="131" t="str">
        <f t="shared" si="97"/>
        <v>-</v>
      </c>
      <c r="U145" s="131" t="str">
        <f t="shared" si="97"/>
        <v>-</v>
      </c>
      <c r="V145" s="131" t="str">
        <f t="shared" si="97"/>
        <v>-</v>
      </c>
      <c r="W145" s="131" t="str">
        <f t="shared" si="97"/>
        <v>-</v>
      </c>
      <c r="X145" s="131" t="str">
        <f t="shared" si="97"/>
        <v>-</v>
      </c>
      <c r="Y145" s="131" t="str">
        <f t="shared" si="97"/>
        <v>-</v>
      </c>
      <c r="Z145" s="131" t="str">
        <f t="shared" si="97"/>
        <v>-</v>
      </c>
      <c r="AA145" s="131" t="str">
        <f t="shared" si="97"/>
        <v>-</v>
      </c>
      <c r="AB145" s="131" t="str">
        <f t="shared" si="97"/>
        <v>-</v>
      </c>
      <c r="AC145" s="131" t="str">
        <f t="shared" si="97"/>
        <v>-</v>
      </c>
      <c r="AD145" s="131" t="str">
        <f t="shared" si="97"/>
        <v>-</v>
      </c>
      <c r="AE145" s="131" t="str">
        <f t="shared" si="97"/>
        <v>-</v>
      </c>
      <c r="AF145" s="131" t="str">
        <f t="shared" si="97"/>
        <v>-</v>
      </c>
      <c r="AG145" s="131" t="str">
        <f t="shared" si="97"/>
        <v>-</v>
      </c>
      <c r="AH145" s="131" t="str">
        <f t="shared" si="97"/>
        <v>-</v>
      </c>
      <c r="AI145" s="131" t="str">
        <f t="shared" si="97"/>
        <v>-</v>
      </c>
      <c r="AJ145" s="131">
        <f t="shared" si="97"/>
        <v>0.24000000000000002</v>
      </c>
      <c r="AK145" s="131">
        <f t="shared" si="97"/>
        <v>0.23999959787274683</v>
      </c>
      <c r="AL145" s="131" t="str">
        <f t="shared" si="97"/>
        <v>-</v>
      </c>
      <c r="AM145" s="131" t="str">
        <f t="shared" si="97"/>
        <v>-</v>
      </c>
      <c r="AN145" s="131" t="str">
        <f t="shared" si="97"/>
        <v>-</v>
      </c>
      <c r="AO145" s="131" t="str">
        <f t="shared" si="97"/>
        <v>-</v>
      </c>
      <c r="AP145" s="131" t="str">
        <f t="shared" si="97"/>
        <v>-</v>
      </c>
      <c r="AQ145" s="131" t="str">
        <f t="shared" si="97"/>
        <v>-</v>
      </c>
      <c r="AR145" s="131" t="str">
        <f t="shared" si="97"/>
        <v>-</v>
      </c>
      <c r="AS145" s="131" t="str">
        <f t="shared" si="97"/>
        <v>-</v>
      </c>
      <c r="AT145" s="131" t="str">
        <f t="shared" si="97"/>
        <v>-</v>
      </c>
      <c r="AU145" s="131" t="str">
        <f t="shared" si="97"/>
        <v>-</v>
      </c>
      <c r="AV145" s="131" t="str">
        <f t="shared" si="97"/>
        <v>-</v>
      </c>
      <c r="AW145" s="131" t="str">
        <f t="shared" si="97"/>
        <v>-</v>
      </c>
      <c r="AX145" s="131" t="str">
        <f t="shared" si="97"/>
        <v>-</v>
      </c>
      <c r="AY145" s="131" t="str">
        <f t="shared" si="97"/>
        <v>-</v>
      </c>
      <c r="AZ145" s="131" t="str">
        <f t="shared" si="97"/>
        <v>-</v>
      </c>
      <c r="BA145" s="131" t="str">
        <f t="shared" si="97"/>
        <v>-</v>
      </c>
      <c r="BB145" s="131" t="str">
        <f t="shared" si="97"/>
        <v>-</v>
      </c>
      <c r="BC145" s="131" t="str">
        <f t="shared" si="97"/>
        <v>-</v>
      </c>
      <c r="BD145" s="131" t="str">
        <f t="shared" si="97"/>
        <v>-</v>
      </c>
      <c r="BE145" s="131" t="str">
        <f t="shared" si="97"/>
        <v>-</v>
      </c>
      <c r="BF145" s="131" t="str">
        <f t="shared" si="97"/>
        <v>-</v>
      </c>
      <c r="BG145" s="131" t="str">
        <f t="shared" si="97"/>
        <v>-</v>
      </c>
      <c r="BH145" s="131" t="str">
        <f t="shared" si="97"/>
        <v>-</v>
      </c>
      <c r="BI145" s="131" t="str">
        <f t="shared" si="97"/>
        <v>-</v>
      </c>
      <c r="BJ145" s="131" t="str">
        <f t="shared" si="97"/>
        <v>-</v>
      </c>
      <c r="BK145" s="131" t="str">
        <f t="shared" si="97"/>
        <v>-</v>
      </c>
      <c r="BL145" s="131" t="str">
        <f t="shared" si="97"/>
        <v>-</v>
      </c>
      <c r="BM145" s="131" t="str">
        <f t="shared" si="97"/>
        <v>-</v>
      </c>
      <c r="BN145" s="131" t="str">
        <f t="shared" si="97"/>
        <v>-</v>
      </c>
      <c r="BO145" s="131" t="str">
        <f t="shared" si="95"/>
        <v>-</v>
      </c>
      <c r="BP145" s="131" t="s">
        <v>18</v>
      </c>
      <c r="BQ145" s="131" t="s">
        <v>18</v>
      </c>
      <c r="BR145" s="131" t="s">
        <v>18</v>
      </c>
      <c r="BS145" s="131" t="s">
        <v>18</v>
      </c>
      <c r="BT145" s="131" t="s">
        <v>18</v>
      </c>
      <c r="BU145" s="131" t="s">
        <v>18</v>
      </c>
      <c r="BV145" s="131" t="s">
        <v>18</v>
      </c>
      <c r="BW145" s="131" t="s">
        <v>18</v>
      </c>
      <c r="BX145" s="131" t="str">
        <f t="shared" ref="BX145" si="100">IFERROR(BX193/BX97,"-")</f>
        <v>-</v>
      </c>
      <c r="BY145" s="215"/>
      <c r="BZ145" s="215"/>
      <c r="CA145" s="215"/>
      <c r="CB145" s="215"/>
      <c r="CC145" s="215"/>
      <c r="CD145" s="215"/>
      <c r="CE145" s="215"/>
      <c r="CF145" s="215"/>
      <c r="CG145" s="215"/>
      <c r="CH145" s="215"/>
      <c r="CI145" s="215"/>
      <c r="CJ145" s="215"/>
      <c r="CK145" s="215"/>
      <c r="CL145" s="215"/>
      <c r="CM145" s="215"/>
      <c r="CN145" s="215"/>
      <c r="CO145" s="215"/>
      <c r="CP145" s="215"/>
      <c r="CQ145" s="215"/>
      <c r="CR145" s="215"/>
      <c r="CS145" s="215"/>
      <c r="CT145" s="215"/>
      <c r="CU145" s="215"/>
      <c r="CV145" s="215"/>
      <c r="CW145" s="215"/>
      <c r="CX145" s="215"/>
      <c r="CY145" s="215"/>
      <c r="CZ145" s="215"/>
      <c r="DA145" s="215"/>
      <c r="DB145" s="215"/>
      <c r="DC145" s="215"/>
    </row>
    <row r="146" spans="1:107" s="149" customFormat="1" ht="15" customHeight="1" collapsed="1" thickBot="1">
      <c r="A146" t="s">
        <v>18</v>
      </c>
      <c r="B146" s="144" t="str">
        <f>IF('Sumário | Summary'!P1=1,"Outros","Others")</f>
        <v>Outros</v>
      </c>
      <c r="C146" s="130" t="str">
        <f t="shared" si="97"/>
        <v>-</v>
      </c>
      <c r="D146" s="130" t="str">
        <f t="shared" si="97"/>
        <v>-</v>
      </c>
      <c r="E146" s="130" t="str">
        <f t="shared" si="97"/>
        <v>-</v>
      </c>
      <c r="F146" s="130" t="str">
        <f t="shared" si="97"/>
        <v>-</v>
      </c>
      <c r="G146" s="130" t="str">
        <f t="shared" si="97"/>
        <v>-</v>
      </c>
      <c r="H146" s="130" t="str">
        <f t="shared" si="97"/>
        <v>-</v>
      </c>
      <c r="I146" s="130" t="str">
        <f t="shared" si="97"/>
        <v>-</v>
      </c>
      <c r="J146" s="130" t="str">
        <f t="shared" si="97"/>
        <v>-</v>
      </c>
      <c r="K146" s="130" t="str">
        <f t="shared" si="97"/>
        <v>-</v>
      </c>
      <c r="L146" s="130" t="str">
        <f t="shared" si="97"/>
        <v>-</v>
      </c>
      <c r="M146" s="130" t="str">
        <f t="shared" si="97"/>
        <v>-</v>
      </c>
      <c r="N146" s="130" t="str">
        <f t="shared" si="97"/>
        <v>-</v>
      </c>
      <c r="O146" s="130" t="str">
        <f t="shared" si="97"/>
        <v>-</v>
      </c>
      <c r="P146" s="130" t="str">
        <f t="shared" si="97"/>
        <v>-</v>
      </c>
      <c r="Q146" s="130" t="str">
        <f t="shared" si="97"/>
        <v>-</v>
      </c>
      <c r="R146" s="130" t="str">
        <f t="shared" si="97"/>
        <v>-</v>
      </c>
      <c r="S146" s="130" t="str">
        <f t="shared" si="97"/>
        <v>-</v>
      </c>
      <c r="T146" s="130" t="str">
        <f t="shared" si="97"/>
        <v>-</v>
      </c>
      <c r="U146" s="130" t="str">
        <f t="shared" si="97"/>
        <v>-</v>
      </c>
      <c r="V146" s="130" t="str">
        <f t="shared" si="97"/>
        <v>-</v>
      </c>
      <c r="W146" s="130">
        <f t="shared" si="97"/>
        <v>0.5111</v>
      </c>
      <c r="X146" s="130">
        <f t="shared" si="97"/>
        <v>0.5111</v>
      </c>
      <c r="Y146" s="130">
        <f t="shared" si="97"/>
        <v>0.5111</v>
      </c>
      <c r="Z146" s="130">
        <f t="shared" si="97"/>
        <v>0.5111</v>
      </c>
      <c r="AA146" s="130">
        <f t="shared" si="97"/>
        <v>0.5111</v>
      </c>
      <c r="AB146" s="130">
        <f t="shared" si="97"/>
        <v>0.5111</v>
      </c>
      <c r="AC146" s="130">
        <f t="shared" si="97"/>
        <v>0.5111</v>
      </c>
      <c r="AD146" s="130">
        <f t="shared" si="97"/>
        <v>0.5111</v>
      </c>
      <c r="AE146" s="130">
        <f t="shared" si="97"/>
        <v>0.5111</v>
      </c>
      <c r="AF146" s="130">
        <f t="shared" si="97"/>
        <v>0.5111</v>
      </c>
      <c r="AG146" s="130">
        <f t="shared" si="97"/>
        <v>0.5111</v>
      </c>
      <c r="AH146" s="130">
        <f t="shared" si="97"/>
        <v>0.5111</v>
      </c>
      <c r="AI146" s="130">
        <f t="shared" si="97"/>
        <v>0.5111</v>
      </c>
      <c r="AJ146" s="130">
        <f t="shared" si="97"/>
        <v>0.5111</v>
      </c>
      <c r="AK146" s="130">
        <f t="shared" si="97"/>
        <v>0.5111</v>
      </c>
      <c r="AL146" s="130">
        <f t="shared" si="97"/>
        <v>0.5111</v>
      </c>
      <c r="AM146" s="130">
        <f t="shared" si="97"/>
        <v>0.5111</v>
      </c>
      <c r="AN146" s="130">
        <f t="shared" si="97"/>
        <v>0.5111</v>
      </c>
      <c r="AO146" s="130">
        <f t="shared" si="97"/>
        <v>0.5111</v>
      </c>
      <c r="AP146" s="130">
        <f t="shared" si="97"/>
        <v>0.5111</v>
      </c>
      <c r="AQ146" s="130">
        <f t="shared" si="97"/>
        <v>0.5111</v>
      </c>
      <c r="AR146" s="130">
        <f t="shared" si="97"/>
        <v>0.5111</v>
      </c>
      <c r="AS146" s="130">
        <f t="shared" si="97"/>
        <v>0.5111</v>
      </c>
      <c r="AT146" s="130">
        <f t="shared" si="97"/>
        <v>0.5111</v>
      </c>
      <c r="AU146" s="130">
        <f t="shared" si="97"/>
        <v>0.5111</v>
      </c>
      <c r="AV146" s="130">
        <f t="shared" si="97"/>
        <v>0.5111</v>
      </c>
      <c r="AW146" s="130">
        <f t="shared" si="97"/>
        <v>0.5111</v>
      </c>
      <c r="AX146" s="130">
        <f t="shared" si="97"/>
        <v>0.5111</v>
      </c>
      <c r="AY146" s="130">
        <f t="shared" si="97"/>
        <v>0.5111</v>
      </c>
      <c r="AZ146" s="130">
        <f t="shared" si="97"/>
        <v>0.5111</v>
      </c>
      <c r="BA146" s="130">
        <f t="shared" si="97"/>
        <v>0.5111</v>
      </c>
      <c r="BB146" s="130">
        <f t="shared" si="97"/>
        <v>0.5111</v>
      </c>
      <c r="BC146" s="130">
        <f t="shared" si="97"/>
        <v>0.5111</v>
      </c>
      <c r="BD146" s="130">
        <f t="shared" si="97"/>
        <v>0.5111</v>
      </c>
      <c r="BE146" s="130">
        <f t="shared" si="97"/>
        <v>0.5111</v>
      </c>
      <c r="BF146" s="130">
        <f t="shared" si="97"/>
        <v>0.5111</v>
      </c>
      <c r="BG146" s="130">
        <f t="shared" si="97"/>
        <v>0.5111</v>
      </c>
      <c r="BH146" s="130">
        <f t="shared" si="97"/>
        <v>0.5111</v>
      </c>
      <c r="BI146" s="130">
        <f t="shared" si="97"/>
        <v>0.55775300000000005</v>
      </c>
      <c r="BJ146" s="130">
        <f t="shared" si="97"/>
        <v>0.55775300000000005</v>
      </c>
      <c r="BK146" s="130">
        <f t="shared" si="97"/>
        <v>0.59311100000000005</v>
      </c>
      <c r="BL146" s="130">
        <f t="shared" si="97"/>
        <v>0.62326700000000002</v>
      </c>
      <c r="BM146" s="130">
        <f t="shared" si="97"/>
        <v>0.62326700000000002</v>
      </c>
      <c r="BN146" s="130">
        <f t="shared" ref="BN146:BO147" si="101">IFERROR(BN194/BN98,"-")</f>
        <v>0.62326700000000002</v>
      </c>
      <c r="BO146" s="130">
        <f t="shared" si="101"/>
        <v>0.66190000000000004</v>
      </c>
      <c r="BP146" s="130">
        <v>0.66181600000000007</v>
      </c>
      <c r="BQ146" s="130">
        <v>0.67242671940927745</v>
      </c>
      <c r="BR146" s="130">
        <v>0.672427</v>
      </c>
      <c r="BS146" s="130">
        <v>0.672427</v>
      </c>
      <c r="BT146" s="130">
        <v>0.72155929063530311</v>
      </c>
      <c r="BU146" s="130">
        <v>0.75906310075262107</v>
      </c>
      <c r="BV146" s="130">
        <v>0.75906310075262107</v>
      </c>
      <c r="BW146" s="130">
        <v>0.75906310075262107</v>
      </c>
      <c r="BX146" s="130">
        <f t="shared" ref="BX146" si="102">IFERROR(BX194/BX98,"-")</f>
        <v>0.78148287752791545</v>
      </c>
      <c r="BY146" s="217"/>
      <c r="BZ146" s="217"/>
      <c r="CA146" s="217"/>
      <c r="CB146" s="217"/>
      <c r="CC146" s="217"/>
      <c r="CD146" s="217"/>
      <c r="CE146" s="217"/>
      <c r="CF146" s="217"/>
      <c r="CG146" s="217"/>
      <c r="CH146" s="217"/>
      <c r="CI146" s="217"/>
      <c r="CJ146" s="217"/>
      <c r="CK146" s="217"/>
      <c r="CL146" s="217"/>
      <c r="CM146" s="217"/>
      <c r="CN146" s="217"/>
      <c r="CO146" s="217"/>
      <c r="CP146" s="217"/>
      <c r="CQ146" s="217"/>
      <c r="CR146" s="217"/>
      <c r="CS146" s="217"/>
      <c r="CT146" s="217"/>
      <c r="CU146" s="217"/>
      <c r="CV146" s="217"/>
      <c r="CW146" s="217"/>
      <c r="CX146" s="217"/>
      <c r="CY146" s="217"/>
      <c r="CZ146" s="217"/>
      <c r="DA146" s="217"/>
      <c r="DB146" s="217"/>
      <c r="DC146" s="217"/>
    </row>
    <row r="147" spans="1:107" s="147" customFormat="1" ht="15" hidden="1" outlineLevel="1" thickBot="1">
      <c r="A147" t="s">
        <v>237</v>
      </c>
      <c r="B147" s="142" t="s">
        <v>25</v>
      </c>
      <c r="C147" s="131" t="str">
        <f t="shared" ref="C147:BN147" si="103">IFERROR(C195/C99,"-")</f>
        <v>-</v>
      </c>
      <c r="D147" s="131" t="str">
        <f t="shared" si="103"/>
        <v>-</v>
      </c>
      <c r="E147" s="131" t="str">
        <f t="shared" si="103"/>
        <v>-</v>
      </c>
      <c r="F147" s="131" t="str">
        <f t="shared" si="103"/>
        <v>-</v>
      </c>
      <c r="G147" s="131" t="str">
        <f t="shared" si="103"/>
        <v>-</v>
      </c>
      <c r="H147" s="131" t="str">
        <f t="shared" si="103"/>
        <v>-</v>
      </c>
      <c r="I147" s="131" t="str">
        <f t="shared" si="103"/>
        <v>-</v>
      </c>
      <c r="J147" s="131" t="str">
        <f t="shared" si="103"/>
        <v>-</v>
      </c>
      <c r="K147" s="131" t="str">
        <f t="shared" si="103"/>
        <v>-</v>
      </c>
      <c r="L147" s="131" t="str">
        <f t="shared" si="103"/>
        <v>-</v>
      </c>
      <c r="M147" s="131" t="str">
        <f t="shared" si="103"/>
        <v>-</v>
      </c>
      <c r="N147" s="131" t="str">
        <f t="shared" si="103"/>
        <v>-</v>
      </c>
      <c r="O147" s="131" t="str">
        <f t="shared" si="103"/>
        <v>-</v>
      </c>
      <c r="P147" s="131" t="str">
        <f t="shared" si="103"/>
        <v>-</v>
      </c>
      <c r="Q147" s="131" t="str">
        <f t="shared" si="103"/>
        <v>-</v>
      </c>
      <c r="R147" s="131" t="str">
        <f t="shared" si="103"/>
        <v>-</v>
      </c>
      <c r="S147" s="131" t="str">
        <f t="shared" si="103"/>
        <v>-</v>
      </c>
      <c r="T147" s="131" t="str">
        <f t="shared" si="103"/>
        <v>-</v>
      </c>
      <c r="U147" s="131" t="str">
        <f t="shared" si="103"/>
        <v>-</v>
      </c>
      <c r="V147" s="131" t="str">
        <f t="shared" si="103"/>
        <v>-</v>
      </c>
      <c r="W147" s="131">
        <f t="shared" si="103"/>
        <v>0.5111</v>
      </c>
      <c r="X147" s="131">
        <f t="shared" si="103"/>
        <v>0.5111</v>
      </c>
      <c r="Y147" s="131">
        <f t="shared" si="103"/>
        <v>0.5111</v>
      </c>
      <c r="Z147" s="131">
        <f t="shared" si="103"/>
        <v>0.5111</v>
      </c>
      <c r="AA147" s="131">
        <f t="shared" si="103"/>
        <v>0.5111</v>
      </c>
      <c r="AB147" s="131">
        <f t="shared" si="103"/>
        <v>0.5111</v>
      </c>
      <c r="AC147" s="131">
        <f t="shared" si="103"/>
        <v>0.5111</v>
      </c>
      <c r="AD147" s="131">
        <f t="shared" si="103"/>
        <v>0.5111</v>
      </c>
      <c r="AE147" s="131">
        <f t="shared" si="103"/>
        <v>0.5111</v>
      </c>
      <c r="AF147" s="131">
        <f t="shared" si="103"/>
        <v>0.5111</v>
      </c>
      <c r="AG147" s="131">
        <f t="shared" si="103"/>
        <v>0.5111</v>
      </c>
      <c r="AH147" s="131">
        <f t="shared" si="103"/>
        <v>0.5111</v>
      </c>
      <c r="AI147" s="131">
        <f t="shared" si="103"/>
        <v>0.5111</v>
      </c>
      <c r="AJ147" s="131">
        <f t="shared" si="103"/>
        <v>0.5111</v>
      </c>
      <c r="AK147" s="131">
        <f t="shared" si="103"/>
        <v>0.5111</v>
      </c>
      <c r="AL147" s="131">
        <f t="shared" si="103"/>
        <v>0.5111</v>
      </c>
      <c r="AM147" s="131">
        <f t="shared" si="103"/>
        <v>0.5111</v>
      </c>
      <c r="AN147" s="131">
        <f t="shared" si="103"/>
        <v>0.5111</v>
      </c>
      <c r="AO147" s="131">
        <f t="shared" si="103"/>
        <v>0.5111</v>
      </c>
      <c r="AP147" s="131">
        <f t="shared" si="103"/>
        <v>0.5111</v>
      </c>
      <c r="AQ147" s="131">
        <f t="shared" si="103"/>
        <v>0.5111</v>
      </c>
      <c r="AR147" s="131">
        <f t="shared" si="103"/>
        <v>0.5111</v>
      </c>
      <c r="AS147" s="131">
        <f t="shared" si="103"/>
        <v>0.5111</v>
      </c>
      <c r="AT147" s="131">
        <f t="shared" si="103"/>
        <v>0.5111</v>
      </c>
      <c r="AU147" s="131">
        <f t="shared" si="103"/>
        <v>0.5111</v>
      </c>
      <c r="AV147" s="131">
        <f t="shared" si="103"/>
        <v>0.5111</v>
      </c>
      <c r="AW147" s="131">
        <f t="shared" si="103"/>
        <v>0.5111</v>
      </c>
      <c r="AX147" s="131">
        <f t="shared" si="103"/>
        <v>0.5111</v>
      </c>
      <c r="AY147" s="131">
        <f t="shared" si="103"/>
        <v>0.5111</v>
      </c>
      <c r="AZ147" s="131">
        <f t="shared" si="103"/>
        <v>0.5111</v>
      </c>
      <c r="BA147" s="131">
        <f t="shared" si="103"/>
        <v>0.5111</v>
      </c>
      <c r="BB147" s="131">
        <f t="shared" si="103"/>
        <v>0.5111</v>
      </c>
      <c r="BC147" s="131">
        <f t="shared" si="103"/>
        <v>0.5111</v>
      </c>
      <c r="BD147" s="131">
        <f t="shared" si="103"/>
        <v>0.5111</v>
      </c>
      <c r="BE147" s="131">
        <f t="shared" si="103"/>
        <v>0.5111</v>
      </c>
      <c r="BF147" s="131">
        <f t="shared" si="103"/>
        <v>0.5111</v>
      </c>
      <c r="BG147" s="131">
        <f t="shared" si="103"/>
        <v>0.5111</v>
      </c>
      <c r="BH147" s="131">
        <f t="shared" si="103"/>
        <v>0.5111</v>
      </c>
      <c r="BI147" s="131">
        <f t="shared" si="103"/>
        <v>0.55775300000000005</v>
      </c>
      <c r="BJ147" s="131">
        <f t="shared" si="103"/>
        <v>0.55775300000000005</v>
      </c>
      <c r="BK147" s="131">
        <f t="shared" si="103"/>
        <v>0.59311100000000005</v>
      </c>
      <c r="BL147" s="131">
        <f t="shared" si="103"/>
        <v>0.62326700000000002</v>
      </c>
      <c r="BM147" s="131">
        <f t="shared" si="103"/>
        <v>0.62326700000000002</v>
      </c>
      <c r="BN147" s="131">
        <f t="shared" si="103"/>
        <v>0.62326700000000002</v>
      </c>
      <c r="BO147" s="131">
        <f t="shared" si="101"/>
        <v>0.66190000000000004</v>
      </c>
      <c r="BP147" s="131">
        <v>0.66181600000000007</v>
      </c>
      <c r="BQ147" s="131">
        <v>0.67242671940927745</v>
      </c>
      <c r="BR147" s="131">
        <v>0.672427</v>
      </c>
      <c r="BS147" s="131">
        <v>0.672427</v>
      </c>
      <c r="BT147" s="131">
        <v>0.72155929063530311</v>
      </c>
      <c r="BU147" s="131">
        <v>0.75906310075262107</v>
      </c>
      <c r="BV147" s="131">
        <v>0.75906310075262107</v>
      </c>
      <c r="BW147" s="131">
        <v>0.75906310075262107</v>
      </c>
      <c r="BX147" s="131">
        <f t="shared" ref="BX147" si="104">IFERROR(BX195/BX99,"-")</f>
        <v>0.78148287752791545</v>
      </c>
      <c r="BY147" s="215"/>
      <c r="BZ147" s="215"/>
      <c r="CA147" s="215"/>
      <c r="CB147" s="215"/>
      <c r="CC147" s="215"/>
      <c r="CD147" s="215"/>
      <c r="CE147" s="215"/>
      <c r="CF147" s="215"/>
      <c r="CG147" s="215"/>
      <c r="CH147" s="215"/>
      <c r="CI147" s="215"/>
      <c r="CJ147" s="215"/>
      <c r="CK147" s="215"/>
      <c r="CL147" s="215"/>
      <c r="CM147" s="215"/>
      <c r="CN147" s="215"/>
      <c r="CO147" s="215"/>
      <c r="CP147" s="215"/>
      <c r="CQ147" s="215"/>
      <c r="CR147" s="215"/>
      <c r="CS147" s="215"/>
      <c r="CT147" s="215"/>
      <c r="CU147" s="215"/>
      <c r="CV147" s="215"/>
      <c r="CW147" s="215"/>
      <c r="CX147" s="215"/>
      <c r="CY147" s="215"/>
      <c r="CZ147" s="215"/>
      <c r="DA147" s="215"/>
      <c r="DB147" s="215"/>
      <c r="DC147" s="215"/>
    </row>
    <row r="148" spans="1:107" s="146" customFormat="1" ht="15" customHeight="1" collapsed="1" thickTop="1" thickBot="1">
      <c r="B148" s="145" t="s">
        <v>14</v>
      </c>
      <c r="C148" s="132">
        <f t="shared" ref="C148:BN148" si="105">C196/C100</f>
        <v>0.82897951387689262</v>
      </c>
      <c r="D148" s="132">
        <f t="shared" si="105"/>
        <v>0.84204569790402128</v>
      </c>
      <c r="E148" s="132">
        <f t="shared" si="105"/>
        <v>0.84204569790402128</v>
      </c>
      <c r="F148" s="132">
        <f t="shared" si="105"/>
        <v>0.84204569790402128</v>
      </c>
      <c r="G148" s="132">
        <f t="shared" si="105"/>
        <v>0.84770303258839796</v>
      </c>
      <c r="H148" s="132">
        <f t="shared" si="105"/>
        <v>0.84751240953243723</v>
      </c>
      <c r="I148" s="132">
        <f t="shared" si="105"/>
        <v>0.84393587569674444</v>
      </c>
      <c r="J148" s="132">
        <f t="shared" si="105"/>
        <v>0.84613494467184958</v>
      </c>
      <c r="K148" s="132">
        <f t="shared" si="105"/>
        <v>0.84478563595764311</v>
      </c>
      <c r="L148" s="132">
        <f t="shared" si="105"/>
        <v>0.84270388878141667</v>
      </c>
      <c r="M148" s="132">
        <f t="shared" si="105"/>
        <v>0.8433593005939497</v>
      </c>
      <c r="N148" s="132">
        <f t="shared" si="105"/>
        <v>0.8433593005939497</v>
      </c>
      <c r="O148" s="132">
        <f t="shared" si="105"/>
        <v>0.8433593005939497</v>
      </c>
      <c r="P148" s="132">
        <f t="shared" si="105"/>
        <v>0.84198653092385067</v>
      </c>
      <c r="Q148" s="132">
        <f t="shared" si="105"/>
        <v>0.72596530447111063</v>
      </c>
      <c r="R148" s="132">
        <f t="shared" si="105"/>
        <v>0.61341170614607576</v>
      </c>
      <c r="S148" s="132">
        <f t="shared" si="105"/>
        <v>0.5547740168094567</v>
      </c>
      <c r="T148" s="132">
        <f t="shared" si="105"/>
        <v>0.51426052421205493</v>
      </c>
      <c r="U148" s="132">
        <f t="shared" si="105"/>
        <v>0.51426052421205493</v>
      </c>
      <c r="V148" s="132">
        <f t="shared" si="105"/>
        <v>0.51730496784915747</v>
      </c>
      <c r="W148" s="132">
        <f t="shared" si="105"/>
        <v>0.44328009754536152</v>
      </c>
      <c r="X148" s="132">
        <f t="shared" si="105"/>
        <v>0.38526485989573117</v>
      </c>
      <c r="Y148" s="132">
        <f t="shared" si="105"/>
        <v>0.38288176663242118</v>
      </c>
      <c r="Z148" s="132">
        <f t="shared" si="105"/>
        <v>0.37273316473501689</v>
      </c>
      <c r="AA148" s="132">
        <f t="shared" si="105"/>
        <v>0.37273289032932239</v>
      </c>
      <c r="AB148" s="132">
        <f t="shared" si="105"/>
        <v>0.38003226291480507</v>
      </c>
      <c r="AC148" s="132">
        <f t="shared" si="105"/>
        <v>0.38392125941073185</v>
      </c>
      <c r="AD148" s="132">
        <f t="shared" si="105"/>
        <v>0.38392166972105074</v>
      </c>
      <c r="AE148" s="132">
        <f t="shared" si="105"/>
        <v>0.38392166972105074</v>
      </c>
      <c r="AF148" s="132">
        <f t="shared" si="105"/>
        <v>0.39293373080915089</v>
      </c>
      <c r="AG148" s="132">
        <f t="shared" si="105"/>
        <v>0.39293292643957412</v>
      </c>
      <c r="AH148" s="132">
        <f t="shared" si="105"/>
        <v>0.39233110272138</v>
      </c>
      <c r="AI148" s="132">
        <f t="shared" si="105"/>
        <v>0.36726287866164009</v>
      </c>
      <c r="AJ148" s="132">
        <f t="shared" si="105"/>
        <v>0.35939438410713015</v>
      </c>
      <c r="AK148" s="132">
        <f t="shared" si="105"/>
        <v>0.35295760195748116</v>
      </c>
      <c r="AL148" s="132">
        <f t="shared" si="105"/>
        <v>0.70968182210675657</v>
      </c>
      <c r="AM148" s="132">
        <f t="shared" si="105"/>
        <v>0.73175713145784482</v>
      </c>
      <c r="AN148" s="132">
        <f t="shared" si="105"/>
        <v>0.73598924965066015</v>
      </c>
      <c r="AO148" s="132">
        <f t="shared" si="105"/>
        <v>0.70822885159381677</v>
      </c>
      <c r="AP148" s="132">
        <f t="shared" si="105"/>
        <v>0.70745870087050355</v>
      </c>
      <c r="AQ148" s="132">
        <f t="shared" si="105"/>
        <v>0.68620354649978488</v>
      </c>
      <c r="AR148" s="132">
        <f t="shared" si="105"/>
        <v>0.67597956995111097</v>
      </c>
      <c r="AS148" s="132">
        <f t="shared" si="105"/>
        <v>0.67572302216121138</v>
      </c>
      <c r="AT148" s="132">
        <f t="shared" si="105"/>
        <v>0.67542234139225721</v>
      </c>
      <c r="AU148" s="132">
        <f t="shared" si="105"/>
        <v>0.56333283890976771</v>
      </c>
      <c r="AV148" s="132">
        <f t="shared" si="105"/>
        <v>0.68650957621642561</v>
      </c>
      <c r="AW148" s="132">
        <f t="shared" si="105"/>
        <v>0.60640559981870623</v>
      </c>
      <c r="AX148" s="132">
        <f t="shared" si="105"/>
        <v>0.58237872145717184</v>
      </c>
      <c r="AY148" s="132">
        <f t="shared" si="105"/>
        <v>0.58236246562113414</v>
      </c>
      <c r="AZ148" s="132">
        <f t="shared" si="105"/>
        <v>0.58216999445940509</v>
      </c>
      <c r="BA148" s="132">
        <f t="shared" si="105"/>
        <v>0.58184889429986697</v>
      </c>
      <c r="BB148" s="132">
        <f t="shared" si="105"/>
        <v>0.58120977420608144</v>
      </c>
      <c r="BC148" s="132">
        <f t="shared" si="105"/>
        <v>0.58127685509601312</v>
      </c>
      <c r="BD148" s="132">
        <f t="shared" si="105"/>
        <v>0.58307359898186351</v>
      </c>
      <c r="BE148" s="132">
        <f t="shared" si="105"/>
        <v>0.5834860240093388</v>
      </c>
      <c r="BF148" s="132">
        <f t="shared" si="105"/>
        <v>0.5833698748738162</v>
      </c>
      <c r="BG148" s="132">
        <f t="shared" si="105"/>
        <v>0.58204187963848408</v>
      </c>
      <c r="BH148" s="132">
        <f t="shared" si="105"/>
        <v>0.58209326554069174</v>
      </c>
      <c r="BI148" s="132">
        <f t="shared" si="105"/>
        <v>0.58696807693329478</v>
      </c>
      <c r="BJ148" s="132">
        <f t="shared" si="105"/>
        <v>0.63951375190039428</v>
      </c>
      <c r="BK148" s="132">
        <f t="shared" si="105"/>
        <v>0.64367371716572452</v>
      </c>
      <c r="BL148" s="132">
        <f t="shared" si="105"/>
        <v>0.64707458224025383</v>
      </c>
      <c r="BM148" s="132">
        <f t="shared" si="105"/>
        <v>0.64722074052936873</v>
      </c>
      <c r="BN148" s="132">
        <f t="shared" si="105"/>
        <v>0.59545284380519459</v>
      </c>
      <c r="BO148" s="132">
        <f t="shared" ref="BO148" si="106">BO196/BO100</f>
        <v>0.6155761015434128</v>
      </c>
      <c r="BP148" s="132">
        <v>0.37140313345474052</v>
      </c>
      <c r="BQ148" s="132">
        <v>0.37261453844053227</v>
      </c>
      <c r="BR148" s="132">
        <v>0.43080153888491363</v>
      </c>
      <c r="BS148" s="132">
        <v>0.43465207695332875</v>
      </c>
      <c r="BT148" s="132">
        <v>0.4160774361759656</v>
      </c>
      <c r="BU148" s="132">
        <v>0.41868460783856598</v>
      </c>
      <c r="BV148" s="132">
        <v>0.39271784171499757</v>
      </c>
      <c r="BW148" s="132">
        <v>0.38271720121770963</v>
      </c>
      <c r="BX148" s="132">
        <f>BX196/BX100</f>
        <v>0.38563773090247533</v>
      </c>
      <c r="BY148" s="214"/>
      <c r="BZ148" s="214"/>
      <c r="CA148" s="214"/>
      <c r="CB148" s="214"/>
      <c r="CC148" s="214"/>
      <c r="CD148" s="214"/>
      <c r="CE148" s="214"/>
      <c r="CF148" s="214"/>
      <c r="CG148" s="214"/>
      <c r="CH148" s="214"/>
      <c r="CI148" s="214"/>
      <c r="CJ148" s="214"/>
      <c r="CK148" s="214"/>
      <c r="CL148" s="214"/>
      <c r="CM148" s="214"/>
      <c r="CN148" s="214"/>
      <c r="CO148" s="214"/>
      <c r="CP148" s="214"/>
      <c r="CQ148" s="214"/>
      <c r="CR148" s="214"/>
      <c r="CS148" s="214"/>
      <c r="CT148" s="214"/>
      <c r="CU148" s="214"/>
      <c r="CV148" s="214"/>
      <c r="CW148" s="214"/>
      <c r="CX148" s="214"/>
      <c r="CY148" s="214"/>
      <c r="CZ148" s="214"/>
      <c r="DA148" s="214"/>
      <c r="DB148" s="214"/>
      <c r="DC148" s="214"/>
    </row>
    <row r="149" spans="1:107">
      <c r="AC149" s="63"/>
    </row>
    <row r="150" spans="1:107" s="7" customFormat="1" ht="18.75" customHeight="1">
      <c r="B150" s="190" t="str">
        <f>IF('Sumário | Summary'!P1=1,"ABL Própria da SYN (m²)","SYN Total Area (sqm)")</f>
        <v>ABL Própria da SYN (m²)</v>
      </c>
      <c r="C150" s="191" t="str">
        <f t="shared" ref="C150:AY150" si="107">C6</f>
        <v>1T08</v>
      </c>
      <c r="D150" s="191" t="str">
        <f t="shared" si="107"/>
        <v>2T08</v>
      </c>
      <c r="E150" s="191" t="str">
        <f t="shared" si="107"/>
        <v>3T08</v>
      </c>
      <c r="F150" s="191" t="str">
        <f t="shared" si="107"/>
        <v>4T08</v>
      </c>
      <c r="G150" s="191" t="str">
        <f t="shared" si="107"/>
        <v>1T09</v>
      </c>
      <c r="H150" s="191" t="str">
        <f t="shared" si="107"/>
        <v>2T09</v>
      </c>
      <c r="I150" s="191" t="str">
        <f t="shared" si="107"/>
        <v>3T09</v>
      </c>
      <c r="J150" s="191" t="str">
        <f t="shared" si="107"/>
        <v>4T09</v>
      </c>
      <c r="K150" s="191" t="str">
        <f t="shared" si="107"/>
        <v>1T10</v>
      </c>
      <c r="L150" s="191" t="str">
        <f t="shared" si="107"/>
        <v>2T10</v>
      </c>
      <c r="M150" s="191" t="str">
        <f t="shared" si="107"/>
        <v>3T10</v>
      </c>
      <c r="N150" s="191" t="str">
        <f t="shared" si="107"/>
        <v>4T10</v>
      </c>
      <c r="O150" s="191" t="str">
        <f t="shared" si="107"/>
        <v>1T11</v>
      </c>
      <c r="P150" s="191" t="str">
        <f t="shared" si="107"/>
        <v>2T11</v>
      </c>
      <c r="Q150" s="191" t="str">
        <f t="shared" si="107"/>
        <v>3T11</v>
      </c>
      <c r="R150" s="191" t="str">
        <f t="shared" si="107"/>
        <v>4T11</v>
      </c>
      <c r="S150" s="191" t="str">
        <f t="shared" si="107"/>
        <v>1T12</v>
      </c>
      <c r="T150" s="191" t="str">
        <f t="shared" si="107"/>
        <v>2T12</v>
      </c>
      <c r="U150" s="191" t="str">
        <f t="shared" si="107"/>
        <v>3T12</v>
      </c>
      <c r="V150" s="191" t="str">
        <f t="shared" si="107"/>
        <v>4T12</v>
      </c>
      <c r="W150" s="191" t="str">
        <f t="shared" si="107"/>
        <v>1T13</v>
      </c>
      <c r="X150" s="191" t="str">
        <f t="shared" si="107"/>
        <v>2T13</v>
      </c>
      <c r="Y150" s="191" t="str">
        <f t="shared" si="107"/>
        <v>3T13</v>
      </c>
      <c r="Z150" s="191" t="str">
        <f t="shared" si="107"/>
        <v>4T13</v>
      </c>
      <c r="AA150" s="191" t="str">
        <f t="shared" si="107"/>
        <v>1T14</v>
      </c>
      <c r="AB150" s="191" t="str">
        <f t="shared" si="107"/>
        <v>2T14</v>
      </c>
      <c r="AC150" s="191" t="str">
        <f t="shared" si="107"/>
        <v>3T14</v>
      </c>
      <c r="AD150" s="191" t="str">
        <f t="shared" si="107"/>
        <v>4T14</v>
      </c>
      <c r="AE150" s="191" t="str">
        <f t="shared" si="107"/>
        <v>1T15</v>
      </c>
      <c r="AF150" s="191" t="str">
        <f t="shared" si="107"/>
        <v>2T15</v>
      </c>
      <c r="AG150" s="191" t="str">
        <f t="shared" si="107"/>
        <v>3T15</v>
      </c>
      <c r="AH150" s="191" t="str">
        <f t="shared" si="107"/>
        <v>4T15</v>
      </c>
      <c r="AI150" s="191" t="str">
        <f t="shared" si="107"/>
        <v>1T16</v>
      </c>
      <c r="AJ150" s="191" t="str">
        <f t="shared" si="107"/>
        <v>2T16</v>
      </c>
      <c r="AK150" s="191" t="str">
        <f t="shared" si="107"/>
        <v>3T16</v>
      </c>
      <c r="AL150" s="191" t="str">
        <f t="shared" si="107"/>
        <v>4T16</v>
      </c>
      <c r="AM150" s="191" t="str">
        <f t="shared" si="107"/>
        <v>1T17</v>
      </c>
      <c r="AN150" s="191" t="str">
        <f t="shared" si="107"/>
        <v>2T17</v>
      </c>
      <c r="AO150" s="191" t="str">
        <f t="shared" si="107"/>
        <v>3T17</v>
      </c>
      <c r="AP150" s="191" t="str">
        <f t="shared" si="107"/>
        <v>4T17</v>
      </c>
      <c r="AQ150" s="191" t="str">
        <f t="shared" si="107"/>
        <v>1T18</v>
      </c>
      <c r="AR150" s="191" t="str">
        <f t="shared" si="107"/>
        <v>2T18</v>
      </c>
      <c r="AS150" s="191" t="str">
        <f t="shared" si="107"/>
        <v>3T18</v>
      </c>
      <c r="AT150" s="191" t="str">
        <f t="shared" si="107"/>
        <v>4T18</v>
      </c>
      <c r="AU150" s="191" t="str">
        <f t="shared" si="107"/>
        <v>1T19</v>
      </c>
      <c r="AV150" s="191" t="str">
        <f t="shared" si="107"/>
        <v>2T19</v>
      </c>
      <c r="AW150" s="191" t="str">
        <f t="shared" si="107"/>
        <v>3T19</v>
      </c>
      <c r="AX150" s="191" t="str">
        <f t="shared" si="107"/>
        <v>4T19</v>
      </c>
      <c r="AY150" s="191" t="str">
        <f t="shared" si="107"/>
        <v>1T20</v>
      </c>
      <c r="AZ150" s="191" t="str">
        <f t="shared" ref="AZ150:BM150" si="108">AZ6</f>
        <v>2T20</v>
      </c>
      <c r="BA150" s="191" t="str">
        <f t="shared" si="108"/>
        <v>3T20</v>
      </c>
      <c r="BB150" s="191" t="str">
        <f t="shared" si="108"/>
        <v>4T20</v>
      </c>
      <c r="BC150" s="191" t="str">
        <f t="shared" si="108"/>
        <v>1T21</v>
      </c>
      <c r="BD150" s="191" t="str">
        <f t="shared" si="108"/>
        <v>2T21</v>
      </c>
      <c r="BE150" s="191" t="str">
        <f t="shared" si="108"/>
        <v>3T21</v>
      </c>
      <c r="BF150" s="191" t="str">
        <f t="shared" si="108"/>
        <v>4T21</v>
      </c>
      <c r="BG150" s="191" t="str">
        <f t="shared" si="108"/>
        <v>1T22</v>
      </c>
      <c r="BH150" s="191" t="str">
        <f t="shared" si="108"/>
        <v>2T22</v>
      </c>
      <c r="BI150" s="191" t="str">
        <f t="shared" si="108"/>
        <v>3T22</v>
      </c>
      <c r="BJ150" s="191" t="str">
        <f t="shared" si="108"/>
        <v>4T22</v>
      </c>
      <c r="BK150" s="191" t="str">
        <f t="shared" si="108"/>
        <v>1T23</v>
      </c>
      <c r="BL150" s="191" t="str">
        <f t="shared" si="108"/>
        <v>2T23</v>
      </c>
      <c r="BM150" s="191" t="str">
        <f t="shared" si="108"/>
        <v>3T23</v>
      </c>
      <c r="BN150" s="191" t="s">
        <v>312</v>
      </c>
      <c r="BO150" s="191" t="s">
        <v>318</v>
      </c>
      <c r="BP150" s="191" t="s">
        <v>320</v>
      </c>
      <c r="BQ150" s="191" t="s">
        <v>328</v>
      </c>
      <c r="BR150" s="191" t="s">
        <v>330</v>
      </c>
      <c r="BS150" s="191" t="s">
        <v>332</v>
      </c>
      <c r="BT150" s="191" t="s">
        <v>333</v>
      </c>
      <c r="BU150" s="191" t="s">
        <v>334</v>
      </c>
      <c r="BV150" s="191" t="s">
        <v>335</v>
      </c>
      <c r="BW150" s="191" t="s">
        <v>336</v>
      </c>
      <c r="BX150" s="191" t="str">
        <f>BX6</f>
        <v>2T26</v>
      </c>
    </row>
    <row r="151" spans="1:107" s="15" customFormat="1" ht="15" customHeight="1">
      <c r="B151" s="136" t="str">
        <f>IF('Sumário | Summary'!P1=1,"Escritórios","Offices")</f>
        <v>Escritórios</v>
      </c>
      <c r="C151" s="128">
        <f t="shared" ref="C151:BN151" si="109">C152+C164</f>
        <v>71594.546000000002</v>
      </c>
      <c r="D151" s="128">
        <f t="shared" si="109"/>
        <v>86621.109999999986</v>
      </c>
      <c r="E151" s="128">
        <f t="shared" si="109"/>
        <v>86621.109999999986</v>
      </c>
      <c r="F151" s="128">
        <f t="shared" si="109"/>
        <v>86621.109999999986</v>
      </c>
      <c r="G151" s="128">
        <f t="shared" si="109"/>
        <v>93927.109999999986</v>
      </c>
      <c r="H151" s="128">
        <f t="shared" si="109"/>
        <v>93672.109999999986</v>
      </c>
      <c r="I151" s="128">
        <f t="shared" si="109"/>
        <v>93672.109999999986</v>
      </c>
      <c r="J151" s="128">
        <f t="shared" si="109"/>
        <v>92901.109999999986</v>
      </c>
      <c r="K151" s="128">
        <f t="shared" si="109"/>
        <v>91102.109999999986</v>
      </c>
      <c r="L151" s="128">
        <f t="shared" si="109"/>
        <v>88387.109999999986</v>
      </c>
      <c r="M151" s="128">
        <f t="shared" si="109"/>
        <v>88387.109999999986</v>
      </c>
      <c r="N151" s="128">
        <f t="shared" si="109"/>
        <v>88387.109999999986</v>
      </c>
      <c r="O151" s="128">
        <f t="shared" si="109"/>
        <v>88387.109999999986</v>
      </c>
      <c r="P151" s="128">
        <f t="shared" si="109"/>
        <v>86621.109999999986</v>
      </c>
      <c r="Q151" s="128">
        <f t="shared" si="109"/>
        <v>86621.109999999986</v>
      </c>
      <c r="R151" s="128">
        <f t="shared" si="109"/>
        <v>86621.109999999986</v>
      </c>
      <c r="S151" s="128">
        <f t="shared" si="109"/>
        <v>86621.109999999986</v>
      </c>
      <c r="T151" s="128">
        <f t="shared" si="109"/>
        <v>86621.109999999986</v>
      </c>
      <c r="U151" s="128">
        <f t="shared" si="109"/>
        <v>86621.109999999986</v>
      </c>
      <c r="V151" s="128">
        <f t="shared" si="109"/>
        <v>86621.109999999986</v>
      </c>
      <c r="W151" s="128">
        <f t="shared" si="109"/>
        <v>86621.109999999986</v>
      </c>
      <c r="X151" s="128">
        <f t="shared" si="109"/>
        <v>86621.16</v>
      </c>
      <c r="Y151" s="128">
        <f t="shared" si="109"/>
        <v>89342.56</v>
      </c>
      <c r="Z151" s="128">
        <f t="shared" si="109"/>
        <v>89342.56</v>
      </c>
      <c r="AA151" s="128">
        <f t="shared" si="109"/>
        <v>89342.56</v>
      </c>
      <c r="AB151" s="128">
        <f t="shared" si="109"/>
        <v>89342.56</v>
      </c>
      <c r="AC151" s="128">
        <f t="shared" si="109"/>
        <v>108344.82490869999</v>
      </c>
      <c r="AD151" s="128">
        <f t="shared" si="109"/>
        <v>108344.7749087</v>
      </c>
      <c r="AE151" s="128">
        <f t="shared" si="109"/>
        <v>108344.7749087</v>
      </c>
      <c r="AF151" s="128">
        <f t="shared" si="109"/>
        <v>105501.13490869998</v>
      </c>
      <c r="AG151" s="128">
        <f t="shared" si="109"/>
        <v>105500.04999999999</v>
      </c>
      <c r="AH151" s="128">
        <f t="shared" si="109"/>
        <v>105500.04999999999</v>
      </c>
      <c r="AI151" s="128">
        <f t="shared" si="109"/>
        <v>86498.87</v>
      </c>
      <c r="AJ151" s="128">
        <f t="shared" si="109"/>
        <v>86498.87</v>
      </c>
      <c r="AK151" s="128">
        <f t="shared" si="109"/>
        <v>86498.665999999997</v>
      </c>
      <c r="AL151" s="128">
        <f t="shared" si="109"/>
        <v>86498.665999999997</v>
      </c>
      <c r="AM151" s="128">
        <f t="shared" si="109"/>
        <v>86498.794999999984</v>
      </c>
      <c r="AN151" s="128">
        <f t="shared" si="109"/>
        <v>101203.39099999999</v>
      </c>
      <c r="AO151" s="128">
        <f t="shared" si="109"/>
        <v>72276.859721200002</v>
      </c>
      <c r="AP151" s="128">
        <f t="shared" si="109"/>
        <v>72277.53003319999</v>
      </c>
      <c r="AQ151" s="128">
        <f t="shared" si="109"/>
        <v>72277.53003319999</v>
      </c>
      <c r="AR151" s="128">
        <f t="shared" si="109"/>
        <v>72277.53003319999</v>
      </c>
      <c r="AS151" s="128">
        <f t="shared" si="109"/>
        <v>72277.53003319999</v>
      </c>
      <c r="AT151" s="128">
        <f t="shared" si="109"/>
        <v>72691.207722199993</v>
      </c>
      <c r="AU151" s="128">
        <f t="shared" si="109"/>
        <v>72691.207722199993</v>
      </c>
      <c r="AV151" s="128">
        <f t="shared" si="109"/>
        <v>84563.677722199995</v>
      </c>
      <c r="AW151" s="128">
        <f t="shared" si="109"/>
        <v>84563.677722199995</v>
      </c>
      <c r="AX151" s="128">
        <f t="shared" si="109"/>
        <v>92023.535302200005</v>
      </c>
      <c r="AY151" s="128">
        <f t="shared" si="109"/>
        <v>92023.535302200005</v>
      </c>
      <c r="AZ151" s="128">
        <f t="shared" si="109"/>
        <v>92884.241970200004</v>
      </c>
      <c r="BA151" s="128">
        <f t="shared" si="109"/>
        <v>91829.62005920001</v>
      </c>
      <c r="BB151" s="128">
        <f t="shared" si="109"/>
        <v>92728.083391199994</v>
      </c>
      <c r="BC151" s="128">
        <f t="shared" si="109"/>
        <v>92728.083391199994</v>
      </c>
      <c r="BD151" s="128">
        <f t="shared" si="109"/>
        <v>92728.083391199994</v>
      </c>
      <c r="BE151" s="128">
        <f t="shared" si="109"/>
        <v>92728.059391200004</v>
      </c>
      <c r="BF151" s="128">
        <f t="shared" si="109"/>
        <v>45542.377604712245</v>
      </c>
      <c r="BG151" s="128">
        <f t="shared" si="109"/>
        <v>46019.179604712248</v>
      </c>
      <c r="BH151" s="128">
        <f t="shared" si="109"/>
        <v>46019.129604712245</v>
      </c>
      <c r="BI151" s="128">
        <f t="shared" si="109"/>
        <v>46019.129604712245</v>
      </c>
      <c r="BJ151" s="128">
        <f t="shared" si="109"/>
        <v>46019.129604712245</v>
      </c>
      <c r="BK151" s="128">
        <f t="shared" si="109"/>
        <v>46019.129604712245</v>
      </c>
      <c r="BL151" s="128">
        <f t="shared" si="109"/>
        <v>46019.129604712245</v>
      </c>
      <c r="BM151" s="128">
        <f t="shared" si="109"/>
        <v>46019.204634712238</v>
      </c>
      <c r="BN151" s="128">
        <f t="shared" si="109"/>
        <v>43456.259634712245</v>
      </c>
      <c r="BO151" s="128">
        <f t="shared" ref="BO151" si="110">BO152+BO164</f>
        <v>43456.259634712245</v>
      </c>
      <c r="BP151" s="128">
        <v>37159.839772237414</v>
      </c>
      <c r="BQ151" s="128">
        <v>37159.764772237417</v>
      </c>
      <c r="BR151" s="128">
        <v>37177.052772237417</v>
      </c>
      <c r="BS151" s="128">
        <v>34868.192772237417</v>
      </c>
      <c r="BT151" s="128">
        <v>34081.284772237414</v>
      </c>
      <c r="BU151" s="128">
        <v>32944.142772237414</v>
      </c>
      <c r="BV151" s="128">
        <v>32174.522638577779</v>
      </c>
      <c r="BW151" s="128">
        <v>32174.522638577779</v>
      </c>
      <c r="BX151" s="128">
        <f>BX152+BX164</f>
        <v>32174.595348958224</v>
      </c>
    </row>
    <row r="152" spans="1:107" s="15" customFormat="1" ht="15" customHeight="1">
      <c r="B152" s="81" t="str">
        <f>IF('Sumário | Summary'!P1=1,"Escritórios AAA","Triple A Offices")</f>
        <v>Escritórios AAA</v>
      </c>
      <c r="C152" s="128">
        <f t="shared" ref="C152:BN152" si="111">SUM(C153:C163)</f>
        <v>39315.885999999999</v>
      </c>
      <c r="D152" s="128">
        <f t="shared" si="111"/>
        <v>50492.45</v>
      </c>
      <c r="E152" s="128">
        <f t="shared" si="111"/>
        <v>50492.45</v>
      </c>
      <c r="F152" s="128">
        <f t="shared" si="111"/>
        <v>50492.45</v>
      </c>
      <c r="G152" s="128">
        <f t="shared" si="111"/>
        <v>57798.45</v>
      </c>
      <c r="H152" s="128">
        <f t="shared" si="111"/>
        <v>57543.45</v>
      </c>
      <c r="I152" s="128">
        <f t="shared" si="111"/>
        <v>57543.45</v>
      </c>
      <c r="J152" s="128">
        <f t="shared" si="111"/>
        <v>56772.45</v>
      </c>
      <c r="K152" s="128">
        <f t="shared" si="111"/>
        <v>54973.45</v>
      </c>
      <c r="L152" s="128">
        <f t="shared" si="111"/>
        <v>52258.45</v>
      </c>
      <c r="M152" s="128">
        <f t="shared" si="111"/>
        <v>52258.45</v>
      </c>
      <c r="N152" s="128">
        <f t="shared" si="111"/>
        <v>52258.45</v>
      </c>
      <c r="O152" s="128">
        <f t="shared" si="111"/>
        <v>52258.45</v>
      </c>
      <c r="P152" s="128">
        <f t="shared" si="111"/>
        <v>50492.45</v>
      </c>
      <c r="Q152" s="128">
        <f t="shared" si="111"/>
        <v>50492.45</v>
      </c>
      <c r="R152" s="128">
        <f t="shared" si="111"/>
        <v>50492.45</v>
      </c>
      <c r="S152" s="128">
        <f t="shared" si="111"/>
        <v>50492.45</v>
      </c>
      <c r="T152" s="128">
        <f t="shared" si="111"/>
        <v>50492.45</v>
      </c>
      <c r="U152" s="128">
        <f t="shared" si="111"/>
        <v>50492.45</v>
      </c>
      <c r="V152" s="128">
        <f t="shared" si="111"/>
        <v>50492.45</v>
      </c>
      <c r="W152" s="128">
        <f t="shared" si="111"/>
        <v>50492.45</v>
      </c>
      <c r="X152" s="128">
        <f t="shared" si="111"/>
        <v>50492.45</v>
      </c>
      <c r="Y152" s="128">
        <f t="shared" si="111"/>
        <v>53213.85</v>
      </c>
      <c r="Z152" s="128">
        <f t="shared" si="111"/>
        <v>53213.85</v>
      </c>
      <c r="AA152" s="128">
        <f t="shared" si="111"/>
        <v>53213.85</v>
      </c>
      <c r="AB152" s="128">
        <f t="shared" si="111"/>
        <v>53213.85</v>
      </c>
      <c r="AC152" s="128">
        <f t="shared" si="111"/>
        <v>72216.114908699994</v>
      </c>
      <c r="AD152" s="128">
        <f t="shared" si="111"/>
        <v>72216.114908699994</v>
      </c>
      <c r="AE152" s="128">
        <f t="shared" si="111"/>
        <v>72216.114908699994</v>
      </c>
      <c r="AF152" s="128">
        <f t="shared" si="111"/>
        <v>72216.114908699994</v>
      </c>
      <c r="AG152" s="128">
        <f t="shared" si="111"/>
        <v>72215.45</v>
      </c>
      <c r="AH152" s="128">
        <f t="shared" si="111"/>
        <v>72215.45</v>
      </c>
      <c r="AI152" s="128">
        <f t="shared" si="111"/>
        <v>53213.85</v>
      </c>
      <c r="AJ152" s="128">
        <f t="shared" si="111"/>
        <v>53213.85</v>
      </c>
      <c r="AK152" s="128">
        <f t="shared" si="111"/>
        <v>53213.885999999999</v>
      </c>
      <c r="AL152" s="128">
        <f t="shared" si="111"/>
        <v>53213.885999999999</v>
      </c>
      <c r="AM152" s="128">
        <f t="shared" si="111"/>
        <v>53213.774999999994</v>
      </c>
      <c r="AN152" s="128">
        <f t="shared" si="111"/>
        <v>67918.320999999996</v>
      </c>
      <c r="AO152" s="128">
        <f t="shared" si="111"/>
        <v>48349.859721200002</v>
      </c>
      <c r="AP152" s="128">
        <f t="shared" si="111"/>
        <v>48350.399440199995</v>
      </c>
      <c r="AQ152" s="128">
        <f t="shared" si="111"/>
        <v>48350.399440199995</v>
      </c>
      <c r="AR152" s="128">
        <f t="shared" si="111"/>
        <v>48350.399440199995</v>
      </c>
      <c r="AS152" s="128">
        <f t="shared" si="111"/>
        <v>48350.399440199995</v>
      </c>
      <c r="AT152" s="128">
        <f t="shared" si="111"/>
        <v>48764.077129199999</v>
      </c>
      <c r="AU152" s="128">
        <f t="shared" si="111"/>
        <v>48764.077129199999</v>
      </c>
      <c r="AV152" s="128">
        <f t="shared" si="111"/>
        <v>48764.077129199999</v>
      </c>
      <c r="AW152" s="128">
        <f t="shared" si="111"/>
        <v>48764.077129199999</v>
      </c>
      <c r="AX152" s="128">
        <f t="shared" si="111"/>
        <v>58170.485461199998</v>
      </c>
      <c r="AY152" s="128">
        <f t="shared" si="111"/>
        <v>58170.485461199998</v>
      </c>
      <c r="AZ152" s="128">
        <f t="shared" si="111"/>
        <v>59031.192129199997</v>
      </c>
      <c r="BA152" s="128">
        <f t="shared" si="111"/>
        <v>57976.570218200002</v>
      </c>
      <c r="BB152" s="128">
        <f t="shared" si="111"/>
        <v>58875.033550200002</v>
      </c>
      <c r="BC152" s="128">
        <f t="shared" si="111"/>
        <v>58875.033550200002</v>
      </c>
      <c r="BD152" s="128">
        <f t="shared" si="111"/>
        <v>58875.033550200002</v>
      </c>
      <c r="BE152" s="128">
        <f t="shared" si="111"/>
        <v>58875.009550200004</v>
      </c>
      <c r="BF152" s="128">
        <f t="shared" si="111"/>
        <v>11689.327763712245</v>
      </c>
      <c r="BG152" s="128">
        <f t="shared" si="111"/>
        <v>12166.129763712244</v>
      </c>
      <c r="BH152" s="128">
        <f t="shared" si="111"/>
        <v>12166.029763712246</v>
      </c>
      <c r="BI152" s="128">
        <f t="shared" si="111"/>
        <v>12166.029763712246</v>
      </c>
      <c r="BJ152" s="128">
        <f t="shared" si="111"/>
        <v>12166.029763712246</v>
      </c>
      <c r="BK152" s="128">
        <f t="shared" si="111"/>
        <v>12166.029763712246</v>
      </c>
      <c r="BL152" s="128">
        <f t="shared" si="111"/>
        <v>12166.029763712246</v>
      </c>
      <c r="BM152" s="128">
        <f t="shared" si="111"/>
        <v>12166.104793712246</v>
      </c>
      <c r="BN152" s="128">
        <f t="shared" si="111"/>
        <v>12166.104793712246</v>
      </c>
      <c r="BO152" s="128">
        <f t="shared" ref="BO152" si="112">SUM(BO153:BO163)</f>
        <v>12166.104793712246</v>
      </c>
      <c r="BP152" s="128">
        <v>5869.6849312374161</v>
      </c>
      <c r="BQ152" s="128">
        <v>5869.6099312374163</v>
      </c>
      <c r="BR152" s="128">
        <v>5886.8979312374158</v>
      </c>
      <c r="BS152" s="128">
        <v>5886.8979312374158</v>
      </c>
      <c r="BT152" s="128">
        <v>5869.6099312374163</v>
      </c>
      <c r="BU152" s="128">
        <v>5886.8979312374158</v>
      </c>
      <c r="BV152" s="128">
        <v>5886.8977975777771</v>
      </c>
      <c r="BW152" s="128">
        <v>5886.8977975777771</v>
      </c>
      <c r="BX152" s="128">
        <f>SUM(BX153:BX163)</f>
        <v>5886.9705079582245</v>
      </c>
    </row>
    <row r="153" spans="1:107" ht="15" hidden="1" customHeight="1" outlineLevel="1">
      <c r="A153" t="s">
        <v>18</v>
      </c>
      <c r="B153" s="38" t="s">
        <v>2</v>
      </c>
      <c r="C153" s="62">
        <v>4466.7</v>
      </c>
      <c r="D153" s="62">
        <v>4466.7</v>
      </c>
      <c r="E153" s="62">
        <v>4466.7</v>
      </c>
      <c r="F153" s="62">
        <v>4466.7</v>
      </c>
      <c r="G153" s="62">
        <v>4466.7</v>
      </c>
      <c r="H153" s="62">
        <v>4466.7</v>
      </c>
      <c r="I153" s="62">
        <v>4466.7</v>
      </c>
      <c r="J153" s="62">
        <v>4466.7</v>
      </c>
      <c r="K153" s="62">
        <v>4466.7</v>
      </c>
      <c r="L153" s="62">
        <v>4466.7</v>
      </c>
      <c r="M153" s="62">
        <v>4466.7</v>
      </c>
      <c r="N153" s="62">
        <v>4466.7</v>
      </c>
      <c r="O153" s="62">
        <v>4466.7</v>
      </c>
      <c r="P153" s="62">
        <v>4466.7</v>
      </c>
      <c r="Q153" s="62">
        <v>4466.7</v>
      </c>
      <c r="R153" s="62">
        <v>4466.7</v>
      </c>
      <c r="S153" s="62">
        <v>4466.7</v>
      </c>
      <c r="T153" s="62">
        <v>4466.7</v>
      </c>
      <c r="U153" s="62">
        <v>4466.7</v>
      </c>
      <c r="V153" s="62">
        <v>4466.7</v>
      </c>
      <c r="W153" s="62">
        <v>4466.7</v>
      </c>
      <c r="X153" s="62">
        <v>4466.7</v>
      </c>
      <c r="Y153" s="62">
        <v>4466.7</v>
      </c>
      <c r="Z153" s="62">
        <v>4466.7</v>
      </c>
      <c r="AA153" s="62">
        <v>4466.7</v>
      </c>
      <c r="AB153" s="62">
        <v>4466.7</v>
      </c>
      <c r="AC153" s="62">
        <v>4466.7</v>
      </c>
      <c r="AD153" s="62">
        <v>4466.7</v>
      </c>
      <c r="AE153" s="62">
        <v>4466.7</v>
      </c>
      <c r="AF153" s="62">
        <v>4466.7</v>
      </c>
      <c r="AG153" s="62">
        <v>4466.7</v>
      </c>
      <c r="AH153" s="62">
        <v>4466.7</v>
      </c>
      <c r="AI153" s="62">
        <v>4466.7</v>
      </c>
      <c r="AJ153" s="62">
        <v>4466.7</v>
      </c>
      <c r="AK153" s="62">
        <v>4466.7</v>
      </c>
      <c r="AL153" s="62">
        <v>4466.7</v>
      </c>
      <c r="AM153" s="62">
        <v>4466.7</v>
      </c>
      <c r="AN153" s="62">
        <v>4466.7</v>
      </c>
      <c r="AO153" s="62">
        <v>2973</v>
      </c>
      <c r="AP153" s="62">
        <v>2973.4821899999997</v>
      </c>
      <c r="AQ153" s="62">
        <v>2973.4821899999997</v>
      </c>
      <c r="AR153" s="62">
        <v>2973.4821899999997</v>
      </c>
      <c r="AS153" s="62">
        <v>2973.4821899999997</v>
      </c>
      <c r="AT153" s="62">
        <v>2973.4821899999997</v>
      </c>
      <c r="AU153" s="62">
        <v>2973.4821899999997</v>
      </c>
      <c r="AV153" s="62">
        <v>2973.4821899999997</v>
      </c>
      <c r="AW153" s="62">
        <v>2973.4821899999997</v>
      </c>
      <c r="AX153" s="137">
        <v>2973.4821899999997</v>
      </c>
      <c r="AY153" s="62">
        <v>2973.4821899999997</v>
      </c>
      <c r="AZ153" s="62">
        <v>2973.4821899999997</v>
      </c>
      <c r="BA153" s="62">
        <v>2973.4821899999997</v>
      </c>
      <c r="BB153" s="62">
        <v>2973.4821899999997</v>
      </c>
      <c r="BC153" s="62">
        <v>2973.4821899999997</v>
      </c>
      <c r="BD153" s="62">
        <v>2973.4821899999997</v>
      </c>
      <c r="BE153" s="62">
        <v>2973.4821899999997</v>
      </c>
      <c r="BF153" s="62">
        <v>0</v>
      </c>
      <c r="BG153" s="137">
        <v>0</v>
      </c>
      <c r="BH153" s="137">
        <v>0</v>
      </c>
      <c r="BI153" s="137">
        <v>0</v>
      </c>
      <c r="BJ153" s="137">
        <v>0</v>
      </c>
      <c r="BK153" s="137">
        <v>0</v>
      </c>
      <c r="BL153" s="137">
        <v>0</v>
      </c>
      <c r="BM153" s="137">
        <v>0</v>
      </c>
      <c r="BN153" s="137">
        <v>0</v>
      </c>
      <c r="BO153" s="137">
        <v>0</v>
      </c>
      <c r="BP153" s="137">
        <v>0</v>
      </c>
      <c r="BQ153" s="137">
        <v>0</v>
      </c>
      <c r="BR153" s="137">
        <v>0</v>
      </c>
      <c r="BS153" s="137">
        <v>0</v>
      </c>
      <c r="BT153" s="137">
        <v>0</v>
      </c>
      <c r="BU153" s="137">
        <v>0</v>
      </c>
      <c r="BV153" s="137">
        <v>0</v>
      </c>
      <c r="BW153" s="137">
        <v>0</v>
      </c>
      <c r="BX153" s="137">
        <v>0</v>
      </c>
    </row>
    <row r="154" spans="1:107" ht="15" hidden="1" customHeight="1" outlineLevel="1">
      <c r="A154" t="s">
        <v>18</v>
      </c>
      <c r="B154" s="38" t="s">
        <v>3</v>
      </c>
      <c r="C154" s="62">
        <v>3168.46</v>
      </c>
      <c r="D154" s="62">
        <v>3168.46</v>
      </c>
      <c r="E154" s="62">
        <v>3168.46</v>
      </c>
      <c r="F154" s="62">
        <v>3168.46</v>
      </c>
      <c r="G154" s="62">
        <v>3168.46</v>
      </c>
      <c r="H154" s="62">
        <v>3168.46</v>
      </c>
      <c r="I154" s="62">
        <v>3168.46</v>
      </c>
      <c r="J154" s="62">
        <v>3168.46</v>
      </c>
      <c r="K154" s="62">
        <v>3168.46</v>
      </c>
      <c r="L154" s="62">
        <v>3168.46</v>
      </c>
      <c r="M154" s="62">
        <v>3168.46</v>
      </c>
      <c r="N154" s="62">
        <v>3168.46</v>
      </c>
      <c r="O154" s="62">
        <v>3168.46</v>
      </c>
      <c r="P154" s="62">
        <v>3168.46</v>
      </c>
      <c r="Q154" s="62">
        <v>3168.46</v>
      </c>
      <c r="R154" s="62">
        <v>3168.46</v>
      </c>
      <c r="S154" s="62">
        <v>3168.46</v>
      </c>
      <c r="T154" s="62">
        <v>3168.46</v>
      </c>
      <c r="U154" s="62">
        <v>3168.46</v>
      </c>
      <c r="V154" s="62">
        <v>3168.46</v>
      </c>
      <c r="W154" s="62">
        <v>3168.46</v>
      </c>
      <c r="X154" s="62">
        <v>3168.46</v>
      </c>
      <c r="Y154" s="62">
        <v>3168.46</v>
      </c>
      <c r="Z154" s="62">
        <v>3168.46</v>
      </c>
      <c r="AA154" s="62">
        <v>3168.46</v>
      </c>
      <c r="AB154" s="62">
        <v>3168.46</v>
      </c>
      <c r="AC154" s="62">
        <v>3168.46</v>
      </c>
      <c r="AD154" s="62">
        <v>3168.46</v>
      </c>
      <c r="AE154" s="62">
        <v>3168.46</v>
      </c>
      <c r="AF154" s="62">
        <v>3168.46</v>
      </c>
      <c r="AG154" s="62">
        <v>3168.46</v>
      </c>
      <c r="AH154" s="62">
        <v>3168.46</v>
      </c>
      <c r="AI154" s="62">
        <v>3168.46</v>
      </c>
      <c r="AJ154" s="62">
        <v>3168.46</v>
      </c>
      <c r="AK154" s="62">
        <v>3168.46</v>
      </c>
      <c r="AL154" s="62">
        <v>3168.46</v>
      </c>
      <c r="AM154" s="62">
        <v>3168.46</v>
      </c>
      <c r="AN154" s="62">
        <v>1584</v>
      </c>
      <c r="AO154" s="62">
        <v>1055</v>
      </c>
      <c r="AP154" s="62">
        <v>1054.621911</v>
      </c>
      <c r="AQ154" s="62">
        <v>1054.621911</v>
      </c>
      <c r="AR154" s="62">
        <v>1054.621911</v>
      </c>
      <c r="AS154" s="62">
        <v>1054.621911</v>
      </c>
      <c r="AT154" s="62">
        <v>1054.621911</v>
      </c>
      <c r="AU154" s="62">
        <v>1054.621911</v>
      </c>
      <c r="AV154" s="62">
        <v>1054.621911</v>
      </c>
      <c r="AW154" s="62">
        <v>1054.621911</v>
      </c>
      <c r="AX154" s="137">
        <v>1054.621911</v>
      </c>
      <c r="AY154" s="62">
        <v>1054.621911</v>
      </c>
      <c r="AZ154" s="62">
        <v>1054.621911</v>
      </c>
      <c r="BA154" s="62">
        <v>0</v>
      </c>
      <c r="BB154" s="62">
        <v>0</v>
      </c>
      <c r="BC154" s="62">
        <v>0</v>
      </c>
      <c r="BD154" s="62">
        <v>0</v>
      </c>
      <c r="BE154" s="62">
        <v>0</v>
      </c>
      <c r="BF154" s="62">
        <v>0</v>
      </c>
      <c r="BG154" s="137">
        <v>0</v>
      </c>
      <c r="BH154" s="137">
        <v>0</v>
      </c>
      <c r="BI154" s="137">
        <v>0</v>
      </c>
      <c r="BJ154" s="137">
        <v>0</v>
      </c>
      <c r="BK154" s="137">
        <v>0</v>
      </c>
      <c r="BL154" s="137">
        <v>0</v>
      </c>
      <c r="BM154" s="137">
        <v>0</v>
      </c>
      <c r="BN154" s="137">
        <v>0</v>
      </c>
      <c r="BO154" s="137">
        <v>0</v>
      </c>
      <c r="BP154" s="137">
        <v>0</v>
      </c>
      <c r="BQ154" s="137">
        <v>0</v>
      </c>
      <c r="BR154" s="137">
        <v>0</v>
      </c>
      <c r="BS154" s="137">
        <v>0</v>
      </c>
      <c r="BT154" s="137">
        <v>0</v>
      </c>
      <c r="BU154" s="137">
        <v>0</v>
      </c>
      <c r="BV154" s="137">
        <v>0</v>
      </c>
      <c r="BW154" s="137">
        <v>0</v>
      </c>
      <c r="BX154" s="137">
        <v>0</v>
      </c>
    </row>
    <row r="155" spans="1:107" ht="15" hidden="1" customHeight="1" outlineLevel="1">
      <c r="A155" t="s">
        <v>18</v>
      </c>
      <c r="B155" s="38" t="s">
        <v>0</v>
      </c>
      <c r="C155" s="62">
        <v>18705.61</v>
      </c>
      <c r="D155" s="62">
        <v>18705.61</v>
      </c>
      <c r="E155" s="62">
        <v>18705.61</v>
      </c>
      <c r="F155" s="62">
        <v>18705.61</v>
      </c>
      <c r="G155" s="62">
        <v>18705.61</v>
      </c>
      <c r="H155" s="62">
        <v>18705.61</v>
      </c>
      <c r="I155" s="62">
        <v>18705.61</v>
      </c>
      <c r="J155" s="62">
        <v>18705.61</v>
      </c>
      <c r="K155" s="62">
        <v>18705.61</v>
      </c>
      <c r="L155" s="62">
        <v>18705.61</v>
      </c>
      <c r="M155" s="62">
        <v>18705.61</v>
      </c>
      <c r="N155" s="62">
        <v>18705.61</v>
      </c>
      <c r="O155" s="62">
        <v>18705.61</v>
      </c>
      <c r="P155" s="62">
        <v>18705.61</v>
      </c>
      <c r="Q155" s="62">
        <v>18705.61</v>
      </c>
      <c r="R155" s="62">
        <v>18705.61</v>
      </c>
      <c r="S155" s="62">
        <v>18705.61</v>
      </c>
      <c r="T155" s="62">
        <v>18705.61</v>
      </c>
      <c r="U155" s="62">
        <v>18705.61</v>
      </c>
      <c r="V155" s="62">
        <v>18705.61</v>
      </c>
      <c r="W155" s="62">
        <v>18705.61</v>
      </c>
      <c r="X155" s="62">
        <v>18705.61</v>
      </c>
      <c r="Y155" s="62">
        <v>18705.61</v>
      </c>
      <c r="Z155" s="62">
        <v>18705.61</v>
      </c>
      <c r="AA155" s="62">
        <v>18705.61</v>
      </c>
      <c r="AB155" s="62">
        <v>18705.61</v>
      </c>
      <c r="AC155" s="62">
        <v>18705.61</v>
      </c>
      <c r="AD155" s="62">
        <v>18705.61</v>
      </c>
      <c r="AE155" s="62">
        <v>18705.61</v>
      </c>
      <c r="AF155" s="62">
        <v>18705.61</v>
      </c>
      <c r="AG155" s="62">
        <v>18705.61</v>
      </c>
      <c r="AH155" s="62">
        <v>18705.61</v>
      </c>
      <c r="AI155" s="62">
        <v>18705.61</v>
      </c>
      <c r="AJ155" s="62">
        <v>18705.61</v>
      </c>
      <c r="AK155" s="62">
        <v>18705.61</v>
      </c>
      <c r="AL155" s="62">
        <v>18705.61</v>
      </c>
      <c r="AM155" s="62">
        <v>18705.61</v>
      </c>
      <c r="AN155" s="62">
        <v>18705.61</v>
      </c>
      <c r="AO155" s="62">
        <v>12452</v>
      </c>
      <c r="AP155" s="62">
        <v>12452.324576999999</v>
      </c>
      <c r="AQ155" s="62">
        <v>12452.324576999999</v>
      </c>
      <c r="AR155" s="62">
        <v>12452.324576999999</v>
      </c>
      <c r="AS155" s="62">
        <v>12452.324576999999</v>
      </c>
      <c r="AT155" s="62">
        <v>12452.324576999999</v>
      </c>
      <c r="AU155" s="62">
        <v>12452.324576999999</v>
      </c>
      <c r="AV155" s="62">
        <v>12452.324576999999</v>
      </c>
      <c r="AW155" s="62">
        <v>12452.324576999999</v>
      </c>
      <c r="AX155" s="137">
        <v>12890.657909000001</v>
      </c>
      <c r="AY155" s="62">
        <v>12890.657909000001</v>
      </c>
      <c r="AZ155" s="62">
        <v>13751.364577</v>
      </c>
      <c r="BA155" s="62">
        <v>13751.364577</v>
      </c>
      <c r="BB155" s="62">
        <v>14649.827909000001</v>
      </c>
      <c r="BC155" s="62">
        <v>14649.827909000001</v>
      </c>
      <c r="BD155" s="62">
        <v>14649.827909</v>
      </c>
      <c r="BE155" s="62">
        <v>14649.827909</v>
      </c>
      <c r="BF155" s="62">
        <v>0</v>
      </c>
      <c r="BG155" s="137">
        <v>0</v>
      </c>
      <c r="BH155" s="137">
        <v>0</v>
      </c>
      <c r="BI155" s="137">
        <v>0</v>
      </c>
      <c r="BJ155" s="137">
        <v>0</v>
      </c>
      <c r="BK155" s="137">
        <v>0</v>
      </c>
      <c r="BL155" s="137">
        <v>0</v>
      </c>
      <c r="BM155" s="137">
        <v>0</v>
      </c>
      <c r="BN155" s="137">
        <v>0</v>
      </c>
      <c r="BO155" s="137">
        <v>0</v>
      </c>
      <c r="BP155" s="137">
        <v>0</v>
      </c>
      <c r="BQ155" s="137">
        <v>0</v>
      </c>
      <c r="BR155" s="137">
        <v>0</v>
      </c>
      <c r="BS155" s="137">
        <v>0</v>
      </c>
      <c r="BT155" s="137">
        <v>0</v>
      </c>
      <c r="BU155" s="137">
        <v>0</v>
      </c>
      <c r="BV155" s="137">
        <v>0</v>
      </c>
      <c r="BW155" s="137">
        <v>0</v>
      </c>
      <c r="BX155" s="137">
        <v>0</v>
      </c>
    </row>
    <row r="156" spans="1:107" ht="15" hidden="1" customHeight="1" outlineLevel="1">
      <c r="A156" t="s">
        <v>18</v>
      </c>
      <c r="B156" s="38" t="s">
        <v>1</v>
      </c>
      <c r="C156" s="62">
        <v>12975.116000000002</v>
      </c>
      <c r="D156" s="62">
        <v>12975.116000000002</v>
      </c>
      <c r="E156" s="62">
        <v>12975.116000000002</v>
      </c>
      <c r="F156" s="62">
        <v>12975.116000000002</v>
      </c>
      <c r="G156" s="62">
        <v>12975.116000000002</v>
      </c>
      <c r="H156" s="62">
        <v>12975.116000000002</v>
      </c>
      <c r="I156" s="62">
        <v>12975.116000000002</v>
      </c>
      <c r="J156" s="62">
        <v>12975.116000000002</v>
      </c>
      <c r="K156" s="62">
        <v>12975.116000000002</v>
      </c>
      <c r="L156" s="62">
        <v>12975.116000000002</v>
      </c>
      <c r="M156" s="62">
        <v>12975.116000000002</v>
      </c>
      <c r="N156" s="62">
        <v>12975.116000000002</v>
      </c>
      <c r="O156" s="62">
        <v>12975.116000000002</v>
      </c>
      <c r="P156" s="62">
        <v>12975.116000000002</v>
      </c>
      <c r="Q156" s="62">
        <v>12975.116000000002</v>
      </c>
      <c r="R156" s="62">
        <v>12975.116000000002</v>
      </c>
      <c r="S156" s="62">
        <v>12975.116000000002</v>
      </c>
      <c r="T156" s="62">
        <v>12975.116000000002</v>
      </c>
      <c r="U156" s="62">
        <v>12975.116000000002</v>
      </c>
      <c r="V156" s="62">
        <v>12975.116000000002</v>
      </c>
      <c r="W156" s="62">
        <v>12975.116000000002</v>
      </c>
      <c r="X156" s="62">
        <v>12975.116000000002</v>
      </c>
      <c r="Y156" s="62">
        <v>12975.116000000002</v>
      </c>
      <c r="Z156" s="62">
        <v>12975.116000000002</v>
      </c>
      <c r="AA156" s="62">
        <v>12975.116000000002</v>
      </c>
      <c r="AB156" s="62">
        <v>12975.116000000002</v>
      </c>
      <c r="AC156" s="62">
        <v>12975.116000000002</v>
      </c>
      <c r="AD156" s="62">
        <v>12975.116000000002</v>
      </c>
      <c r="AE156" s="62">
        <v>12975.116000000002</v>
      </c>
      <c r="AF156" s="62">
        <v>12975.116000000002</v>
      </c>
      <c r="AG156" s="62">
        <v>12975.116000000002</v>
      </c>
      <c r="AH156" s="62">
        <v>12975.116000000002</v>
      </c>
      <c r="AI156" s="62">
        <v>12975.116000000002</v>
      </c>
      <c r="AJ156" s="62">
        <v>12975.116000000002</v>
      </c>
      <c r="AK156" s="62">
        <v>12975.116000000002</v>
      </c>
      <c r="AL156" s="62">
        <v>12975.116000000002</v>
      </c>
      <c r="AM156" s="62">
        <v>12975.116000000002</v>
      </c>
      <c r="AN156" s="62">
        <v>12975.116000000002</v>
      </c>
      <c r="AO156" s="62">
        <v>8637.5347212000015</v>
      </c>
      <c r="AP156" s="62">
        <v>8637.5347212000015</v>
      </c>
      <c r="AQ156" s="62">
        <v>8637.5347212000015</v>
      </c>
      <c r="AR156" s="62">
        <v>8637.5347212000015</v>
      </c>
      <c r="AS156" s="62">
        <v>8637.5347212000015</v>
      </c>
      <c r="AT156" s="62">
        <v>8637.5347212000015</v>
      </c>
      <c r="AU156" s="62">
        <v>8637.5347212000015</v>
      </c>
      <c r="AV156" s="62">
        <v>8637.5347212000015</v>
      </c>
      <c r="AW156" s="62">
        <v>8637.5347212000015</v>
      </c>
      <c r="AX156" s="137">
        <v>8637.5347212000015</v>
      </c>
      <c r="AY156" s="62">
        <v>8637.5347212000015</v>
      </c>
      <c r="AZ156" s="62">
        <v>8637.5347212000015</v>
      </c>
      <c r="BA156" s="62">
        <v>8637.5347212000015</v>
      </c>
      <c r="BB156" s="62">
        <v>8637.5347212000015</v>
      </c>
      <c r="BC156" s="62">
        <v>8637.5347212000015</v>
      </c>
      <c r="BD156" s="62">
        <v>8637.5347212000015</v>
      </c>
      <c r="BE156" s="62">
        <v>8637.5347212000015</v>
      </c>
      <c r="BF156" s="62">
        <v>0</v>
      </c>
      <c r="BG156" s="137">
        <v>0</v>
      </c>
      <c r="BH156" s="137">
        <v>0</v>
      </c>
      <c r="BI156" s="137">
        <v>0</v>
      </c>
      <c r="BJ156" s="137">
        <v>0</v>
      </c>
      <c r="BK156" s="137">
        <v>0</v>
      </c>
      <c r="BL156" s="137">
        <v>0</v>
      </c>
      <c r="BM156" s="137">
        <v>0</v>
      </c>
      <c r="BN156" s="137">
        <v>0</v>
      </c>
      <c r="BO156" s="137">
        <v>0</v>
      </c>
      <c r="BP156" s="137">
        <v>0</v>
      </c>
      <c r="BQ156" s="137">
        <v>0</v>
      </c>
      <c r="BR156" s="137">
        <v>0</v>
      </c>
      <c r="BS156" s="137">
        <v>0</v>
      </c>
      <c r="BT156" s="137">
        <v>0</v>
      </c>
      <c r="BU156" s="137">
        <v>0</v>
      </c>
      <c r="BV156" s="137">
        <v>0</v>
      </c>
      <c r="BW156" s="137">
        <v>0</v>
      </c>
      <c r="BX156" s="137">
        <v>0</v>
      </c>
    </row>
    <row r="157" spans="1:107" ht="15" hidden="1" customHeight="1" outlineLevel="1">
      <c r="A157" t="s">
        <v>18</v>
      </c>
      <c r="B157" s="38" t="s">
        <v>33</v>
      </c>
      <c r="C157" s="62">
        <v>0</v>
      </c>
      <c r="D157" s="62">
        <v>11176.564</v>
      </c>
      <c r="E157" s="62">
        <v>11176.564</v>
      </c>
      <c r="F157" s="62">
        <v>11176.564</v>
      </c>
      <c r="G157" s="62">
        <v>11176.564</v>
      </c>
      <c r="H157" s="62">
        <v>11176.564</v>
      </c>
      <c r="I157" s="62">
        <v>11176.564</v>
      </c>
      <c r="J157" s="62">
        <v>11176.564</v>
      </c>
      <c r="K157" s="62">
        <v>11176.564</v>
      </c>
      <c r="L157" s="62">
        <v>11176.564</v>
      </c>
      <c r="M157" s="62">
        <v>11176.564</v>
      </c>
      <c r="N157" s="62">
        <v>11176.564</v>
      </c>
      <c r="O157" s="62">
        <v>11176.564</v>
      </c>
      <c r="P157" s="62">
        <v>11176.564</v>
      </c>
      <c r="Q157" s="62">
        <v>11176.564</v>
      </c>
      <c r="R157" s="62">
        <v>11176.564</v>
      </c>
      <c r="S157" s="62">
        <v>11176.564</v>
      </c>
      <c r="T157" s="62">
        <v>11176.564</v>
      </c>
      <c r="U157" s="62">
        <v>11176.564</v>
      </c>
      <c r="V157" s="62">
        <v>11176.564</v>
      </c>
      <c r="W157" s="62">
        <v>11176.564</v>
      </c>
      <c r="X157" s="62">
        <v>11176.564</v>
      </c>
      <c r="Y157" s="62">
        <v>11176.564</v>
      </c>
      <c r="Z157" s="62">
        <v>11176.564</v>
      </c>
      <c r="AA157" s="62">
        <v>11176.564</v>
      </c>
      <c r="AB157" s="62">
        <v>11176.564</v>
      </c>
      <c r="AC157" s="62">
        <v>11176.564</v>
      </c>
      <c r="AD157" s="62">
        <v>11176.564</v>
      </c>
      <c r="AE157" s="62">
        <v>11176.564</v>
      </c>
      <c r="AF157" s="62">
        <v>11176.564</v>
      </c>
      <c r="AG157" s="62">
        <v>11176.564</v>
      </c>
      <c r="AH157" s="62">
        <v>11176.564</v>
      </c>
      <c r="AI157" s="62">
        <v>11176.564</v>
      </c>
      <c r="AJ157" s="62">
        <v>11176.564</v>
      </c>
      <c r="AK157" s="62">
        <v>11177</v>
      </c>
      <c r="AL157" s="62">
        <v>11177</v>
      </c>
      <c r="AM157" s="62">
        <v>11176.564</v>
      </c>
      <c r="AN157" s="62">
        <v>11176.57</v>
      </c>
      <c r="AO157" s="62">
        <v>6944</v>
      </c>
      <c r="AP157" s="62">
        <v>6944.0029409999997</v>
      </c>
      <c r="AQ157" s="62">
        <v>6944.0029409999997</v>
      </c>
      <c r="AR157" s="62">
        <v>6944.0029409999997</v>
      </c>
      <c r="AS157" s="62">
        <v>6944.0029409999997</v>
      </c>
      <c r="AT157" s="62">
        <v>7357.6806299999989</v>
      </c>
      <c r="AU157" s="62">
        <v>7357.6806299999989</v>
      </c>
      <c r="AV157" s="62">
        <v>7357.6806299999989</v>
      </c>
      <c r="AW157" s="62">
        <v>7357.6806299999989</v>
      </c>
      <c r="AX157" s="137">
        <v>7357.6806299999989</v>
      </c>
      <c r="AY157" s="62">
        <v>7357.6806299999989</v>
      </c>
      <c r="AZ157" s="62">
        <v>7357.6806299999989</v>
      </c>
      <c r="BA157" s="62">
        <v>7357.6806299999989</v>
      </c>
      <c r="BB157" s="62">
        <v>7357.6806299999989</v>
      </c>
      <c r="BC157" s="62">
        <v>7357.6806299999989</v>
      </c>
      <c r="BD157" s="62">
        <v>7357.6806299999989</v>
      </c>
      <c r="BE157" s="62">
        <v>7357.6806299999989</v>
      </c>
      <c r="BF157" s="62">
        <v>0</v>
      </c>
      <c r="BG157" s="137">
        <v>0</v>
      </c>
      <c r="BH157" s="137">
        <v>0</v>
      </c>
      <c r="BI157" s="137">
        <v>0</v>
      </c>
      <c r="BJ157" s="137">
        <v>0</v>
      </c>
      <c r="BK157" s="137">
        <v>0</v>
      </c>
      <c r="BL157" s="137">
        <v>0</v>
      </c>
      <c r="BM157" s="137">
        <v>0</v>
      </c>
      <c r="BN157" s="137">
        <v>0</v>
      </c>
      <c r="BO157" s="137">
        <v>0</v>
      </c>
      <c r="BP157" s="137">
        <v>0</v>
      </c>
      <c r="BQ157" s="137">
        <v>0</v>
      </c>
      <c r="BR157" s="137">
        <v>0</v>
      </c>
      <c r="BS157" s="137">
        <v>0</v>
      </c>
      <c r="BT157" s="137">
        <v>0</v>
      </c>
      <c r="BU157" s="137">
        <v>0</v>
      </c>
      <c r="BV157" s="137">
        <v>0</v>
      </c>
      <c r="BW157" s="137">
        <v>0</v>
      </c>
      <c r="BX157" s="137">
        <v>0</v>
      </c>
    </row>
    <row r="158" spans="1:107" ht="15" hidden="1" customHeight="1" outlineLevel="1">
      <c r="A158" t="s">
        <v>248</v>
      </c>
      <c r="B158" s="38" t="s">
        <v>28</v>
      </c>
      <c r="C158" s="62">
        <v>0</v>
      </c>
      <c r="D158" s="62">
        <v>0</v>
      </c>
      <c r="E158" s="62">
        <v>0</v>
      </c>
      <c r="F158" s="62">
        <v>0</v>
      </c>
      <c r="G158" s="62">
        <v>0</v>
      </c>
      <c r="H158" s="62">
        <v>0</v>
      </c>
      <c r="I158" s="62">
        <v>0</v>
      </c>
      <c r="J158" s="62">
        <v>0</v>
      </c>
      <c r="K158" s="62">
        <v>0</v>
      </c>
      <c r="L158" s="62">
        <v>0</v>
      </c>
      <c r="M158" s="62">
        <v>0</v>
      </c>
      <c r="N158" s="62">
        <v>0</v>
      </c>
      <c r="O158" s="62">
        <v>0</v>
      </c>
      <c r="P158" s="62">
        <v>0</v>
      </c>
      <c r="Q158" s="62">
        <v>0</v>
      </c>
      <c r="R158" s="62">
        <v>0</v>
      </c>
      <c r="S158" s="62">
        <v>0</v>
      </c>
      <c r="T158" s="62">
        <v>0</v>
      </c>
      <c r="U158" s="62">
        <v>0</v>
      </c>
      <c r="V158" s="62">
        <v>0</v>
      </c>
      <c r="W158" s="62">
        <v>0</v>
      </c>
      <c r="X158" s="62">
        <v>0</v>
      </c>
      <c r="Y158" s="62">
        <v>2721.4</v>
      </c>
      <c r="Z158" s="62">
        <v>2721.4</v>
      </c>
      <c r="AA158" s="62">
        <v>2721.4</v>
      </c>
      <c r="AB158" s="62">
        <v>2721.4</v>
      </c>
      <c r="AC158" s="62">
        <v>2721.4</v>
      </c>
      <c r="AD158" s="62">
        <v>2721.4</v>
      </c>
      <c r="AE158" s="62">
        <v>2721.4</v>
      </c>
      <c r="AF158" s="62">
        <v>2721.4</v>
      </c>
      <c r="AG158" s="62">
        <v>2721</v>
      </c>
      <c r="AH158" s="62">
        <v>2721</v>
      </c>
      <c r="AI158" s="62">
        <v>2721.4</v>
      </c>
      <c r="AJ158" s="62">
        <v>2721.4</v>
      </c>
      <c r="AK158" s="62">
        <v>2721</v>
      </c>
      <c r="AL158" s="62">
        <v>2721</v>
      </c>
      <c r="AM158" s="62">
        <v>2721.3249999999998</v>
      </c>
      <c r="AN158" s="62">
        <v>2721.3249999999998</v>
      </c>
      <c r="AO158" s="62">
        <v>2721.3249999999998</v>
      </c>
      <c r="AP158" s="62">
        <v>2721.3249999999998</v>
      </c>
      <c r="AQ158" s="62">
        <v>2721.3249999999998</v>
      </c>
      <c r="AR158" s="62">
        <v>2721.3249999999998</v>
      </c>
      <c r="AS158" s="62">
        <v>2721.3249999999998</v>
      </c>
      <c r="AT158" s="62">
        <v>2721.3249999999998</v>
      </c>
      <c r="AU158" s="62">
        <v>2721.3249999999998</v>
      </c>
      <c r="AV158" s="62">
        <v>2721.3249999999998</v>
      </c>
      <c r="AW158" s="62">
        <v>2721.3249999999998</v>
      </c>
      <c r="AX158" s="137">
        <v>2721.5</v>
      </c>
      <c r="AY158" s="62">
        <v>2721.5</v>
      </c>
      <c r="AZ158" s="62">
        <v>2721.5</v>
      </c>
      <c r="BA158" s="62">
        <v>2721.5</v>
      </c>
      <c r="BB158" s="62">
        <v>2721.5</v>
      </c>
      <c r="BC158" s="62">
        <v>2721.5</v>
      </c>
      <c r="BD158" s="62">
        <v>2721.5</v>
      </c>
      <c r="BE158" s="62">
        <v>2721.5</v>
      </c>
      <c r="BF158" s="62">
        <v>2721.5</v>
      </c>
      <c r="BG158" s="137">
        <v>2721.5</v>
      </c>
      <c r="BH158" s="137">
        <v>2721.4000000000005</v>
      </c>
      <c r="BI158" s="137">
        <v>2721.4000000000005</v>
      </c>
      <c r="BJ158" s="137">
        <v>2721.4000000000005</v>
      </c>
      <c r="BK158" s="137">
        <v>2721.4000000000005</v>
      </c>
      <c r="BL158" s="137">
        <v>2721.4000000000005</v>
      </c>
      <c r="BM158" s="137">
        <v>2721.4750000000004</v>
      </c>
      <c r="BN158" s="137">
        <v>2721.4750000000004</v>
      </c>
      <c r="BO158" s="137">
        <v>2721.4750000000004</v>
      </c>
      <c r="BP158" s="137">
        <v>2721.4750000000004</v>
      </c>
      <c r="BQ158" s="137">
        <v>2721.4000000000005</v>
      </c>
      <c r="BR158" s="137">
        <v>2721.4000000000005</v>
      </c>
      <c r="BS158" s="137">
        <v>2721.4000000000005</v>
      </c>
      <c r="BT158" s="137">
        <v>2721.4000000000005</v>
      </c>
      <c r="BU158" s="137">
        <v>2721.4000000000005</v>
      </c>
      <c r="BV158" s="137">
        <v>2721.3998663403618</v>
      </c>
      <c r="BW158" s="137">
        <v>2721.3998663403618</v>
      </c>
      <c r="BX158" s="137">
        <v>2721.4725767208097</v>
      </c>
    </row>
    <row r="159" spans="1:107" ht="15" hidden="1" customHeight="1" outlineLevel="1">
      <c r="A159" t="s">
        <v>18</v>
      </c>
      <c r="B159" s="38" t="s">
        <v>27</v>
      </c>
      <c r="C159" s="61">
        <v>0</v>
      </c>
      <c r="D159" s="61">
        <v>0</v>
      </c>
      <c r="E159" s="61">
        <v>0</v>
      </c>
      <c r="F159" s="61">
        <v>0</v>
      </c>
      <c r="G159" s="61">
        <v>0</v>
      </c>
      <c r="H159" s="61">
        <v>0</v>
      </c>
      <c r="I159" s="61">
        <v>0</v>
      </c>
      <c r="J159" s="61">
        <v>0</v>
      </c>
      <c r="K159" s="61">
        <v>0</v>
      </c>
      <c r="L159" s="61">
        <v>0</v>
      </c>
      <c r="M159" s="61">
        <v>0</v>
      </c>
      <c r="N159" s="61">
        <v>0</v>
      </c>
      <c r="O159" s="61">
        <v>0</v>
      </c>
      <c r="P159" s="61">
        <v>0</v>
      </c>
      <c r="Q159" s="61">
        <v>0</v>
      </c>
      <c r="R159" s="61">
        <v>0</v>
      </c>
      <c r="S159" s="61">
        <v>0</v>
      </c>
      <c r="T159" s="61">
        <v>0</v>
      </c>
      <c r="U159" s="61">
        <v>0</v>
      </c>
      <c r="V159" s="61">
        <v>0</v>
      </c>
      <c r="W159" s="61">
        <v>0</v>
      </c>
      <c r="X159" s="61">
        <v>0</v>
      </c>
      <c r="Y159" s="61">
        <v>0</v>
      </c>
      <c r="Z159" s="61">
        <v>0</v>
      </c>
      <c r="AA159" s="61">
        <v>0</v>
      </c>
      <c r="AB159" s="61">
        <v>0</v>
      </c>
      <c r="AC159" s="61">
        <v>0</v>
      </c>
      <c r="AD159" s="61">
        <v>0</v>
      </c>
      <c r="AE159" s="61">
        <v>0</v>
      </c>
      <c r="AF159" s="61">
        <v>0</v>
      </c>
      <c r="AG159" s="61">
        <v>0</v>
      </c>
      <c r="AH159" s="61">
        <v>0</v>
      </c>
      <c r="AI159" s="61">
        <v>0</v>
      </c>
      <c r="AJ159" s="61">
        <v>0</v>
      </c>
      <c r="AK159" s="61">
        <v>0</v>
      </c>
      <c r="AL159" s="61">
        <v>0</v>
      </c>
      <c r="AM159" s="61">
        <v>0</v>
      </c>
      <c r="AN159" s="62">
        <v>16289</v>
      </c>
      <c r="AO159" s="62">
        <v>13567</v>
      </c>
      <c r="AP159" s="62">
        <v>13567.108099999999</v>
      </c>
      <c r="AQ159" s="62">
        <v>13567.108099999999</v>
      </c>
      <c r="AR159" s="62">
        <v>13567.108099999999</v>
      </c>
      <c r="AS159" s="62">
        <v>13567.108099999999</v>
      </c>
      <c r="AT159" s="62">
        <v>13567.108099999999</v>
      </c>
      <c r="AU159" s="62">
        <v>13567.108099999999</v>
      </c>
      <c r="AV159" s="62">
        <v>13567.108099999999</v>
      </c>
      <c r="AW159" s="62">
        <v>13567.108099999999</v>
      </c>
      <c r="AX159" s="137">
        <v>13567.108099999999</v>
      </c>
      <c r="AY159" s="62">
        <v>13567.108099999999</v>
      </c>
      <c r="AZ159" s="62">
        <v>13567.108099999999</v>
      </c>
      <c r="BA159" s="62">
        <v>13567.108099999999</v>
      </c>
      <c r="BB159" s="62">
        <v>13567.108099999999</v>
      </c>
      <c r="BC159" s="62">
        <v>13567.108099999999</v>
      </c>
      <c r="BD159" s="62">
        <v>13567.108099999999</v>
      </c>
      <c r="BE159" s="62">
        <v>13567.108099999999</v>
      </c>
      <c r="BF159" s="62">
        <v>0</v>
      </c>
      <c r="BG159" s="137">
        <v>0</v>
      </c>
      <c r="BH159" s="137">
        <v>0</v>
      </c>
      <c r="BI159" s="137">
        <v>0</v>
      </c>
      <c r="BJ159" s="137">
        <v>0</v>
      </c>
      <c r="BK159" s="137">
        <v>0</v>
      </c>
      <c r="BL159" s="137">
        <v>0</v>
      </c>
      <c r="BM159" s="137">
        <v>0</v>
      </c>
      <c r="BN159" s="137">
        <v>0</v>
      </c>
      <c r="BO159" s="137">
        <v>0</v>
      </c>
      <c r="BP159" s="137">
        <v>0</v>
      </c>
      <c r="BQ159" s="137">
        <v>0</v>
      </c>
      <c r="BR159" s="137">
        <v>0</v>
      </c>
      <c r="BS159" s="137">
        <v>0</v>
      </c>
      <c r="BT159" s="137">
        <v>0</v>
      </c>
      <c r="BU159" s="137">
        <v>0</v>
      </c>
      <c r="BV159" s="137">
        <v>0</v>
      </c>
      <c r="BW159" s="137">
        <v>0</v>
      </c>
      <c r="BX159" s="137">
        <v>0</v>
      </c>
    </row>
    <row r="160" spans="1:107" ht="15" hidden="1" customHeight="1" outlineLevel="1">
      <c r="A160" t="s">
        <v>18</v>
      </c>
      <c r="B160" s="38" t="s">
        <v>19</v>
      </c>
      <c r="C160" s="61">
        <v>0</v>
      </c>
      <c r="D160" s="61">
        <v>0</v>
      </c>
      <c r="E160" s="61">
        <v>0</v>
      </c>
      <c r="F160" s="61">
        <v>0</v>
      </c>
      <c r="G160" s="61">
        <v>0</v>
      </c>
      <c r="H160" s="61">
        <v>0</v>
      </c>
      <c r="I160" s="61">
        <v>0</v>
      </c>
      <c r="J160" s="61">
        <v>0</v>
      </c>
      <c r="K160" s="61">
        <v>0</v>
      </c>
      <c r="L160" s="61">
        <v>0</v>
      </c>
      <c r="M160" s="61">
        <v>0</v>
      </c>
      <c r="N160" s="61">
        <v>0</v>
      </c>
      <c r="O160" s="61">
        <v>0</v>
      </c>
      <c r="P160" s="61">
        <v>0</v>
      </c>
      <c r="Q160" s="61">
        <v>0</v>
      </c>
      <c r="R160" s="61">
        <v>0</v>
      </c>
      <c r="S160" s="61">
        <v>0</v>
      </c>
      <c r="T160" s="61">
        <v>0</v>
      </c>
      <c r="U160" s="61">
        <v>0</v>
      </c>
      <c r="V160" s="61">
        <v>0</v>
      </c>
      <c r="W160" s="61">
        <v>0</v>
      </c>
      <c r="X160" s="61">
        <v>0</v>
      </c>
      <c r="Y160" s="61">
        <v>0</v>
      </c>
      <c r="Z160" s="61">
        <v>0</v>
      </c>
      <c r="AA160" s="61">
        <v>0</v>
      </c>
      <c r="AB160" s="61">
        <v>0</v>
      </c>
      <c r="AC160" s="61">
        <v>19002.264908700003</v>
      </c>
      <c r="AD160" s="61">
        <v>19002.264908700003</v>
      </c>
      <c r="AE160" s="61">
        <v>19002.264908700003</v>
      </c>
      <c r="AF160" s="61">
        <v>19002.264908700003</v>
      </c>
      <c r="AG160" s="61">
        <v>19002</v>
      </c>
      <c r="AH160" s="61">
        <v>19002</v>
      </c>
      <c r="AI160" s="61">
        <v>0</v>
      </c>
      <c r="AJ160" s="61">
        <v>0</v>
      </c>
      <c r="AK160" s="61">
        <v>0</v>
      </c>
      <c r="AL160" s="61">
        <v>0</v>
      </c>
      <c r="AM160" s="61">
        <v>0</v>
      </c>
      <c r="AN160" s="62">
        <v>0</v>
      </c>
      <c r="AO160" s="62">
        <v>0</v>
      </c>
      <c r="AP160" s="62">
        <v>0</v>
      </c>
      <c r="AQ160" s="62">
        <v>0</v>
      </c>
      <c r="AR160" s="62">
        <v>0</v>
      </c>
      <c r="AS160" s="62">
        <v>0</v>
      </c>
      <c r="AT160" s="62">
        <v>0</v>
      </c>
      <c r="AU160" s="62">
        <v>0</v>
      </c>
      <c r="AV160" s="62">
        <v>0</v>
      </c>
      <c r="AW160" s="62">
        <v>0</v>
      </c>
      <c r="AX160" s="137">
        <v>0</v>
      </c>
      <c r="AY160" s="62">
        <v>0</v>
      </c>
      <c r="AZ160" s="62">
        <v>0</v>
      </c>
      <c r="BA160" s="62">
        <v>0</v>
      </c>
      <c r="BB160" s="62">
        <v>0</v>
      </c>
      <c r="BC160" s="62">
        <v>0</v>
      </c>
      <c r="BD160" s="62">
        <v>0</v>
      </c>
      <c r="BE160" s="62">
        <v>0</v>
      </c>
      <c r="BF160" s="62">
        <v>0</v>
      </c>
      <c r="BG160" s="137">
        <v>0</v>
      </c>
      <c r="BH160" s="137">
        <v>0</v>
      </c>
      <c r="BI160" s="137">
        <v>0</v>
      </c>
      <c r="BJ160" s="137">
        <v>0</v>
      </c>
      <c r="BK160" s="137">
        <v>0</v>
      </c>
      <c r="BL160" s="137">
        <v>0</v>
      </c>
      <c r="BM160" s="137">
        <v>0</v>
      </c>
      <c r="BN160" s="137">
        <v>0</v>
      </c>
      <c r="BO160" s="137">
        <v>0</v>
      </c>
      <c r="BP160" s="137">
        <v>0</v>
      </c>
      <c r="BQ160" s="137">
        <v>0</v>
      </c>
      <c r="BR160" s="137">
        <v>0</v>
      </c>
      <c r="BS160" s="137">
        <v>0</v>
      </c>
      <c r="BT160" s="137">
        <v>0</v>
      </c>
      <c r="BU160" s="137">
        <v>0</v>
      </c>
      <c r="BV160" s="137">
        <v>0</v>
      </c>
      <c r="BW160" s="137">
        <v>0</v>
      </c>
      <c r="BX160" s="137">
        <v>0</v>
      </c>
    </row>
    <row r="161" spans="1:76 16122:16122" ht="15" hidden="1" customHeight="1" outlineLevel="1">
      <c r="A161" t="s">
        <v>18</v>
      </c>
      <c r="B161" s="38" t="s">
        <v>5</v>
      </c>
      <c r="C161" s="62">
        <v>0</v>
      </c>
      <c r="D161" s="62">
        <v>0</v>
      </c>
      <c r="E161" s="62">
        <v>0</v>
      </c>
      <c r="F161" s="62">
        <v>0</v>
      </c>
      <c r="G161" s="62">
        <v>7306</v>
      </c>
      <c r="H161" s="62">
        <v>7051</v>
      </c>
      <c r="I161" s="62">
        <v>7051</v>
      </c>
      <c r="J161" s="62">
        <v>6280</v>
      </c>
      <c r="K161" s="62">
        <v>4481</v>
      </c>
      <c r="L161" s="62">
        <v>1766</v>
      </c>
      <c r="M161" s="62">
        <v>1766</v>
      </c>
      <c r="N161" s="62">
        <v>1766</v>
      </c>
      <c r="O161" s="62">
        <v>1766</v>
      </c>
      <c r="P161" s="62">
        <v>0</v>
      </c>
      <c r="Q161" s="62">
        <v>0</v>
      </c>
      <c r="R161" s="62">
        <v>0</v>
      </c>
      <c r="S161" s="62">
        <v>0</v>
      </c>
      <c r="T161" s="62">
        <v>0</v>
      </c>
      <c r="U161" s="62">
        <v>0</v>
      </c>
      <c r="V161" s="62">
        <v>0</v>
      </c>
      <c r="W161" s="62">
        <v>0</v>
      </c>
      <c r="X161" s="62">
        <v>0</v>
      </c>
      <c r="Y161" s="62">
        <v>0</v>
      </c>
      <c r="Z161" s="62">
        <v>0</v>
      </c>
      <c r="AA161" s="62">
        <v>0</v>
      </c>
      <c r="AB161" s="62">
        <v>0</v>
      </c>
      <c r="AC161" s="62">
        <v>0</v>
      </c>
      <c r="AD161" s="62">
        <v>0</v>
      </c>
      <c r="AE161" s="62">
        <v>0</v>
      </c>
      <c r="AF161" s="62">
        <v>0</v>
      </c>
      <c r="AG161" s="62">
        <v>0</v>
      </c>
      <c r="AH161" s="62">
        <v>0</v>
      </c>
      <c r="AI161" s="62">
        <v>0</v>
      </c>
      <c r="AJ161" s="62">
        <v>0</v>
      </c>
      <c r="AK161" s="62">
        <v>0</v>
      </c>
      <c r="AL161" s="62">
        <v>0</v>
      </c>
      <c r="AM161" s="62">
        <v>0</v>
      </c>
      <c r="AN161" s="62">
        <v>0</v>
      </c>
      <c r="AO161" s="62">
        <v>0</v>
      </c>
      <c r="AP161" s="62">
        <v>0</v>
      </c>
      <c r="AQ161" s="62">
        <v>0</v>
      </c>
      <c r="AR161" s="62">
        <v>0</v>
      </c>
      <c r="AS161" s="62">
        <v>0</v>
      </c>
      <c r="AT161" s="62">
        <v>0</v>
      </c>
      <c r="AU161" s="62">
        <v>0</v>
      </c>
      <c r="AV161" s="62">
        <v>0</v>
      </c>
      <c r="AW161" s="62">
        <v>0</v>
      </c>
      <c r="AX161" s="137">
        <v>0</v>
      </c>
      <c r="AY161" s="62">
        <v>0</v>
      </c>
      <c r="AZ161" s="62">
        <v>0</v>
      </c>
      <c r="BA161" s="62">
        <v>0</v>
      </c>
      <c r="BB161" s="62">
        <v>0</v>
      </c>
      <c r="BC161" s="62">
        <v>0</v>
      </c>
      <c r="BD161" s="62">
        <v>0</v>
      </c>
      <c r="BE161" s="62">
        <v>0</v>
      </c>
      <c r="BF161" s="62">
        <v>0</v>
      </c>
      <c r="BG161" s="137">
        <v>0</v>
      </c>
      <c r="BH161" s="137">
        <v>0</v>
      </c>
      <c r="BI161" s="137">
        <v>0</v>
      </c>
      <c r="BJ161" s="137">
        <v>0</v>
      </c>
      <c r="BK161" s="137">
        <v>0</v>
      </c>
      <c r="BL161" s="137">
        <v>0</v>
      </c>
      <c r="BM161" s="137">
        <v>0</v>
      </c>
      <c r="BN161" s="137">
        <v>0</v>
      </c>
      <c r="BO161" s="137">
        <v>0</v>
      </c>
      <c r="BP161" s="137">
        <v>0</v>
      </c>
      <c r="BQ161" s="137">
        <v>0</v>
      </c>
      <c r="BR161" s="137">
        <v>0</v>
      </c>
      <c r="BS161" s="137">
        <v>0</v>
      </c>
      <c r="BT161" s="137">
        <v>0</v>
      </c>
      <c r="BU161" s="137">
        <v>0</v>
      </c>
      <c r="BV161" s="137">
        <v>0</v>
      </c>
      <c r="BW161" s="137">
        <v>0</v>
      </c>
      <c r="BX161" s="137">
        <v>0</v>
      </c>
    </row>
    <row r="162" spans="1:76 16122:16122" ht="15" hidden="1" customHeight="1" outlineLevel="1">
      <c r="A162" t="s">
        <v>249</v>
      </c>
      <c r="B162" s="38" t="s">
        <v>48</v>
      </c>
      <c r="C162" s="62">
        <v>0</v>
      </c>
      <c r="D162" s="62">
        <v>0</v>
      </c>
      <c r="E162" s="62">
        <v>0</v>
      </c>
      <c r="F162" s="62">
        <v>0</v>
      </c>
      <c r="G162" s="62">
        <v>0</v>
      </c>
      <c r="H162" s="62">
        <v>0</v>
      </c>
      <c r="I162" s="62">
        <v>0</v>
      </c>
      <c r="J162" s="62">
        <v>0</v>
      </c>
      <c r="K162" s="62">
        <v>0</v>
      </c>
      <c r="L162" s="62">
        <v>0</v>
      </c>
      <c r="M162" s="62">
        <v>0</v>
      </c>
      <c r="N162" s="62">
        <v>0</v>
      </c>
      <c r="O162" s="62">
        <v>0</v>
      </c>
      <c r="P162" s="62">
        <v>0</v>
      </c>
      <c r="Q162" s="62">
        <v>0</v>
      </c>
      <c r="R162" s="62">
        <v>0</v>
      </c>
      <c r="S162" s="62">
        <v>0</v>
      </c>
      <c r="T162" s="62">
        <v>0</v>
      </c>
      <c r="U162" s="62">
        <v>0</v>
      </c>
      <c r="V162" s="62">
        <v>0</v>
      </c>
      <c r="W162" s="62">
        <v>0</v>
      </c>
      <c r="X162" s="62">
        <v>0</v>
      </c>
      <c r="Y162" s="62">
        <v>0</v>
      </c>
      <c r="Z162" s="62">
        <v>0</v>
      </c>
      <c r="AA162" s="62">
        <v>0</v>
      </c>
      <c r="AB162" s="62">
        <v>0</v>
      </c>
      <c r="AC162" s="62">
        <v>0</v>
      </c>
      <c r="AD162" s="62">
        <v>0</v>
      </c>
      <c r="AE162" s="62">
        <v>0</v>
      </c>
      <c r="AF162" s="62">
        <v>0</v>
      </c>
      <c r="AG162" s="62">
        <v>0</v>
      </c>
      <c r="AH162" s="62">
        <v>0</v>
      </c>
      <c r="AI162" s="62">
        <v>0</v>
      </c>
      <c r="AJ162" s="62">
        <v>0</v>
      </c>
      <c r="AK162" s="62">
        <v>0</v>
      </c>
      <c r="AL162" s="62">
        <v>0</v>
      </c>
      <c r="AM162" s="62">
        <v>0</v>
      </c>
      <c r="AN162" s="62">
        <v>0</v>
      </c>
      <c r="AO162" s="62">
        <v>0</v>
      </c>
      <c r="AP162" s="62">
        <v>0</v>
      </c>
      <c r="AQ162" s="62">
        <v>0</v>
      </c>
      <c r="AR162" s="62">
        <v>0</v>
      </c>
      <c r="AS162" s="62">
        <v>0</v>
      </c>
      <c r="AT162" s="62">
        <v>0</v>
      </c>
      <c r="AU162" s="62">
        <v>0</v>
      </c>
      <c r="AV162" s="62">
        <v>0</v>
      </c>
      <c r="AW162" s="62">
        <v>0</v>
      </c>
      <c r="AX162" s="137">
        <v>3142.5</v>
      </c>
      <c r="AY162" s="62">
        <v>3142.5</v>
      </c>
      <c r="AZ162" s="62">
        <v>3142.5</v>
      </c>
      <c r="BA162" s="62">
        <v>3142.5</v>
      </c>
      <c r="BB162" s="62">
        <v>3142.5</v>
      </c>
      <c r="BC162" s="62">
        <v>3142.5</v>
      </c>
      <c r="BD162" s="62">
        <v>3142.5</v>
      </c>
      <c r="BE162" s="62">
        <v>3142.4760000000015</v>
      </c>
      <c r="BF162" s="62">
        <v>3142.4760000000015</v>
      </c>
      <c r="BG162" s="137">
        <v>3619.2780000000021</v>
      </c>
      <c r="BH162" s="137">
        <v>3619.2780000000021</v>
      </c>
      <c r="BI162" s="137">
        <v>3619.2780000000021</v>
      </c>
      <c r="BJ162" s="137">
        <v>3619.2780000000021</v>
      </c>
      <c r="BK162" s="137">
        <v>3619.2780000000021</v>
      </c>
      <c r="BL162" s="137">
        <v>3619.2780000000021</v>
      </c>
      <c r="BM162" s="137">
        <v>3619.2780300000018</v>
      </c>
      <c r="BN162" s="137">
        <v>3619.2780300000018</v>
      </c>
      <c r="BO162" s="137">
        <v>3619.2780300000018</v>
      </c>
      <c r="BP162" s="137">
        <v>1206.4260100000008</v>
      </c>
      <c r="BQ162" s="137">
        <v>1206.4260100000008</v>
      </c>
      <c r="BR162" s="137">
        <v>1223.7140100000006</v>
      </c>
      <c r="BS162" s="137">
        <v>1223.7140100000006</v>
      </c>
      <c r="BT162" s="137">
        <v>1206.4260100000008</v>
      </c>
      <c r="BU162" s="137">
        <v>1223.7140100000006</v>
      </c>
      <c r="BV162" s="137">
        <v>1223.7140100000006</v>
      </c>
      <c r="BW162" s="137">
        <v>1223.7140100000006</v>
      </c>
      <c r="BX162" s="137">
        <v>1223.7140100000006</v>
      </c>
    </row>
    <row r="163" spans="1:76 16122:16122" ht="15" hidden="1" customHeight="1" outlineLevel="1">
      <c r="A163" t="s">
        <v>250</v>
      </c>
      <c r="B163" s="38" t="s">
        <v>49</v>
      </c>
      <c r="C163" s="62">
        <v>0</v>
      </c>
      <c r="D163" s="62">
        <v>0</v>
      </c>
      <c r="E163" s="62">
        <v>0</v>
      </c>
      <c r="F163" s="62">
        <v>0</v>
      </c>
      <c r="G163" s="62">
        <v>0</v>
      </c>
      <c r="H163" s="62">
        <v>0</v>
      </c>
      <c r="I163" s="62">
        <v>0</v>
      </c>
      <c r="J163" s="62">
        <v>0</v>
      </c>
      <c r="K163" s="62">
        <v>0</v>
      </c>
      <c r="L163" s="62">
        <v>0</v>
      </c>
      <c r="M163" s="62">
        <v>0</v>
      </c>
      <c r="N163" s="62">
        <v>0</v>
      </c>
      <c r="O163" s="62">
        <v>0</v>
      </c>
      <c r="P163" s="62">
        <v>0</v>
      </c>
      <c r="Q163" s="62">
        <v>0</v>
      </c>
      <c r="R163" s="62">
        <v>0</v>
      </c>
      <c r="S163" s="62">
        <v>0</v>
      </c>
      <c r="T163" s="62">
        <v>0</v>
      </c>
      <c r="U163" s="62">
        <v>0</v>
      </c>
      <c r="V163" s="62">
        <v>0</v>
      </c>
      <c r="W163" s="62">
        <v>0</v>
      </c>
      <c r="X163" s="62">
        <v>0</v>
      </c>
      <c r="Y163" s="62">
        <v>0</v>
      </c>
      <c r="Z163" s="62">
        <v>0</v>
      </c>
      <c r="AA163" s="62">
        <v>0</v>
      </c>
      <c r="AB163" s="62">
        <v>0</v>
      </c>
      <c r="AC163" s="62">
        <v>0</v>
      </c>
      <c r="AD163" s="62">
        <v>0</v>
      </c>
      <c r="AE163" s="62">
        <v>0</v>
      </c>
      <c r="AF163" s="62">
        <v>0</v>
      </c>
      <c r="AG163" s="62">
        <v>0</v>
      </c>
      <c r="AH163" s="62">
        <v>0</v>
      </c>
      <c r="AI163" s="62">
        <v>0</v>
      </c>
      <c r="AJ163" s="62">
        <v>0</v>
      </c>
      <c r="AK163" s="62">
        <v>0</v>
      </c>
      <c r="AL163" s="62">
        <v>0</v>
      </c>
      <c r="AM163" s="62">
        <v>0</v>
      </c>
      <c r="AN163" s="62">
        <v>0</v>
      </c>
      <c r="AO163" s="62">
        <v>0</v>
      </c>
      <c r="AP163" s="62">
        <v>0</v>
      </c>
      <c r="AQ163" s="62">
        <v>0</v>
      </c>
      <c r="AR163" s="62">
        <v>0</v>
      </c>
      <c r="AS163" s="62">
        <v>0</v>
      </c>
      <c r="AT163" s="62">
        <v>0</v>
      </c>
      <c r="AU163" s="62">
        <v>0</v>
      </c>
      <c r="AV163" s="62">
        <v>0</v>
      </c>
      <c r="AW163" s="62">
        <v>0</v>
      </c>
      <c r="AX163" s="137">
        <v>5825.4</v>
      </c>
      <c r="AY163" s="62">
        <v>5825.4</v>
      </c>
      <c r="AZ163" s="62">
        <v>5825.4</v>
      </c>
      <c r="BA163" s="62">
        <v>5825.4</v>
      </c>
      <c r="BB163" s="62">
        <v>5825.4</v>
      </c>
      <c r="BC163" s="62">
        <v>5825.4</v>
      </c>
      <c r="BD163" s="62">
        <v>5825.4</v>
      </c>
      <c r="BE163" s="62">
        <v>5825.4</v>
      </c>
      <c r="BF163" s="62">
        <v>5825.3517637122432</v>
      </c>
      <c r="BG163" s="137">
        <v>5825.3517637122432</v>
      </c>
      <c r="BH163" s="137">
        <v>5825.3517637122432</v>
      </c>
      <c r="BI163" s="137">
        <v>5825.3517637122432</v>
      </c>
      <c r="BJ163" s="137">
        <v>5825.3517637122432</v>
      </c>
      <c r="BK163" s="137">
        <v>5825.3517637122432</v>
      </c>
      <c r="BL163" s="137">
        <v>5825.3517637122432</v>
      </c>
      <c r="BM163" s="137">
        <v>5825.3517637122432</v>
      </c>
      <c r="BN163" s="137">
        <v>5825.3517637122432</v>
      </c>
      <c r="BO163" s="137">
        <v>5825.3517637122432</v>
      </c>
      <c r="BP163" s="137">
        <v>1941.7839212374145</v>
      </c>
      <c r="BQ163" s="137">
        <v>1941.7839212374145</v>
      </c>
      <c r="BR163" s="137">
        <v>1941.7839212374145</v>
      </c>
      <c r="BS163" s="137">
        <v>1941.7839212374145</v>
      </c>
      <c r="BT163" s="137">
        <v>1941.7839212374145</v>
      </c>
      <c r="BU163" s="137">
        <v>1941.7839212374145</v>
      </c>
      <c r="BV163" s="137">
        <v>1941.7839212374145</v>
      </c>
      <c r="BW163" s="137">
        <v>1941.7839212374145</v>
      </c>
      <c r="BX163" s="137">
        <v>1941.7839212374145</v>
      </c>
    </row>
    <row r="164" spans="1:76 16122:16122" ht="15" customHeight="1" collapsed="1">
      <c r="A164" s="30"/>
      <c r="B164" s="81" t="str">
        <f>IF('Sumário | Summary'!P1=1,"Escritórios Classe A","Class A Offices")</f>
        <v>Escritórios Classe A</v>
      </c>
      <c r="C164" s="102">
        <f t="shared" ref="C164:BN164" si="113">SUM(C165:C172)</f>
        <v>32278.659999999996</v>
      </c>
      <c r="D164" s="102">
        <f t="shared" si="113"/>
        <v>36128.659999999996</v>
      </c>
      <c r="E164" s="102">
        <f t="shared" si="113"/>
        <v>36128.659999999996</v>
      </c>
      <c r="F164" s="102">
        <f t="shared" si="113"/>
        <v>36128.659999999996</v>
      </c>
      <c r="G164" s="102">
        <f t="shared" si="113"/>
        <v>36128.659999999996</v>
      </c>
      <c r="H164" s="102">
        <f t="shared" si="113"/>
        <v>36128.659999999996</v>
      </c>
      <c r="I164" s="102">
        <f t="shared" si="113"/>
        <v>36128.659999999996</v>
      </c>
      <c r="J164" s="102">
        <f t="shared" si="113"/>
        <v>36128.659999999996</v>
      </c>
      <c r="K164" s="102">
        <f t="shared" si="113"/>
        <v>36128.659999999996</v>
      </c>
      <c r="L164" s="102">
        <f t="shared" si="113"/>
        <v>36128.659999999996</v>
      </c>
      <c r="M164" s="102">
        <f t="shared" si="113"/>
        <v>36128.659999999996</v>
      </c>
      <c r="N164" s="102">
        <f t="shared" si="113"/>
        <v>36128.659999999996</v>
      </c>
      <c r="O164" s="102">
        <f t="shared" si="113"/>
        <v>36128.659999999996</v>
      </c>
      <c r="P164" s="102">
        <f t="shared" si="113"/>
        <v>36128.659999999996</v>
      </c>
      <c r="Q164" s="102">
        <f t="shared" si="113"/>
        <v>36128.659999999996</v>
      </c>
      <c r="R164" s="102">
        <f t="shared" si="113"/>
        <v>36128.659999999996</v>
      </c>
      <c r="S164" s="102">
        <f t="shared" si="113"/>
        <v>36128.659999999996</v>
      </c>
      <c r="T164" s="102">
        <f t="shared" si="113"/>
        <v>36128.659999999996</v>
      </c>
      <c r="U164" s="102">
        <f t="shared" si="113"/>
        <v>36128.659999999996</v>
      </c>
      <c r="V164" s="102">
        <f t="shared" si="113"/>
        <v>36128.659999999996</v>
      </c>
      <c r="W164" s="102">
        <f t="shared" si="113"/>
        <v>36128.659999999996</v>
      </c>
      <c r="X164" s="102">
        <f t="shared" si="113"/>
        <v>36128.71</v>
      </c>
      <c r="Y164" s="102">
        <f t="shared" si="113"/>
        <v>36128.71</v>
      </c>
      <c r="Z164" s="102">
        <f t="shared" si="113"/>
        <v>36128.71</v>
      </c>
      <c r="AA164" s="102">
        <f t="shared" si="113"/>
        <v>36128.71</v>
      </c>
      <c r="AB164" s="102">
        <f t="shared" si="113"/>
        <v>36128.71</v>
      </c>
      <c r="AC164" s="102">
        <f t="shared" si="113"/>
        <v>36128.71</v>
      </c>
      <c r="AD164" s="102">
        <f t="shared" si="113"/>
        <v>36128.659999999996</v>
      </c>
      <c r="AE164" s="102">
        <f t="shared" si="113"/>
        <v>36128.659999999996</v>
      </c>
      <c r="AF164" s="102">
        <f t="shared" si="113"/>
        <v>33285.019999999997</v>
      </c>
      <c r="AG164" s="102">
        <f t="shared" si="113"/>
        <v>33284.599999999991</v>
      </c>
      <c r="AH164" s="102">
        <f t="shared" si="113"/>
        <v>33284.599999999991</v>
      </c>
      <c r="AI164" s="102">
        <f t="shared" si="113"/>
        <v>33285.019999999997</v>
      </c>
      <c r="AJ164" s="102">
        <f t="shared" si="113"/>
        <v>33285.019999999997</v>
      </c>
      <c r="AK164" s="102">
        <f t="shared" si="113"/>
        <v>33284.78</v>
      </c>
      <c r="AL164" s="102">
        <f t="shared" si="113"/>
        <v>33284.78</v>
      </c>
      <c r="AM164" s="102">
        <f t="shared" si="113"/>
        <v>33285.019999999997</v>
      </c>
      <c r="AN164" s="102">
        <f t="shared" si="113"/>
        <v>33285.069999999992</v>
      </c>
      <c r="AO164" s="102">
        <f t="shared" si="113"/>
        <v>23927</v>
      </c>
      <c r="AP164" s="102">
        <f t="shared" si="113"/>
        <v>23927.130592999994</v>
      </c>
      <c r="AQ164" s="102">
        <f t="shared" si="113"/>
        <v>23927.130592999994</v>
      </c>
      <c r="AR164" s="102">
        <f t="shared" si="113"/>
        <v>23927.130592999994</v>
      </c>
      <c r="AS164" s="102">
        <f t="shared" si="113"/>
        <v>23927.130592999994</v>
      </c>
      <c r="AT164" s="102">
        <f t="shared" si="113"/>
        <v>23927.130592999994</v>
      </c>
      <c r="AU164" s="102">
        <f t="shared" si="113"/>
        <v>23927.130592999994</v>
      </c>
      <c r="AV164" s="102">
        <f t="shared" si="113"/>
        <v>35799.600592999996</v>
      </c>
      <c r="AW164" s="102">
        <f t="shared" si="113"/>
        <v>35799.600592999996</v>
      </c>
      <c r="AX164" s="102">
        <f t="shared" si="113"/>
        <v>33853.049841</v>
      </c>
      <c r="AY164" s="102">
        <f t="shared" si="113"/>
        <v>33853.049841</v>
      </c>
      <c r="AZ164" s="102">
        <f t="shared" si="113"/>
        <v>33853.049841</v>
      </c>
      <c r="BA164" s="102">
        <f t="shared" si="113"/>
        <v>33853.049841</v>
      </c>
      <c r="BB164" s="102">
        <f t="shared" si="113"/>
        <v>33853.049841</v>
      </c>
      <c r="BC164" s="102">
        <f t="shared" si="113"/>
        <v>33853.049841</v>
      </c>
      <c r="BD164" s="102">
        <f t="shared" si="113"/>
        <v>33853.049841</v>
      </c>
      <c r="BE164" s="102">
        <f t="shared" si="113"/>
        <v>33853.049841</v>
      </c>
      <c r="BF164" s="102">
        <f t="shared" si="113"/>
        <v>33853.049841</v>
      </c>
      <c r="BG164" s="102">
        <f t="shared" si="113"/>
        <v>33853.049841</v>
      </c>
      <c r="BH164" s="102">
        <f t="shared" si="113"/>
        <v>33853.099840999996</v>
      </c>
      <c r="BI164" s="102">
        <f t="shared" si="113"/>
        <v>33853.099840999996</v>
      </c>
      <c r="BJ164" s="102">
        <f t="shared" si="113"/>
        <v>33853.099840999996</v>
      </c>
      <c r="BK164" s="102">
        <f t="shared" si="113"/>
        <v>33853.099840999996</v>
      </c>
      <c r="BL164" s="102">
        <f t="shared" si="113"/>
        <v>33853.099840999996</v>
      </c>
      <c r="BM164" s="102">
        <f t="shared" si="113"/>
        <v>33853.099840999996</v>
      </c>
      <c r="BN164" s="102">
        <f t="shared" si="113"/>
        <v>31290.154840999996</v>
      </c>
      <c r="BO164" s="102">
        <f t="shared" ref="BO164" si="114">SUM(BO165:BO172)</f>
        <v>31290.154840999996</v>
      </c>
      <c r="BP164" s="102">
        <v>31290.154840999996</v>
      </c>
      <c r="BQ164" s="102">
        <v>31290.154841</v>
      </c>
      <c r="BR164" s="102">
        <v>31290.154841</v>
      </c>
      <c r="BS164" s="102">
        <v>28981.294840999999</v>
      </c>
      <c r="BT164" s="102">
        <v>28211.674841</v>
      </c>
      <c r="BU164" s="102">
        <v>27057.244841</v>
      </c>
      <c r="BV164" s="102">
        <v>26287.624841000001</v>
      </c>
      <c r="BW164" s="102">
        <v>26287.624841000001</v>
      </c>
      <c r="BX164" s="102">
        <f>SUM(BX165:BX172)</f>
        <v>26287.624841000001</v>
      </c>
      <c r="WVB164" s="128"/>
    </row>
    <row r="165" spans="1:76 16122:16122" ht="15" hidden="1" customHeight="1" outlineLevel="1">
      <c r="A165" t="s">
        <v>251</v>
      </c>
      <c r="B165" s="38" t="s">
        <v>6</v>
      </c>
      <c r="C165" s="62">
        <v>11987.249999999996</v>
      </c>
      <c r="D165" s="62">
        <v>11987.249999999996</v>
      </c>
      <c r="E165" s="62">
        <v>11987.249999999996</v>
      </c>
      <c r="F165" s="62">
        <v>11987.249999999996</v>
      </c>
      <c r="G165" s="62">
        <v>11987.249999999996</v>
      </c>
      <c r="H165" s="62">
        <v>11987.249999999996</v>
      </c>
      <c r="I165" s="62">
        <v>11987.249999999996</v>
      </c>
      <c r="J165" s="62">
        <v>11987.249999999996</v>
      </c>
      <c r="K165" s="62">
        <v>11987.249999999996</v>
      </c>
      <c r="L165" s="62">
        <v>11987.249999999996</v>
      </c>
      <c r="M165" s="62">
        <v>11987.249999999996</v>
      </c>
      <c r="N165" s="62">
        <v>11987.249999999996</v>
      </c>
      <c r="O165" s="62">
        <v>11987.249999999996</v>
      </c>
      <c r="P165" s="62">
        <v>11987.249999999996</v>
      </c>
      <c r="Q165" s="62">
        <v>11987.249999999996</v>
      </c>
      <c r="R165" s="62">
        <v>11987.249999999996</v>
      </c>
      <c r="S165" s="62">
        <v>11987.249999999996</v>
      </c>
      <c r="T165" s="62">
        <v>11987.249999999996</v>
      </c>
      <c r="U165" s="62">
        <v>11987.249999999996</v>
      </c>
      <c r="V165" s="62">
        <v>11987.249999999996</v>
      </c>
      <c r="W165" s="62">
        <v>11987.249999999996</v>
      </c>
      <c r="X165" s="62">
        <v>11987.249999999996</v>
      </c>
      <c r="Y165" s="62">
        <v>11987.249999999996</v>
      </c>
      <c r="Z165" s="62">
        <v>11987.249999999996</v>
      </c>
      <c r="AA165" s="62">
        <v>11987.249999999996</v>
      </c>
      <c r="AB165" s="62">
        <v>11987.249999999996</v>
      </c>
      <c r="AC165" s="62">
        <v>11987.249999999996</v>
      </c>
      <c r="AD165" s="62">
        <v>11987.249999999996</v>
      </c>
      <c r="AE165" s="62">
        <v>11987.249999999996</v>
      </c>
      <c r="AF165" s="62">
        <v>11987.249999999996</v>
      </c>
      <c r="AG165" s="62">
        <v>11987.249999999996</v>
      </c>
      <c r="AH165" s="62">
        <v>11987.249999999996</v>
      </c>
      <c r="AI165" s="62">
        <v>11987.249999999996</v>
      </c>
      <c r="AJ165" s="62">
        <v>11987.249999999996</v>
      </c>
      <c r="AK165" s="62">
        <v>11987.249999999996</v>
      </c>
      <c r="AL165" s="62">
        <v>11987.249999999996</v>
      </c>
      <c r="AM165" s="62">
        <v>11987.249999999996</v>
      </c>
      <c r="AN165" s="62">
        <v>11987.249999999996</v>
      </c>
      <c r="AO165" s="62">
        <v>7980</v>
      </c>
      <c r="AP165" s="62">
        <v>7979.9123249999975</v>
      </c>
      <c r="AQ165" s="62">
        <v>7979.9123249999975</v>
      </c>
      <c r="AR165" s="62">
        <v>7979.9123249999975</v>
      </c>
      <c r="AS165" s="62">
        <v>7979.9123249999975</v>
      </c>
      <c r="AT165" s="62">
        <v>7979.9123249999975</v>
      </c>
      <c r="AU165" s="62">
        <v>7979.9123249999975</v>
      </c>
      <c r="AV165" s="62">
        <v>7979.9123249999975</v>
      </c>
      <c r="AW165" s="62">
        <v>7979.9123249999975</v>
      </c>
      <c r="AX165" s="137">
        <v>7979.9123249999975</v>
      </c>
      <c r="AY165" s="62">
        <v>7979.9123249999975</v>
      </c>
      <c r="AZ165" s="62">
        <v>7979.9123249999975</v>
      </c>
      <c r="BA165" s="62">
        <v>7979.9123249999975</v>
      </c>
      <c r="BB165" s="62">
        <v>7979.9123249999975</v>
      </c>
      <c r="BC165" s="62">
        <v>7979.9123249999975</v>
      </c>
      <c r="BD165" s="62">
        <v>7979.9123249999975</v>
      </c>
      <c r="BE165" s="62">
        <v>7979.9123249999975</v>
      </c>
      <c r="BF165" s="62">
        <v>7979.9123249999975</v>
      </c>
      <c r="BG165" s="137">
        <v>7979.9123249999975</v>
      </c>
      <c r="BH165" s="137">
        <v>7979.9123249999975</v>
      </c>
      <c r="BI165" s="137">
        <v>7979.9123249999975</v>
      </c>
      <c r="BJ165" s="137">
        <v>7979.9123249999975</v>
      </c>
      <c r="BK165" s="137">
        <v>7979.9123249999975</v>
      </c>
      <c r="BL165" s="137">
        <v>7979.9123249999975</v>
      </c>
      <c r="BM165" s="137">
        <v>7979.9123249999975</v>
      </c>
      <c r="BN165" s="137">
        <v>7979.9123249999975</v>
      </c>
      <c r="BO165" s="137">
        <v>7979.9123249999975</v>
      </c>
      <c r="BP165" s="137">
        <v>7979.9123249999975</v>
      </c>
      <c r="BQ165" s="137">
        <v>7979.9123249999975</v>
      </c>
      <c r="BR165" s="137">
        <v>7979.9123249999975</v>
      </c>
      <c r="BS165" s="137">
        <v>7979.9123249999975</v>
      </c>
      <c r="BT165" s="137">
        <v>7979.9123249999975</v>
      </c>
      <c r="BU165" s="137">
        <v>7979.9123249999975</v>
      </c>
      <c r="BV165" s="137">
        <v>7979.9123249999975</v>
      </c>
      <c r="BW165" s="137">
        <v>7979.9123249999975</v>
      </c>
      <c r="BX165" s="137">
        <v>7979.9123249999975</v>
      </c>
    </row>
    <row r="166" spans="1:76 16122:16122" ht="15" hidden="1" customHeight="1" outlineLevel="1">
      <c r="A166" t="s">
        <v>252</v>
      </c>
      <c r="B166" s="38" t="s">
        <v>7</v>
      </c>
      <c r="C166" s="62">
        <v>8385.82</v>
      </c>
      <c r="D166" s="62">
        <v>8385.82</v>
      </c>
      <c r="E166" s="62">
        <v>8385.82</v>
      </c>
      <c r="F166" s="62">
        <v>8385.82</v>
      </c>
      <c r="G166" s="62">
        <v>8385.82</v>
      </c>
      <c r="H166" s="62">
        <v>8385.82</v>
      </c>
      <c r="I166" s="62">
        <v>8385.82</v>
      </c>
      <c r="J166" s="62">
        <v>8385.82</v>
      </c>
      <c r="K166" s="62">
        <v>8385.82</v>
      </c>
      <c r="L166" s="62">
        <v>8385.82</v>
      </c>
      <c r="M166" s="62">
        <v>8385.82</v>
      </c>
      <c r="N166" s="62">
        <v>8385.82</v>
      </c>
      <c r="O166" s="62">
        <v>8385.82</v>
      </c>
      <c r="P166" s="62">
        <v>8385.82</v>
      </c>
      <c r="Q166" s="62">
        <v>8385.82</v>
      </c>
      <c r="R166" s="62">
        <v>8385.82</v>
      </c>
      <c r="S166" s="62">
        <v>8385.82</v>
      </c>
      <c r="T166" s="62">
        <v>8385.82</v>
      </c>
      <c r="U166" s="62">
        <v>8385.82</v>
      </c>
      <c r="V166" s="62">
        <v>8385.82</v>
      </c>
      <c r="W166" s="62">
        <v>8385.82</v>
      </c>
      <c r="X166" s="62">
        <v>8385.82</v>
      </c>
      <c r="Y166" s="62">
        <v>8385.82</v>
      </c>
      <c r="Z166" s="62">
        <v>8385.82</v>
      </c>
      <c r="AA166" s="62">
        <v>8385.82</v>
      </c>
      <c r="AB166" s="62">
        <v>8385.82</v>
      </c>
      <c r="AC166" s="62">
        <v>8385.82</v>
      </c>
      <c r="AD166" s="62">
        <v>8385.82</v>
      </c>
      <c r="AE166" s="62">
        <v>8385.82</v>
      </c>
      <c r="AF166" s="62">
        <v>8385.82</v>
      </c>
      <c r="AG166" s="62">
        <v>8385.82</v>
      </c>
      <c r="AH166" s="62">
        <v>8385.82</v>
      </c>
      <c r="AI166" s="62">
        <v>8385.82</v>
      </c>
      <c r="AJ166" s="62">
        <v>8385.82</v>
      </c>
      <c r="AK166" s="62">
        <v>8386</v>
      </c>
      <c r="AL166" s="62">
        <v>8386</v>
      </c>
      <c r="AM166" s="62">
        <v>8385.82</v>
      </c>
      <c r="AN166" s="62">
        <v>8385.82</v>
      </c>
      <c r="AO166" s="62">
        <v>5582</v>
      </c>
      <c r="AP166" s="62">
        <v>5582.4403739999998</v>
      </c>
      <c r="AQ166" s="62">
        <v>5582.4403739999998</v>
      </c>
      <c r="AR166" s="62">
        <v>5582.4403739999998</v>
      </c>
      <c r="AS166" s="62">
        <v>5582.4403739999998</v>
      </c>
      <c r="AT166" s="62">
        <v>5582.4403739999998</v>
      </c>
      <c r="AU166" s="62">
        <v>5582.4403739999998</v>
      </c>
      <c r="AV166" s="62">
        <v>5582.4403739999998</v>
      </c>
      <c r="AW166" s="62">
        <v>5582.4403739999998</v>
      </c>
      <c r="AX166" s="137">
        <v>5582.4403739999998</v>
      </c>
      <c r="AY166" s="62">
        <v>5582.4403739999998</v>
      </c>
      <c r="AZ166" s="62">
        <v>5582.4403739999998</v>
      </c>
      <c r="BA166" s="62">
        <v>5582.4403739999998</v>
      </c>
      <c r="BB166" s="62">
        <v>5582.4403739999998</v>
      </c>
      <c r="BC166" s="62">
        <v>5582.4403739999998</v>
      </c>
      <c r="BD166" s="62">
        <v>5582.4403739999998</v>
      </c>
      <c r="BE166" s="62">
        <v>5582.4403739999998</v>
      </c>
      <c r="BF166" s="62">
        <v>5582.4403739999998</v>
      </c>
      <c r="BG166" s="137">
        <v>5582.4403739999998</v>
      </c>
      <c r="BH166" s="137">
        <v>5582.4403739999998</v>
      </c>
      <c r="BI166" s="137">
        <v>5582.4403739999998</v>
      </c>
      <c r="BJ166" s="137">
        <v>5582.4403739999998</v>
      </c>
      <c r="BK166" s="137">
        <v>5582.4403739999998</v>
      </c>
      <c r="BL166" s="137">
        <v>5582.4403739999998</v>
      </c>
      <c r="BM166" s="137">
        <v>5582.4403739999998</v>
      </c>
      <c r="BN166" s="137">
        <v>5582.4403739999998</v>
      </c>
      <c r="BO166" s="137">
        <v>5582.4403739999998</v>
      </c>
      <c r="BP166" s="137">
        <v>5582.4403739999998</v>
      </c>
      <c r="BQ166" s="137">
        <v>5582.4403739999998</v>
      </c>
      <c r="BR166" s="137">
        <v>5582.4403739999998</v>
      </c>
      <c r="BS166" s="137">
        <v>5582.4403739999998</v>
      </c>
      <c r="BT166" s="137">
        <v>5582.4403739999998</v>
      </c>
      <c r="BU166" s="137">
        <v>5582.4403739999998</v>
      </c>
      <c r="BV166" s="137">
        <v>5582.4403739999998</v>
      </c>
      <c r="BW166" s="137">
        <v>5582.4403739999998</v>
      </c>
      <c r="BX166" s="137">
        <v>5582.4403739999998</v>
      </c>
    </row>
    <row r="167" spans="1:76 16122:16122" ht="15" hidden="1" customHeight="1" outlineLevel="1">
      <c r="A167" t="s">
        <v>18</v>
      </c>
      <c r="B167" s="38" t="s">
        <v>29</v>
      </c>
      <c r="C167" s="61">
        <v>2923</v>
      </c>
      <c r="D167" s="61">
        <v>2923</v>
      </c>
      <c r="E167" s="61">
        <v>2923</v>
      </c>
      <c r="F167" s="61">
        <v>2923</v>
      </c>
      <c r="G167" s="61">
        <v>2923</v>
      </c>
      <c r="H167" s="61">
        <v>2923</v>
      </c>
      <c r="I167" s="61">
        <v>2923</v>
      </c>
      <c r="J167" s="61">
        <v>2923</v>
      </c>
      <c r="K167" s="61">
        <v>2923</v>
      </c>
      <c r="L167" s="61">
        <v>2923</v>
      </c>
      <c r="M167" s="61">
        <v>2923</v>
      </c>
      <c r="N167" s="61">
        <v>2923</v>
      </c>
      <c r="O167" s="61">
        <v>2923</v>
      </c>
      <c r="P167" s="61">
        <v>2923</v>
      </c>
      <c r="Q167" s="61">
        <v>2923</v>
      </c>
      <c r="R167" s="61">
        <v>2923</v>
      </c>
      <c r="S167" s="61">
        <v>2923</v>
      </c>
      <c r="T167" s="61">
        <v>2923</v>
      </c>
      <c r="U167" s="61">
        <v>2923</v>
      </c>
      <c r="V167" s="61">
        <v>2923</v>
      </c>
      <c r="W167" s="61">
        <v>2923</v>
      </c>
      <c r="X167" s="61">
        <v>2923</v>
      </c>
      <c r="Y167" s="61">
        <v>2923</v>
      </c>
      <c r="Z167" s="61">
        <v>2923</v>
      </c>
      <c r="AA167" s="61">
        <v>2923</v>
      </c>
      <c r="AB167" s="61">
        <v>2923</v>
      </c>
      <c r="AC167" s="61">
        <v>2923</v>
      </c>
      <c r="AD167" s="61">
        <v>2923</v>
      </c>
      <c r="AE167" s="61">
        <v>2923</v>
      </c>
      <c r="AF167" s="61">
        <v>2923.36</v>
      </c>
      <c r="AG167" s="61">
        <v>2923</v>
      </c>
      <c r="AH167" s="61">
        <v>2923</v>
      </c>
      <c r="AI167" s="61">
        <v>2923.36</v>
      </c>
      <c r="AJ167" s="62">
        <v>2923.36</v>
      </c>
      <c r="AK167" s="62">
        <v>2923</v>
      </c>
      <c r="AL167" s="62">
        <v>2923</v>
      </c>
      <c r="AM167" s="62">
        <v>2923.36</v>
      </c>
      <c r="AN167" s="62">
        <v>2923</v>
      </c>
      <c r="AO167" s="62">
        <v>1946</v>
      </c>
      <c r="AP167" s="62">
        <v>1946.0807520000001</v>
      </c>
      <c r="AQ167" s="62">
        <v>1946.0807520000001</v>
      </c>
      <c r="AR167" s="62">
        <v>1946.0807520000001</v>
      </c>
      <c r="AS167" s="62">
        <v>1946.0807520000001</v>
      </c>
      <c r="AT167" s="62">
        <v>1946.0807520000001</v>
      </c>
      <c r="AU167" s="62">
        <v>1946.0807520000001</v>
      </c>
      <c r="AV167" s="62">
        <v>1946.0807520000001</v>
      </c>
      <c r="AW167" s="62">
        <v>1946.0807520000001</v>
      </c>
      <c r="AX167" s="137">
        <v>0</v>
      </c>
      <c r="AY167" s="62">
        <v>0</v>
      </c>
      <c r="AZ167" s="62">
        <v>0</v>
      </c>
      <c r="BA167" s="62">
        <v>0</v>
      </c>
      <c r="BB167" s="62">
        <v>0</v>
      </c>
      <c r="BC167" s="62">
        <v>0</v>
      </c>
      <c r="BD167" s="62">
        <v>0</v>
      </c>
      <c r="BE167" s="62">
        <v>0</v>
      </c>
      <c r="BF167" s="62">
        <v>0</v>
      </c>
      <c r="BG167" s="137">
        <v>0</v>
      </c>
      <c r="BH167" s="137">
        <v>0</v>
      </c>
      <c r="BI167" s="137">
        <v>0</v>
      </c>
      <c r="BJ167" s="137">
        <v>0</v>
      </c>
      <c r="BK167" s="137">
        <v>0</v>
      </c>
      <c r="BL167" s="137">
        <v>0</v>
      </c>
      <c r="BM167" s="137">
        <v>0</v>
      </c>
      <c r="BN167" s="137">
        <v>0</v>
      </c>
      <c r="BO167" s="137">
        <v>0</v>
      </c>
      <c r="BP167" s="137">
        <v>0</v>
      </c>
      <c r="BQ167" s="137">
        <v>0</v>
      </c>
      <c r="BR167" s="137">
        <v>0</v>
      </c>
      <c r="BS167" s="137">
        <v>0</v>
      </c>
      <c r="BT167" s="137">
        <v>0</v>
      </c>
      <c r="BU167" s="137">
        <v>0</v>
      </c>
      <c r="BV167" s="137">
        <v>0</v>
      </c>
      <c r="BW167" s="137">
        <v>0</v>
      </c>
      <c r="BX167" s="137">
        <v>0</v>
      </c>
    </row>
    <row r="168" spans="1:76 16122:16122" ht="15" hidden="1" customHeight="1" outlineLevel="1">
      <c r="A168" t="s">
        <v>254</v>
      </c>
      <c r="B168" s="38" t="s">
        <v>9</v>
      </c>
      <c r="C168" s="62">
        <v>5292.53</v>
      </c>
      <c r="D168" s="62">
        <v>5292.53</v>
      </c>
      <c r="E168" s="62">
        <v>5292.53</v>
      </c>
      <c r="F168" s="62">
        <v>5292.53</v>
      </c>
      <c r="G168" s="62">
        <v>5292.53</v>
      </c>
      <c r="H168" s="62">
        <v>5292.53</v>
      </c>
      <c r="I168" s="62">
        <v>5292.53</v>
      </c>
      <c r="J168" s="62">
        <v>5292.53</v>
      </c>
      <c r="K168" s="62">
        <v>5292.53</v>
      </c>
      <c r="L168" s="62">
        <v>5292.53</v>
      </c>
      <c r="M168" s="62">
        <v>5292.53</v>
      </c>
      <c r="N168" s="62">
        <v>5292.53</v>
      </c>
      <c r="O168" s="62">
        <v>5292.53</v>
      </c>
      <c r="P168" s="62">
        <v>5292.53</v>
      </c>
      <c r="Q168" s="62">
        <v>5292.53</v>
      </c>
      <c r="R168" s="62">
        <v>5292.53</v>
      </c>
      <c r="S168" s="62">
        <v>5292.53</v>
      </c>
      <c r="T168" s="62">
        <v>5292.53</v>
      </c>
      <c r="U168" s="62">
        <v>5292.53</v>
      </c>
      <c r="V168" s="62">
        <v>5292.53</v>
      </c>
      <c r="W168" s="62">
        <v>5292.53</v>
      </c>
      <c r="X168" s="62">
        <v>5292.53</v>
      </c>
      <c r="Y168" s="62">
        <v>5292.53</v>
      </c>
      <c r="Z168" s="62">
        <v>5292.53</v>
      </c>
      <c r="AA168" s="62">
        <v>5292.53</v>
      </c>
      <c r="AB168" s="62">
        <v>5292.53</v>
      </c>
      <c r="AC168" s="62">
        <v>5292.53</v>
      </c>
      <c r="AD168" s="62">
        <v>5292.53</v>
      </c>
      <c r="AE168" s="62">
        <v>5292.53</v>
      </c>
      <c r="AF168" s="62">
        <v>5292.53</v>
      </c>
      <c r="AG168" s="62">
        <v>5292.53</v>
      </c>
      <c r="AH168" s="62">
        <v>5292.53</v>
      </c>
      <c r="AI168" s="62">
        <v>5292.53</v>
      </c>
      <c r="AJ168" s="62">
        <v>5292.53</v>
      </c>
      <c r="AK168" s="62">
        <v>5292.53</v>
      </c>
      <c r="AL168" s="62">
        <v>5292.53</v>
      </c>
      <c r="AM168" s="62">
        <v>5292.53</v>
      </c>
      <c r="AN168" s="62">
        <v>5293</v>
      </c>
      <c r="AO168" s="62">
        <v>5293</v>
      </c>
      <c r="AP168" s="62">
        <v>5292.5300000000007</v>
      </c>
      <c r="AQ168" s="62">
        <v>5292.5300000000007</v>
      </c>
      <c r="AR168" s="62">
        <v>5292.5300000000007</v>
      </c>
      <c r="AS168" s="62">
        <v>5292.5300000000007</v>
      </c>
      <c r="AT168" s="62">
        <v>5292.5300000000007</v>
      </c>
      <c r="AU168" s="62">
        <v>5292.5300000000007</v>
      </c>
      <c r="AV168" s="62">
        <v>5003</v>
      </c>
      <c r="AW168" s="62">
        <v>5003</v>
      </c>
      <c r="AX168" s="137">
        <v>5002.53</v>
      </c>
      <c r="AY168" s="62">
        <v>5002.53</v>
      </c>
      <c r="AZ168" s="62">
        <v>5002.53</v>
      </c>
      <c r="BA168" s="62">
        <v>5002.53</v>
      </c>
      <c r="BB168" s="62">
        <v>5002.53</v>
      </c>
      <c r="BC168" s="62">
        <v>5002.53</v>
      </c>
      <c r="BD168" s="62">
        <v>5002.53</v>
      </c>
      <c r="BE168" s="62">
        <v>5002.53</v>
      </c>
      <c r="BF168" s="62">
        <v>5002.53</v>
      </c>
      <c r="BG168" s="137">
        <v>5002.53</v>
      </c>
      <c r="BH168" s="137">
        <v>5002.53</v>
      </c>
      <c r="BI168" s="137">
        <v>5002.53</v>
      </c>
      <c r="BJ168" s="137">
        <v>5002.53</v>
      </c>
      <c r="BK168" s="137">
        <v>5002.53</v>
      </c>
      <c r="BL168" s="137">
        <v>5002.53</v>
      </c>
      <c r="BM168" s="137">
        <v>5002.53</v>
      </c>
      <c r="BN168" s="137">
        <v>5002.53</v>
      </c>
      <c r="BO168" s="137">
        <v>5002.53</v>
      </c>
      <c r="BP168" s="137">
        <v>5002.53</v>
      </c>
      <c r="BQ168" s="137">
        <v>5002.5300000000007</v>
      </c>
      <c r="BR168" s="137">
        <v>5002.5300000000007</v>
      </c>
      <c r="BS168" s="137">
        <v>2693.6699999999996</v>
      </c>
      <c r="BT168" s="137">
        <v>1924.0499999999997</v>
      </c>
      <c r="BU168" s="137">
        <v>769.61999999999989</v>
      </c>
      <c r="BV168" s="137" t="s">
        <v>321</v>
      </c>
      <c r="BW168" s="137">
        <v>0</v>
      </c>
      <c r="BX168" s="137" t="s">
        <v>321</v>
      </c>
    </row>
    <row r="169" spans="1:76 16122:16122" ht="15" hidden="1" customHeight="1" outlineLevel="1">
      <c r="A169" t="s">
        <v>255</v>
      </c>
      <c r="B169" s="38" t="s">
        <v>10</v>
      </c>
      <c r="C169" s="61">
        <v>846.06</v>
      </c>
      <c r="D169" s="61">
        <v>846.06</v>
      </c>
      <c r="E169" s="61">
        <v>846.06</v>
      </c>
      <c r="F169" s="61">
        <v>846.06</v>
      </c>
      <c r="G169" s="61">
        <v>846.06</v>
      </c>
      <c r="H169" s="61">
        <v>846.06</v>
      </c>
      <c r="I169" s="61">
        <v>846.06</v>
      </c>
      <c r="J169" s="61">
        <v>846.06</v>
      </c>
      <c r="K169" s="61">
        <v>846.06</v>
      </c>
      <c r="L169" s="61">
        <v>846.06</v>
      </c>
      <c r="M169" s="61">
        <v>846.06</v>
      </c>
      <c r="N169" s="61">
        <v>846.06</v>
      </c>
      <c r="O169" s="61">
        <v>846.06</v>
      </c>
      <c r="P169" s="61">
        <v>846.06</v>
      </c>
      <c r="Q169" s="61">
        <v>846.06</v>
      </c>
      <c r="R169" s="61">
        <v>846.06</v>
      </c>
      <c r="S169" s="61">
        <v>846.06</v>
      </c>
      <c r="T169" s="61">
        <v>846.06</v>
      </c>
      <c r="U169" s="61">
        <v>846.06</v>
      </c>
      <c r="V169" s="61">
        <v>846.06</v>
      </c>
      <c r="W169" s="61">
        <v>846.06</v>
      </c>
      <c r="X169" s="61">
        <v>846.06</v>
      </c>
      <c r="Y169" s="61">
        <v>846.06</v>
      </c>
      <c r="Z169" s="61">
        <v>846.06</v>
      </c>
      <c r="AA169" s="61">
        <v>846.06</v>
      </c>
      <c r="AB169" s="61">
        <v>846.06</v>
      </c>
      <c r="AC169" s="61">
        <v>846.06</v>
      </c>
      <c r="AD169" s="61">
        <v>846.06</v>
      </c>
      <c r="AE169" s="61">
        <v>846.06</v>
      </c>
      <c r="AF169" s="61">
        <v>846.06</v>
      </c>
      <c r="AG169" s="61">
        <v>846</v>
      </c>
      <c r="AH169" s="61">
        <v>846</v>
      </c>
      <c r="AI169" s="61">
        <v>846.06</v>
      </c>
      <c r="AJ169" s="62">
        <v>846.06</v>
      </c>
      <c r="AK169" s="62">
        <v>846</v>
      </c>
      <c r="AL169" s="62">
        <v>846</v>
      </c>
      <c r="AM169" s="62">
        <v>846.06</v>
      </c>
      <c r="AN169" s="62">
        <v>846</v>
      </c>
      <c r="AO169" s="62">
        <v>563</v>
      </c>
      <c r="AP169" s="62">
        <v>563.22214199999996</v>
      </c>
      <c r="AQ169" s="62">
        <v>563.22214199999996</v>
      </c>
      <c r="AR169" s="62">
        <v>563.22214199999996</v>
      </c>
      <c r="AS169" s="62">
        <v>563.22214199999996</v>
      </c>
      <c r="AT169" s="62">
        <v>563.22214199999996</v>
      </c>
      <c r="AU169" s="62">
        <v>563.22214199999996</v>
      </c>
      <c r="AV169" s="62">
        <v>563.22214199999996</v>
      </c>
      <c r="AW169" s="62">
        <v>563.22214199999996</v>
      </c>
      <c r="AX169" s="137">
        <v>563.22214199999996</v>
      </c>
      <c r="AY169" s="62">
        <v>563.22214199999996</v>
      </c>
      <c r="AZ169" s="62">
        <v>563.22214199999996</v>
      </c>
      <c r="BA169" s="62">
        <v>563.22214199999996</v>
      </c>
      <c r="BB169" s="62">
        <v>563.22214199999996</v>
      </c>
      <c r="BC169" s="62">
        <v>563.22214199999996</v>
      </c>
      <c r="BD169" s="62">
        <v>563.22214199999996</v>
      </c>
      <c r="BE169" s="62">
        <v>563.22214199999996</v>
      </c>
      <c r="BF169" s="62">
        <v>563.22214199999996</v>
      </c>
      <c r="BG169" s="137">
        <v>563.22214199999996</v>
      </c>
      <c r="BH169" s="137">
        <v>563.22214199999996</v>
      </c>
      <c r="BI169" s="137">
        <v>563.22214199999996</v>
      </c>
      <c r="BJ169" s="137">
        <v>563.22214199999996</v>
      </c>
      <c r="BK169" s="137">
        <v>563.22214199999996</v>
      </c>
      <c r="BL169" s="137">
        <v>563.22214199999996</v>
      </c>
      <c r="BM169" s="137">
        <v>563.22214199999996</v>
      </c>
      <c r="BN169" s="137">
        <v>563.22214199999996</v>
      </c>
      <c r="BO169" s="137">
        <v>563.22214199999996</v>
      </c>
      <c r="BP169" s="137">
        <v>563.22214199999996</v>
      </c>
      <c r="BQ169" s="137">
        <v>563.22214199999996</v>
      </c>
      <c r="BR169" s="137">
        <v>563.22214199999996</v>
      </c>
      <c r="BS169" s="137">
        <v>563.22214199999996</v>
      </c>
      <c r="BT169" s="137">
        <v>563.22214199999996</v>
      </c>
      <c r="BU169" s="137">
        <v>563.22214199999996</v>
      </c>
      <c r="BV169" s="137">
        <v>563.22214199999996</v>
      </c>
      <c r="BW169" s="137">
        <v>563.22214199999996</v>
      </c>
      <c r="BX169" s="137">
        <v>563.22214199999996</v>
      </c>
    </row>
    <row r="170" spans="1:76 16122:16122" ht="15" hidden="1" customHeight="1" outlineLevel="1">
      <c r="A170" t="s">
        <v>256</v>
      </c>
      <c r="B170" s="38" t="s">
        <v>11</v>
      </c>
      <c r="C170" s="61">
        <v>0</v>
      </c>
      <c r="D170" s="61">
        <v>3850</v>
      </c>
      <c r="E170" s="61">
        <v>3850</v>
      </c>
      <c r="F170" s="61">
        <v>3850</v>
      </c>
      <c r="G170" s="61">
        <v>3850</v>
      </c>
      <c r="H170" s="61">
        <v>3850</v>
      </c>
      <c r="I170" s="61">
        <v>3850</v>
      </c>
      <c r="J170" s="61">
        <v>3850</v>
      </c>
      <c r="K170" s="61">
        <v>3850</v>
      </c>
      <c r="L170" s="61">
        <v>3850</v>
      </c>
      <c r="M170" s="61">
        <v>3850</v>
      </c>
      <c r="N170" s="61">
        <v>3850</v>
      </c>
      <c r="O170" s="61">
        <v>3850</v>
      </c>
      <c r="P170" s="61">
        <v>3850</v>
      </c>
      <c r="Q170" s="61">
        <v>3850</v>
      </c>
      <c r="R170" s="61">
        <v>3850</v>
      </c>
      <c r="S170" s="61">
        <v>3850</v>
      </c>
      <c r="T170" s="61">
        <v>3850</v>
      </c>
      <c r="U170" s="61">
        <v>3850</v>
      </c>
      <c r="V170" s="61">
        <v>3850</v>
      </c>
      <c r="W170" s="61">
        <v>3850</v>
      </c>
      <c r="X170" s="61">
        <v>3850</v>
      </c>
      <c r="Y170" s="61">
        <v>3850</v>
      </c>
      <c r="Z170" s="61">
        <v>3850</v>
      </c>
      <c r="AA170" s="61">
        <v>3850</v>
      </c>
      <c r="AB170" s="61">
        <v>3850</v>
      </c>
      <c r="AC170" s="61">
        <v>3850</v>
      </c>
      <c r="AD170" s="61">
        <v>3850</v>
      </c>
      <c r="AE170" s="61">
        <v>3850</v>
      </c>
      <c r="AF170" s="61">
        <v>3850</v>
      </c>
      <c r="AG170" s="61">
        <v>3850</v>
      </c>
      <c r="AH170" s="61">
        <v>3850</v>
      </c>
      <c r="AI170" s="61">
        <v>3850</v>
      </c>
      <c r="AJ170" s="62">
        <v>3850</v>
      </c>
      <c r="AK170" s="62">
        <v>3850</v>
      </c>
      <c r="AL170" s="62">
        <v>3850</v>
      </c>
      <c r="AM170" s="62">
        <v>3850</v>
      </c>
      <c r="AN170" s="62">
        <v>3850</v>
      </c>
      <c r="AO170" s="62">
        <v>2563</v>
      </c>
      <c r="AP170" s="62">
        <v>2562.9449999999997</v>
      </c>
      <c r="AQ170" s="62">
        <v>2562.9449999999997</v>
      </c>
      <c r="AR170" s="62">
        <v>2562.9449999999997</v>
      </c>
      <c r="AS170" s="62">
        <v>2562.9449999999997</v>
      </c>
      <c r="AT170" s="62">
        <v>2562.9449999999997</v>
      </c>
      <c r="AU170" s="62">
        <v>2562.9449999999997</v>
      </c>
      <c r="AV170" s="62">
        <v>2562.9449999999997</v>
      </c>
      <c r="AW170" s="62">
        <v>2562.9449999999997</v>
      </c>
      <c r="AX170" s="137">
        <v>2562.9449999999997</v>
      </c>
      <c r="AY170" s="62">
        <v>2562.9449999999997</v>
      </c>
      <c r="AZ170" s="62">
        <v>2562.9449999999997</v>
      </c>
      <c r="BA170" s="62">
        <v>2562.9449999999997</v>
      </c>
      <c r="BB170" s="62">
        <v>2562.9449999999997</v>
      </c>
      <c r="BC170" s="62">
        <v>2562.9449999999997</v>
      </c>
      <c r="BD170" s="62">
        <v>2562.9449999999997</v>
      </c>
      <c r="BE170" s="62">
        <v>2562.9449999999997</v>
      </c>
      <c r="BF170" s="62">
        <v>2562.9449999999997</v>
      </c>
      <c r="BG170" s="137">
        <v>2562.9449999999997</v>
      </c>
      <c r="BH170" s="137">
        <v>2562.9449999999997</v>
      </c>
      <c r="BI170" s="137">
        <v>2562.9449999999997</v>
      </c>
      <c r="BJ170" s="137">
        <v>2562.9449999999997</v>
      </c>
      <c r="BK170" s="137">
        <v>2562.9449999999997</v>
      </c>
      <c r="BL170" s="137">
        <v>2562.9449999999997</v>
      </c>
      <c r="BM170" s="137">
        <v>2562.9449999999997</v>
      </c>
      <c r="BN170" s="137">
        <v>0</v>
      </c>
      <c r="BO170" s="137">
        <v>0</v>
      </c>
      <c r="BP170" s="137">
        <v>0</v>
      </c>
      <c r="BQ170" s="137">
        <v>0</v>
      </c>
      <c r="BR170" s="137">
        <v>0</v>
      </c>
      <c r="BS170" s="137">
        <v>0</v>
      </c>
      <c r="BT170" s="137">
        <v>0</v>
      </c>
      <c r="BU170" s="137">
        <v>0</v>
      </c>
      <c r="BV170" s="137">
        <v>0</v>
      </c>
      <c r="BW170" s="137">
        <v>0</v>
      </c>
      <c r="BX170" s="137">
        <v>0</v>
      </c>
    </row>
    <row r="171" spans="1:76 16122:16122" ht="15" hidden="1" customHeight="1" outlineLevel="1">
      <c r="A171" t="s">
        <v>18</v>
      </c>
      <c r="B171" s="38" t="s">
        <v>8</v>
      </c>
      <c r="C171" s="61">
        <v>2844</v>
      </c>
      <c r="D171" s="61">
        <v>2844</v>
      </c>
      <c r="E171" s="61">
        <v>2844</v>
      </c>
      <c r="F171" s="61">
        <v>2844</v>
      </c>
      <c r="G171" s="61">
        <v>2844</v>
      </c>
      <c r="H171" s="61">
        <v>2844</v>
      </c>
      <c r="I171" s="61">
        <v>2844</v>
      </c>
      <c r="J171" s="61">
        <v>2844</v>
      </c>
      <c r="K171" s="61">
        <v>2844</v>
      </c>
      <c r="L171" s="61">
        <v>2844</v>
      </c>
      <c r="M171" s="61">
        <v>2844</v>
      </c>
      <c r="N171" s="61">
        <v>2844</v>
      </c>
      <c r="O171" s="61">
        <v>2844</v>
      </c>
      <c r="P171" s="61">
        <v>2844</v>
      </c>
      <c r="Q171" s="61">
        <v>2844</v>
      </c>
      <c r="R171" s="61">
        <v>2844</v>
      </c>
      <c r="S171" s="61">
        <v>2844</v>
      </c>
      <c r="T171" s="61">
        <v>2844</v>
      </c>
      <c r="U171" s="61">
        <v>2844</v>
      </c>
      <c r="V171" s="61">
        <v>2844</v>
      </c>
      <c r="W171" s="61">
        <v>2844</v>
      </c>
      <c r="X171" s="61">
        <v>2844.05</v>
      </c>
      <c r="Y171" s="61">
        <v>2844.05</v>
      </c>
      <c r="Z171" s="61">
        <v>2844.05</v>
      </c>
      <c r="AA171" s="61">
        <v>2844.05</v>
      </c>
      <c r="AB171" s="61">
        <v>2844.05</v>
      </c>
      <c r="AC171" s="61">
        <v>2844.05</v>
      </c>
      <c r="AD171" s="61">
        <v>2844</v>
      </c>
      <c r="AE171" s="61">
        <v>2844</v>
      </c>
      <c r="AF171" s="61">
        <v>0</v>
      </c>
      <c r="AG171" s="61">
        <v>0</v>
      </c>
      <c r="AH171" s="61">
        <v>0</v>
      </c>
      <c r="AI171" s="61">
        <v>0</v>
      </c>
      <c r="AJ171" s="61">
        <v>0</v>
      </c>
      <c r="AK171" s="61">
        <v>0</v>
      </c>
      <c r="AL171" s="61">
        <v>0</v>
      </c>
      <c r="AM171" s="61">
        <v>0</v>
      </c>
      <c r="AN171" s="62">
        <v>0</v>
      </c>
      <c r="AO171" s="62">
        <v>0</v>
      </c>
      <c r="AP171" s="62">
        <v>0</v>
      </c>
      <c r="AQ171" s="62">
        <v>0</v>
      </c>
      <c r="AR171" s="62">
        <v>0</v>
      </c>
      <c r="AS171" s="62">
        <v>0</v>
      </c>
      <c r="AT171" s="62">
        <v>0</v>
      </c>
      <c r="AU171" s="62">
        <v>0</v>
      </c>
      <c r="AV171" s="62">
        <v>0</v>
      </c>
      <c r="AW171" s="62">
        <v>0</v>
      </c>
      <c r="AX171" s="137">
        <v>0</v>
      </c>
      <c r="AY171" s="62">
        <v>0</v>
      </c>
      <c r="AZ171" s="62">
        <v>0</v>
      </c>
      <c r="BA171" s="62">
        <v>0</v>
      </c>
      <c r="BB171" s="62">
        <v>0</v>
      </c>
      <c r="BC171" s="62">
        <v>0</v>
      </c>
      <c r="BD171" s="62">
        <v>0</v>
      </c>
      <c r="BE171" s="62">
        <v>0</v>
      </c>
      <c r="BF171" s="62">
        <v>0</v>
      </c>
      <c r="BG171" s="137">
        <v>0</v>
      </c>
      <c r="BH171" s="137">
        <v>0</v>
      </c>
      <c r="BI171" s="137">
        <v>0</v>
      </c>
      <c r="BJ171" s="137">
        <v>0</v>
      </c>
      <c r="BK171" s="137">
        <v>0</v>
      </c>
      <c r="BL171" s="137">
        <v>0</v>
      </c>
      <c r="BM171" s="137">
        <v>0</v>
      </c>
      <c r="BN171" s="137">
        <v>0</v>
      </c>
      <c r="BO171" s="137">
        <v>0</v>
      </c>
      <c r="BP171" s="137">
        <v>0</v>
      </c>
      <c r="BQ171" s="137">
        <v>0</v>
      </c>
      <c r="BR171" s="137">
        <v>0</v>
      </c>
      <c r="BS171" s="137">
        <v>0</v>
      </c>
      <c r="BT171" s="137">
        <v>0</v>
      </c>
      <c r="BU171" s="137">
        <v>0</v>
      </c>
      <c r="BV171" s="137">
        <v>0</v>
      </c>
      <c r="BW171" s="137">
        <v>0</v>
      </c>
      <c r="BX171" s="137">
        <v>0</v>
      </c>
    </row>
    <row r="172" spans="1:76 16122:16122" ht="15" hidden="1" customHeight="1" outlineLevel="1">
      <c r="A172" t="s">
        <v>257</v>
      </c>
      <c r="B172" s="38" t="s">
        <v>45</v>
      </c>
      <c r="C172" s="61">
        <v>0</v>
      </c>
      <c r="D172" s="61">
        <v>0</v>
      </c>
      <c r="E172" s="61">
        <v>0</v>
      </c>
      <c r="F172" s="61">
        <v>0</v>
      </c>
      <c r="G172" s="61">
        <v>0</v>
      </c>
      <c r="H172" s="61">
        <v>0</v>
      </c>
      <c r="I172" s="61">
        <v>0</v>
      </c>
      <c r="J172" s="61">
        <v>0</v>
      </c>
      <c r="K172" s="61">
        <v>0</v>
      </c>
      <c r="L172" s="61">
        <v>0</v>
      </c>
      <c r="M172" s="61">
        <v>0</v>
      </c>
      <c r="N172" s="61">
        <v>0</v>
      </c>
      <c r="O172" s="61">
        <v>0</v>
      </c>
      <c r="P172" s="61">
        <v>0</v>
      </c>
      <c r="Q172" s="61">
        <v>0</v>
      </c>
      <c r="R172" s="61">
        <v>0</v>
      </c>
      <c r="S172" s="61">
        <v>0</v>
      </c>
      <c r="T172" s="61">
        <v>0</v>
      </c>
      <c r="U172" s="61">
        <v>0</v>
      </c>
      <c r="V172" s="61">
        <v>0</v>
      </c>
      <c r="W172" s="61">
        <v>0</v>
      </c>
      <c r="X172" s="61">
        <v>0</v>
      </c>
      <c r="Y172" s="61">
        <v>0</v>
      </c>
      <c r="Z172" s="61">
        <v>0</v>
      </c>
      <c r="AA172" s="61">
        <v>0</v>
      </c>
      <c r="AB172" s="61">
        <v>0</v>
      </c>
      <c r="AC172" s="61">
        <v>0</v>
      </c>
      <c r="AD172" s="61">
        <v>0</v>
      </c>
      <c r="AE172" s="61">
        <v>0</v>
      </c>
      <c r="AF172" s="61">
        <v>0</v>
      </c>
      <c r="AG172" s="61">
        <v>0</v>
      </c>
      <c r="AH172" s="61">
        <v>0</v>
      </c>
      <c r="AI172" s="61">
        <v>0</v>
      </c>
      <c r="AJ172" s="61">
        <v>0</v>
      </c>
      <c r="AK172" s="61">
        <v>0</v>
      </c>
      <c r="AL172" s="61">
        <v>0</v>
      </c>
      <c r="AM172" s="61">
        <v>0</v>
      </c>
      <c r="AN172" s="61">
        <v>0</v>
      </c>
      <c r="AO172" s="61">
        <v>0</v>
      </c>
      <c r="AP172" s="61">
        <v>0</v>
      </c>
      <c r="AQ172" s="61">
        <v>0</v>
      </c>
      <c r="AR172" s="61">
        <v>0</v>
      </c>
      <c r="AS172" s="61">
        <v>0</v>
      </c>
      <c r="AT172" s="61">
        <v>0</v>
      </c>
      <c r="AU172" s="61">
        <v>0</v>
      </c>
      <c r="AV172" s="62">
        <v>12162</v>
      </c>
      <c r="AW172" s="62">
        <v>12162</v>
      </c>
      <c r="AX172" s="137">
        <v>12162</v>
      </c>
      <c r="AY172" s="62">
        <v>12162</v>
      </c>
      <c r="AZ172" s="62">
        <v>12162</v>
      </c>
      <c r="BA172" s="62">
        <v>12162</v>
      </c>
      <c r="BB172" s="62">
        <v>12162</v>
      </c>
      <c r="BC172" s="62">
        <v>12162</v>
      </c>
      <c r="BD172" s="62">
        <v>12162</v>
      </c>
      <c r="BE172" s="62">
        <v>12162</v>
      </c>
      <c r="BF172" s="62">
        <v>12162</v>
      </c>
      <c r="BG172" s="137">
        <v>12162</v>
      </c>
      <c r="BH172" s="137">
        <v>12162.05</v>
      </c>
      <c r="BI172" s="137">
        <v>12162.05</v>
      </c>
      <c r="BJ172" s="137">
        <v>12162.05</v>
      </c>
      <c r="BK172" s="137">
        <v>12162.05</v>
      </c>
      <c r="BL172" s="137">
        <v>12162.05</v>
      </c>
      <c r="BM172" s="137">
        <v>12162.05</v>
      </c>
      <c r="BN172" s="137">
        <v>12162.05</v>
      </c>
      <c r="BO172" s="137">
        <v>12162.05</v>
      </c>
      <c r="BP172" s="137">
        <v>12162.05</v>
      </c>
      <c r="BQ172" s="137">
        <v>12162.050000000003</v>
      </c>
      <c r="BR172" s="137">
        <v>12162.050000000003</v>
      </c>
      <c r="BS172" s="137">
        <v>12162.050000000003</v>
      </c>
      <c r="BT172" s="137">
        <v>12162.050000000003</v>
      </c>
      <c r="BU172" s="137">
        <v>12162.050000000003</v>
      </c>
      <c r="BV172" s="137">
        <v>12162.050000000003</v>
      </c>
      <c r="BW172" s="137">
        <v>12162.050000000003</v>
      </c>
      <c r="BX172" s="137">
        <v>12162.050000000003</v>
      </c>
    </row>
    <row r="173" spans="1:76 16122:16122" s="15" customFormat="1" ht="15" customHeight="1" collapsed="1">
      <c r="B173" s="80" t="s">
        <v>15</v>
      </c>
      <c r="C173" s="128">
        <f t="shared" ref="C173:BN173" si="115">SUM(C174:C181)</f>
        <v>38642</v>
      </c>
      <c r="D173" s="128">
        <f t="shared" si="115"/>
        <v>38642</v>
      </c>
      <c r="E173" s="128">
        <f t="shared" si="115"/>
        <v>38642</v>
      </c>
      <c r="F173" s="128">
        <f t="shared" si="115"/>
        <v>38642</v>
      </c>
      <c r="G173" s="128">
        <f t="shared" si="115"/>
        <v>38642</v>
      </c>
      <c r="H173" s="128">
        <f t="shared" si="115"/>
        <v>38642</v>
      </c>
      <c r="I173" s="128">
        <f t="shared" si="115"/>
        <v>38164</v>
      </c>
      <c r="J173" s="128">
        <f t="shared" si="115"/>
        <v>41851</v>
      </c>
      <c r="K173" s="128">
        <f t="shared" si="115"/>
        <v>41851</v>
      </c>
      <c r="L173" s="128">
        <f t="shared" si="115"/>
        <v>41851</v>
      </c>
      <c r="M173" s="128">
        <f t="shared" si="115"/>
        <v>42698</v>
      </c>
      <c r="N173" s="128">
        <f t="shared" si="115"/>
        <v>42698</v>
      </c>
      <c r="O173" s="128">
        <f t="shared" si="115"/>
        <v>42698</v>
      </c>
      <c r="P173" s="128">
        <f t="shared" si="115"/>
        <v>42698</v>
      </c>
      <c r="Q173" s="128">
        <f t="shared" si="115"/>
        <v>45781</v>
      </c>
      <c r="R173" s="128">
        <f t="shared" si="115"/>
        <v>45781</v>
      </c>
      <c r="S173" s="128">
        <f t="shared" si="115"/>
        <v>45781</v>
      </c>
      <c r="T173" s="128">
        <f t="shared" si="115"/>
        <v>66517</v>
      </c>
      <c r="U173" s="128">
        <f t="shared" si="115"/>
        <v>66517</v>
      </c>
      <c r="V173" s="128">
        <f t="shared" si="115"/>
        <v>75198</v>
      </c>
      <c r="W173" s="128">
        <f t="shared" si="115"/>
        <v>75198</v>
      </c>
      <c r="X173" s="128">
        <f t="shared" si="115"/>
        <v>73680</v>
      </c>
      <c r="Y173" s="128">
        <f t="shared" si="115"/>
        <v>73680.061155999996</v>
      </c>
      <c r="Z173" s="128">
        <f t="shared" si="115"/>
        <v>117315.061156</v>
      </c>
      <c r="AA173" s="128">
        <f t="shared" si="115"/>
        <v>117315.061156</v>
      </c>
      <c r="AB173" s="128">
        <f t="shared" si="115"/>
        <v>117315.061156</v>
      </c>
      <c r="AC173" s="128">
        <f t="shared" si="115"/>
        <v>118006.34216500001</v>
      </c>
      <c r="AD173" s="128">
        <f t="shared" si="115"/>
        <v>118006</v>
      </c>
      <c r="AE173" s="128">
        <f t="shared" si="115"/>
        <v>118006</v>
      </c>
      <c r="AF173" s="128">
        <f t="shared" si="115"/>
        <v>135839.62227015995</v>
      </c>
      <c r="AG173" s="128">
        <f t="shared" si="115"/>
        <v>135839.62227015995</v>
      </c>
      <c r="AH173" s="128">
        <f t="shared" si="115"/>
        <v>134884.80077015999</v>
      </c>
      <c r="AI173" s="128">
        <f t="shared" si="115"/>
        <v>134857.59803200001</v>
      </c>
      <c r="AJ173" s="128">
        <f t="shared" si="115"/>
        <v>149128.715861</v>
      </c>
      <c r="AK173" s="128">
        <f t="shared" si="115"/>
        <v>149073</v>
      </c>
      <c r="AL173" s="128">
        <f t="shared" si="115"/>
        <v>149070</v>
      </c>
      <c r="AM173" s="128">
        <f t="shared" si="115"/>
        <v>148603.1259675</v>
      </c>
      <c r="AN173" s="128">
        <f t="shared" si="115"/>
        <v>148643</v>
      </c>
      <c r="AO173" s="128">
        <f t="shared" si="115"/>
        <v>148505</v>
      </c>
      <c r="AP173" s="128">
        <f t="shared" si="115"/>
        <v>149328.54668699999</v>
      </c>
      <c r="AQ173" s="128">
        <f t="shared" si="115"/>
        <v>140821.66738699996</v>
      </c>
      <c r="AR173" s="128">
        <f t="shared" si="115"/>
        <v>141533.10520799999</v>
      </c>
      <c r="AS173" s="128">
        <f t="shared" si="115"/>
        <v>141464.08938549997</v>
      </c>
      <c r="AT173" s="128">
        <f t="shared" si="115"/>
        <v>141515.80938549998</v>
      </c>
      <c r="AU173" s="128">
        <f t="shared" si="115"/>
        <v>141165.607304</v>
      </c>
      <c r="AV173" s="128">
        <f t="shared" si="115"/>
        <v>141292.51684733335</v>
      </c>
      <c r="AW173" s="128">
        <f t="shared" si="115"/>
        <v>141564</v>
      </c>
      <c r="AX173" s="128">
        <f t="shared" si="115"/>
        <v>141557</v>
      </c>
      <c r="AY173" s="128">
        <f t="shared" si="115"/>
        <v>141574.514024</v>
      </c>
      <c r="AZ173" s="128">
        <f t="shared" si="115"/>
        <v>141580.88878466666</v>
      </c>
      <c r="BA173" s="128">
        <f t="shared" si="115"/>
        <v>141592.60481633333</v>
      </c>
      <c r="BB173" s="128">
        <f t="shared" si="115"/>
        <v>141667</v>
      </c>
      <c r="BC173" s="128">
        <f t="shared" si="115"/>
        <v>141586.607613</v>
      </c>
      <c r="BD173" s="128">
        <f t="shared" si="115"/>
        <v>141586.607613</v>
      </c>
      <c r="BE173" s="128">
        <f t="shared" si="115"/>
        <v>141453.137613</v>
      </c>
      <c r="BF173" s="128">
        <f t="shared" si="115"/>
        <v>126767.26058133334</v>
      </c>
      <c r="BG173" s="128">
        <f t="shared" si="115"/>
        <v>126805.71719433332</v>
      </c>
      <c r="BH173" s="128">
        <f t="shared" si="115"/>
        <v>126825.55571099999</v>
      </c>
      <c r="BI173" s="128">
        <f t="shared" si="115"/>
        <v>126835.752788</v>
      </c>
      <c r="BJ173" s="128">
        <f t="shared" si="115"/>
        <v>126858.04119166666</v>
      </c>
      <c r="BK173" s="128">
        <f t="shared" si="115"/>
        <v>126954.64776600001</v>
      </c>
      <c r="BL173" s="128">
        <f t="shared" si="115"/>
        <v>127038.572241</v>
      </c>
      <c r="BM173" s="128">
        <f t="shared" si="115"/>
        <v>127163.324609</v>
      </c>
      <c r="BN173" s="128">
        <f t="shared" si="115"/>
        <v>127166.87001300001</v>
      </c>
      <c r="BO173" s="128">
        <f t="shared" ref="BO173" si="116">SUM(BO174:BO181)</f>
        <v>127173.64967700001</v>
      </c>
      <c r="BP173" s="128">
        <v>29270.962478000001</v>
      </c>
      <c r="BQ173" s="128">
        <v>29308.965119287903</v>
      </c>
      <c r="BR173" s="128">
        <v>29380.791875000006</v>
      </c>
      <c r="BS173" s="128">
        <v>29373.827489000003</v>
      </c>
      <c r="BT173" s="128">
        <v>29371.553945000003</v>
      </c>
      <c r="BU173" s="128">
        <v>29367.006857</v>
      </c>
      <c r="BV173" s="128">
        <v>25505.719707999997</v>
      </c>
      <c r="BW173" s="128">
        <v>25505.714708</v>
      </c>
      <c r="BX173" s="128">
        <f>SUM(BX174:BX181)</f>
        <v>25505.997165999994</v>
      </c>
    </row>
    <row r="174" spans="1:76 16122:16122" ht="15" hidden="1" customHeight="1" outlineLevel="1">
      <c r="A174" t="s">
        <v>258</v>
      </c>
      <c r="B174" s="38" t="s">
        <v>12</v>
      </c>
      <c r="C174" s="61">
        <v>4443</v>
      </c>
      <c r="D174" s="61">
        <v>4443</v>
      </c>
      <c r="E174" s="61">
        <v>4443</v>
      </c>
      <c r="F174" s="61">
        <v>4443</v>
      </c>
      <c r="G174" s="61">
        <v>4443</v>
      </c>
      <c r="H174" s="61">
        <v>4443</v>
      </c>
      <c r="I174" s="61">
        <v>4759</v>
      </c>
      <c r="J174" s="61">
        <v>8446</v>
      </c>
      <c r="K174" s="61">
        <v>8446</v>
      </c>
      <c r="L174" s="61">
        <v>8446</v>
      </c>
      <c r="M174" s="61">
        <v>9293</v>
      </c>
      <c r="N174" s="61">
        <v>9293</v>
      </c>
      <c r="O174" s="61">
        <v>9293</v>
      </c>
      <c r="P174" s="61">
        <v>9293</v>
      </c>
      <c r="Q174" s="61">
        <v>9293</v>
      </c>
      <c r="R174" s="61">
        <v>9293</v>
      </c>
      <c r="S174" s="61">
        <v>9293</v>
      </c>
      <c r="T174" s="61">
        <v>9293</v>
      </c>
      <c r="U174" s="61">
        <v>9293</v>
      </c>
      <c r="V174" s="61">
        <v>9293</v>
      </c>
      <c r="W174" s="61">
        <v>9293</v>
      </c>
      <c r="X174" s="61">
        <v>9293</v>
      </c>
      <c r="Y174" s="61">
        <v>9292.8302999999996</v>
      </c>
      <c r="Z174" s="61">
        <v>9292.8302999999996</v>
      </c>
      <c r="AA174" s="61">
        <v>9292.8302999999996</v>
      </c>
      <c r="AB174" s="61">
        <v>9292.8302999999996</v>
      </c>
      <c r="AC174" s="61">
        <v>9294.7257000000009</v>
      </c>
      <c r="AD174" s="61">
        <v>9295</v>
      </c>
      <c r="AE174" s="61">
        <v>9295</v>
      </c>
      <c r="AF174" s="61">
        <v>9294.7699260000009</v>
      </c>
      <c r="AG174" s="61">
        <v>9294.7699260000009</v>
      </c>
      <c r="AH174" s="61">
        <v>9294.7699260000009</v>
      </c>
      <c r="AI174" s="61">
        <v>9294.7193820000011</v>
      </c>
      <c r="AJ174" s="61">
        <v>9383.1777000000002</v>
      </c>
      <c r="AK174" s="61">
        <v>9383</v>
      </c>
      <c r="AL174" s="61">
        <v>9383</v>
      </c>
      <c r="AM174" s="61">
        <v>8915.2318709999981</v>
      </c>
      <c r="AN174" s="62">
        <v>8915</v>
      </c>
      <c r="AO174" s="62">
        <v>8915</v>
      </c>
      <c r="AP174" s="62">
        <v>8915.2318709999981</v>
      </c>
      <c r="AQ174" s="62">
        <v>8915.231871</v>
      </c>
      <c r="AR174" s="62">
        <v>9174.9616919999989</v>
      </c>
      <c r="AS174" s="62">
        <v>9086.4623069999998</v>
      </c>
      <c r="AT174" s="62">
        <v>9086.4623069999998</v>
      </c>
      <c r="AU174" s="62">
        <v>9086.4623069999998</v>
      </c>
      <c r="AV174" s="62">
        <v>9150</v>
      </c>
      <c r="AW174" s="137">
        <v>9413</v>
      </c>
      <c r="AX174" s="137">
        <v>9413</v>
      </c>
      <c r="AY174" s="62">
        <v>9414.4486410000009</v>
      </c>
      <c r="AZ174" s="62">
        <v>9414.4486410000009</v>
      </c>
      <c r="BA174" s="62">
        <v>9414.1380060000029</v>
      </c>
      <c r="BB174" s="137">
        <v>9414</v>
      </c>
      <c r="BC174" s="62">
        <v>9413.5167360000014</v>
      </c>
      <c r="BD174" s="62">
        <v>9413.5167360000014</v>
      </c>
      <c r="BE174" s="62">
        <v>9413.5167360000014</v>
      </c>
      <c r="BF174" s="62">
        <v>9371.3988420000005</v>
      </c>
      <c r="BG174" s="137">
        <v>9409.8554550000008</v>
      </c>
      <c r="BH174" s="137">
        <v>9409.8554550000008</v>
      </c>
      <c r="BI174" s="137">
        <v>9412.8133320000015</v>
      </c>
      <c r="BJ174" s="137">
        <v>9418.7290859999994</v>
      </c>
      <c r="BK174" s="137">
        <v>9481.9059269999998</v>
      </c>
      <c r="BL174" s="137">
        <v>9481.9059269999998</v>
      </c>
      <c r="BM174" s="137">
        <v>9481.9059269999998</v>
      </c>
      <c r="BN174" s="137">
        <v>9481.9059270000016</v>
      </c>
      <c r="BO174" s="137">
        <v>9481.9059270000016</v>
      </c>
      <c r="BP174" s="137">
        <v>3862.9987110000002</v>
      </c>
      <c r="BQ174" s="137">
        <v>3864.1221922879013</v>
      </c>
      <c r="BR174" s="137">
        <v>3868.2565350000009</v>
      </c>
      <c r="BS174" s="137">
        <v>3861.2921490000008</v>
      </c>
      <c r="BT174" s="137">
        <v>3861.2921490000012</v>
      </c>
      <c r="BU174" s="137">
        <v>3861.2921490000012</v>
      </c>
      <c r="BV174" s="137" t="s">
        <v>321</v>
      </c>
      <c r="BW174" s="137">
        <v>0</v>
      </c>
      <c r="BX174" s="137" t="s">
        <v>321</v>
      </c>
    </row>
    <row r="175" spans="1:76 16122:16122" ht="15" hidden="1" customHeight="1" outlineLevel="1">
      <c r="A175" t="s">
        <v>259</v>
      </c>
      <c r="B175" s="38" t="s">
        <v>30</v>
      </c>
      <c r="C175" s="61">
        <v>34199</v>
      </c>
      <c r="D175" s="61">
        <v>34199</v>
      </c>
      <c r="E175" s="61">
        <v>34199</v>
      </c>
      <c r="F175" s="61">
        <v>34199</v>
      </c>
      <c r="G175" s="61">
        <v>34199</v>
      </c>
      <c r="H175" s="61">
        <v>34199</v>
      </c>
      <c r="I175" s="61">
        <v>33405</v>
      </c>
      <c r="J175" s="61">
        <v>33405</v>
      </c>
      <c r="K175" s="61">
        <v>33405</v>
      </c>
      <c r="L175" s="61">
        <v>33405</v>
      </c>
      <c r="M175" s="61">
        <v>33405</v>
      </c>
      <c r="N175" s="61">
        <v>33405</v>
      </c>
      <c r="O175" s="61">
        <v>33405</v>
      </c>
      <c r="P175" s="61">
        <v>33405</v>
      </c>
      <c r="Q175" s="61">
        <v>36488</v>
      </c>
      <c r="R175" s="61">
        <v>36488</v>
      </c>
      <c r="S175" s="61">
        <v>36488</v>
      </c>
      <c r="T175" s="61">
        <v>35811</v>
      </c>
      <c r="U175" s="61">
        <v>35811</v>
      </c>
      <c r="V175" s="61">
        <v>44492</v>
      </c>
      <c r="W175" s="61">
        <v>44492</v>
      </c>
      <c r="X175" s="61">
        <v>42974</v>
      </c>
      <c r="Y175" s="61">
        <v>42974.430855999999</v>
      </c>
      <c r="Z175" s="61">
        <v>42974.430855999999</v>
      </c>
      <c r="AA175" s="61">
        <v>42974.430855999999</v>
      </c>
      <c r="AB175" s="61">
        <v>42974.430855999999</v>
      </c>
      <c r="AC175" s="61">
        <v>42691.316464999996</v>
      </c>
      <c r="AD175" s="61">
        <v>42691</v>
      </c>
      <c r="AE175" s="61">
        <v>42691</v>
      </c>
      <c r="AF175" s="61">
        <v>42772.602844159992</v>
      </c>
      <c r="AG175" s="61">
        <v>42772.602844159992</v>
      </c>
      <c r="AH175" s="61">
        <v>42772.602844159999</v>
      </c>
      <c r="AI175" s="61">
        <v>42774.224150000002</v>
      </c>
      <c r="AJ175" s="61">
        <v>42762.555660999999</v>
      </c>
      <c r="AK175" s="61">
        <v>42753</v>
      </c>
      <c r="AL175" s="61">
        <v>42750</v>
      </c>
      <c r="AM175" s="61">
        <v>42750.104784000003</v>
      </c>
      <c r="AN175" s="62">
        <v>42686</v>
      </c>
      <c r="AO175" s="62">
        <v>42686</v>
      </c>
      <c r="AP175" s="62">
        <v>42681.798440999992</v>
      </c>
      <c r="AQ175" s="62">
        <v>42681.798440999992</v>
      </c>
      <c r="AR175" s="62">
        <v>42681.798440999992</v>
      </c>
      <c r="AS175" s="62">
        <v>42681.798440999992</v>
      </c>
      <c r="AT175" s="62">
        <v>42681.798440999992</v>
      </c>
      <c r="AU175" s="62">
        <v>42701.445547000003</v>
      </c>
      <c r="AV175" s="62">
        <v>42710.679563999998</v>
      </c>
      <c r="AW175" s="137">
        <v>42700</v>
      </c>
      <c r="AX175" s="137">
        <v>42533</v>
      </c>
      <c r="AY175" s="62">
        <v>42533.157583</v>
      </c>
      <c r="AZ175" s="62">
        <v>42533.161676999996</v>
      </c>
      <c r="BA175" s="62">
        <v>42533.161676999996</v>
      </c>
      <c r="BB175" s="137">
        <v>42533</v>
      </c>
      <c r="BC175" s="62">
        <v>42533.161676999989</v>
      </c>
      <c r="BD175" s="62">
        <v>42533.161676999989</v>
      </c>
      <c r="BE175" s="62">
        <v>42533.161676999989</v>
      </c>
      <c r="BF175" s="62">
        <v>42753.433206000002</v>
      </c>
      <c r="BG175" s="137">
        <v>42753.433205999994</v>
      </c>
      <c r="BH175" s="137">
        <v>42753.535555999995</v>
      </c>
      <c r="BI175" s="137">
        <v>42753.74025599999</v>
      </c>
      <c r="BJ175" s="137">
        <v>42753.513038999998</v>
      </c>
      <c r="BK175" s="137">
        <v>42753.513038999998</v>
      </c>
      <c r="BL175" s="137">
        <v>42760.268138999993</v>
      </c>
      <c r="BM175" s="137">
        <v>42885.020506999994</v>
      </c>
      <c r="BN175" s="137">
        <v>42888.565911000005</v>
      </c>
      <c r="BO175" s="137">
        <v>42895.345574999999</v>
      </c>
      <c r="BP175" s="137">
        <v>7169.6657670000004</v>
      </c>
      <c r="BQ175" s="137">
        <v>7206.5449269999999</v>
      </c>
      <c r="BR175" s="137">
        <v>7274.2373400000006</v>
      </c>
      <c r="BS175" s="137">
        <v>7274.2373399999997</v>
      </c>
      <c r="BT175" s="137">
        <v>7271.963796</v>
      </c>
      <c r="BU175" s="137">
        <v>7267.4167080000007</v>
      </c>
      <c r="BV175" s="137">
        <v>7267.4167080000007</v>
      </c>
      <c r="BW175" s="137">
        <v>7267.4167080000007</v>
      </c>
      <c r="BX175" s="137">
        <v>7267.6991659999994</v>
      </c>
    </row>
    <row r="176" spans="1:76 16122:16122" ht="15" hidden="1" customHeight="1" outlineLevel="1">
      <c r="A176" t="s">
        <v>18</v>
      </c>
      <c r="B176" s="38" t="s">
        <v>31</v>
      </c>
      <c r="C176" s="61">
        <v>0</v>
      </c>
      <c r="D176" s="61">
        <v>0</v>
      </c>
      <c r="E176" s="61">
        <v>0</v>
      </c>
      <c r="F176" s="61">
        <v>0</v>
      </c>
      <c r="G176" s="61">
        <v>0</v>
      </c>
      <c r="H176" s="61">
        <v>0</v>
      </c>
      <c r="I176" s="61">
        <v>0</v>
      </c>
      <c r="J176" s="61">
        <v>0</v>
      </c>
      <c r="K176" s="61">
        <v>0</v>
      </c>
      <c r="L176" s="61">
        <v>0</v>
      </c>
      <c r="M176" s="61">
        <v>0</v>
      </c>
      <c r="N176" s="61">
        <v>0</v>
      </c>
      <c r="O176" s="61">
        <v>0</v>
      </c>
      <c r="P176" s="61">
        <v>0</v>
      </c>
      <c r="Q176" s="61">
        <v>0</v>
      </c>
      <c r="R176" s="61">
        <v>0</v>
      </c>
      <c r="S176" s="61">
        <v>0</v>
      </c>
      <c r="T176" s="61">
        <v>13593</v>
      </c>
      <c r="U176" s="61">
        <v>13593</v>
      </c>
      <c r="V176" s="61">
        <v>13593</v>
      </c>
      <c r="W176" s="61">
        <v>13593</v>
      </c>
      <c r="X176" s="61">
        <v>13593</v>
      </c>
      <c r="Y176" s="61">
        <v>13592.800000000001</v>
      </c>
      <c r="Z176" s="61">
        <v>13592.800000000001</v>
      </c>
      <c r="AA176" s="61">
        <v>13592.800000000001</v>
      </c>
      <c r="AB176" s="61">
        <v>13592.800000000001</v>
      </c>
      <c r="AC176" s="61">
        <v>14119</v>
      </c>
      <c r="AD176" s="61">
        <v>14119</v>
      </c>
      <c r="AE176" s="61">
        <v>14119</v>
      </c>
      <c r="AF176" s="61">
        <v>14118.084000000001</v>
      </c>
      <c r="AG176" s="61">
        <v>14118.084000000001</v>
      </c>
      <c r="AH176" s="61">
        <v>14214.560000000001</v>
      </c>
      <c r="AI176" s="61">
        <v>14214.560000000001</v>
      </c>
      <c r="AJ176" s="61">
        <v>14214.560000000001</v>
      </c>
      <c r="AK176" s="61">
        <v>14215</v>
      </c>
      <c r="AL176" s="61">
        <v>14215</v>
      </c>
      <c r="AM176" s="61">
        <v>14214.560000000001</v>
      </c>
      <c r="AN176" s="62">
        <v>14215</v>
      </c>
      <c r="AO176" s="62">
        <v>14215</v>
      </c>
      <c r="AP176" s="62">
        <v>14214.560000000001</v>
      </c>
      <c r="AQ176" s="62">
        <v>14209.124</v>
      </c>
      <c r="AR176" s="62">
        <v>14660.832000000002</v>
      </c>
      <c r="AS176" s="62">
        <v>14618.664000000002</v>
      </c>
      <c r="AT176" s="62">
        <v>14659.736000000003</v>
      </c>
      <c r="AU176" s="62">
        <v>14778.889333333334</v>
      </c>
      <c r="AV176" s="62">
        <v>14804.504000000004</v>
      </c>
      <c r="AW176" s="137">
        <v>14805</v>
      </c>
      <c r="AX176" s="137">
        <v>14940</v>
      </c>
      <c r="AY176" s="62">
        <v>14956.292000000005</v>
      </c>
      <c r="AZ176" s="62">
        <v>14962.662666666671</v>
      </c>
      <c r="BA176" s="62">
        <v>14974.689333333336</v>
      </c>
      <c r="BB176" s="137">
        <v>14982</v>
      </c>
      <c r="BC176" s="62">
        <v>14985.004000000001</v>
      </c>
      <c r="BD176" s="62">
        <v>14985.004000000001</v>
      </c>
      <c r="BE176" s="62">
        <v>14985.004000000001</v>
      </c>
      <c r="BF176" s="62">
        <v>0</v>
      </c>
      <c r="BG176" s="137">
        <v>0</v>
      </c>
      <c r="BH176" s="137">
        <v>0</v>
      </c>
      <c r="BI176" s="137">
        <v>0</v>
      </c>
      <c r="BJ176" s="137">
        <v>0</v>
      </c>
      <c r="BK176" s="137">
        <v>0</v>
      </c>
      <c r="BL176" s="137">
        <v>0</v>
      </c>
      <c r="BM176" s="137">
        <v>0</v>
      </c>
      <c r="BN176" s="137">
        <v>0</v>
      </c>
      <c r="BO176" s="137">
        <v>0</v>
      </c>
      <c r="BP176" s="137">
        <v>0</v>
      </c>
      <c r="BQ176" s="137">
        <v>0</v>
      </c>
      <c r="BR176" s="137">
        <v>0</v>
      </c>
      <c r="BS176" s="137">
        <v>0</v>
      </c>
      <c r="BT176" s="137">
        <v>0</v>
      </c>
      <c r="BU176" s="137">
        <v>0</v>
      </c>
      <c r="BV176" s="137">
        <v>0</v>
      </c>
      <c r="BW176" s="137">
        <v>0</v>
      </c>
      <c r="BX176" s="137">
        <v>0</v>
      </c>
    </row>
    <row r="177" spans="1:76" ht="15" hidden="1" customHeight="1" outlineLevel="1">
      <c r="A177" t="s">
        <v>260</v>
      </c>
      <c r="B177" s="38" t="s">
        <v>16</v>
      </c>
      <c r="C177" s="61">
        <v>0</v>
      </c>
      <c r="D177" s="61">
        <v>0</v>
      </c>
      <c r="E177" s="61">
        <v>0</v>
      </c>
      <c r="F177" s="61">
        <v>0</v>
      </c>
      <c r="G177" s="61">
        <v>0</v>
      </c>
      <c r="H177" s="61">
        <v>0</v>
      </c>
      <c r="I177" s="61">
        <v>0</v>
      </c>
      <c r="J177" s="61">
        <v>0</v>
      </c>
      <c r="K177" s="61">
        <v>0</v>
      </c>
      <c r="L177" s="61">
        <v>0</v>
      </c>
      <c r="M177" s="61">
        <v>0</v>
      </c>
      <c r="N177" s="61">
        <v>0</v>
      </c>
      <c r="O177" s="61">
        <v>0</v>
      </c>
      <c r="P177" s="61">
        <v>0</v>
      </c>
      <c r="Q177" s="61">
        <v>0</v>
      </c>
      <c r="R177" s="61">
        <v>0</v>
      </c>
      <c r="S177" s="61">
        <v>0</v>
      </c>
      <c r="T177" s="61">
        <v>0</v>
      </c>
      <c r="U177" s="61">
        <v>0</v>
      </c>
      <c r="V177" s="61">
        <v>0</v>
      </c>
      <c r="W177" s="61">
        <v>0</v>
      </c>
      <c r="X177" s="61">
        <v>0</v>
      </c>
      <c r="Y177" s="61">
        <v>0</v>
      </c>
      <c r="Z177" s="61">
        <v>34620</v>
      </c>
      <c r="AA177" s="61">
        <v>34620</v>
      </c>
      <c r="AB177" s="61">
        <v>34620</v>
      </c>
      <c r="AC177" s="61">
        <v>35291.200000000004</v>
      </c>
      <c r="AD177" s="61">
        <v>35291</v>
      </c>
      <c r="AE177" s="61">
        <v>35291</v>
      </c>
      <c r="AF177" s="61">
        <v>35291.567999999992</v>
      </c>
      <c r="AG177" s="61">
        <v>35291.567999999992</v>
      </c>
      <c r="AH177" s="61">
        <v>35291.567999999992</v>
      </c>
      <c r="AI177" s="61">
        <v>35290.912000000004</v>
      </c>
      <c r="AJ177" s="61">
        <v>35324.800000000003</v>
      </c>
      <c r="AK177" s="61">
        <v>35291</v>
      </c>
      <c r="AL177" s="61">
        <v>35291</v>
      </c>
      <c r="AM177" s="61">
        <v>35291.384000000005</v>
      </c>
      <c r="AN177" s="62">
        <v>35308</v>
      </c>
      <c r="AO177" s="62">
        <v>35308</v>
      </c>
      <c r="AP177" s="62">
        <v>35308.352000000006</v>
      </c>
      <c r="AQ177" s="62">
        <v>35297.703999999998</v>
      </c>
      <c r="AR177" s="62">
        <v>35297.703999999998</v>
      </c>
      <c r="AS177" s="62">
        <v>35297.704000000005</v>
      </c>
      <c r="AT177" s="62">
        <v>35308.352000000006</v>
      </c>
      <c r="AU177" s="62">
        <v>35295.386666666673</v>
      </c>
      <c r="AV177" s="62">
        <v>35288.904000000002</v>
      </c>
      <c r="AW177" s="137">
        <v>35290</v>
      </c>
      <c r="AX177" s="137">
        <v>35293</v>
      </c>
      <c r="AY177" s="62">
        <v>35292.944000000003</v>
      </c>
      <c r="AZ177" s="62">
        <v>35292.944000000003</v>
      </c>
      <c r="BA177" s="62">
        <v>35292.944000000003</v>
      </c>
      <c r="BB177" s="137">
        <v>35287</v>
      </c>
      <c r="BC177" s="62">
        <v>35228.008000000002</v>
      </c>
      <c r="BD177" s="62">
        <v>35228.008000000002</v>
      </c>
      <c r="BE177" s="62">
        <v>35228.008000000002</v>
      </c>
      <c r="BF177" s="62">
        <v>35201.229333333329</v>
      </c>
      <c r="BG177" s="137">
        <v>35201.229333333329</v>
      </c>
      <c r="BH177" s="137">
        <v>35228.008000000009</v>
      </c>
      <c r="BI177" s="137">
        <v>35228</v>
      </c>
      <c r="BJ177" s="137">
        <v>35228</v>
      </c>
      <c r="BK177" s="137">
        <v>35228</v>
      </c>
      <c r="BL177" s="137">
        <v>35228</v>
      </c>
      <c r="BM177" s="137">
        <v>35228</v>
      </c>
      <c r="BN177" s="137">
        <v>35228</v>
      </c>
      <c r="BO177" s="137">
        <v>35228</v>
      </c>
      <c r="BP177" s="137">
        <v>4403.5</v>
      </c>
      <c r="BQ177" s="137">
        <v>4403.5</v>
      </c>
      <c r="BR177" s="137">
        <v>4403.5000000000009</v>
      </c>
      <c r="BS177" s="137">
        <v>4403.5000000000009</v>
      </c>
      <c r="BT177" s="137">
        <v>4403.5000000000027</v>
      </c>
      <c r="BU177" s="137">
        <v>4403.5000000000018</v>
      </c>
      <c r="BV177" s="137">
        <v>4403.505000000001</v>
      </c>
      <c r="BW177" s="137">
        <v>4403.5</v>
      </c>
      <c r="BX177" s="137">
        <v>4403.5000000000009</v>
      </c>
    </row>
    <row r="178" spans="1:76" ht="15" hidden="1" customHeight="1" outlineLevel="1">
      <c r="A178" t="s">
        <v>261</v>
      </c>
      <c r="B178" s="38" t="s">
        <v>17</v>
      </c>
      <c r="C178" s="61">
        <v>0</v>
      </c>
      <c r="D178" s="61">
        <v>0</v>
      </c>
      <c r="E178" s="61">
        <v>0</v>
      </c>
      <c r="F178" s="61">
        <v>0</v>
      </c>
      <c r="G178" s="61">
        <v>0</v>
      </c>
      <c r="H178" s="61">
        <v>0</v>
      </c>
      <c r="I178" s="61">
        <v>0</v>
      </c>
      <c r="J178" s="61">
        <v>0</v>
      </c>
      <c r="K178" s="61">
        <v>0</v>
      </c>
      <c r="L178" s="61">
        <v>0</v>
      </c>
      <c r="M178" s="61">
        <v>0</v>
      </c>
      <c r="N178" s="61">
        <v>0</v>
      </c>
      <c r="O178" s="61">
        <v>0</v>
      </c>
      <c r="P178" s="61">
        <v>0</v>
      </c>
      <c r="Q178" s="61">
        <v>0</v>
      </c>
      <c r="R178" s="61">
        <v>0</v>
      </c>
      <c r="S178" s="61">
        <v>0</v>
      </c>
      <c r="T178" s="61">
        <v>0</v>
      </c>
      <c r="U178" s="61">
        <v>0</v>
      </c>
      <c r="V178" s="61">
        <v>0</v>
      </c>
      <c r="W178" s="61">
        <v>0</v>
      </c>
      <c r="X178" s="61">
        <v>0</v>
      </c>
      <c r="Y178" s="61">
        <v>0</v>
      </c>
      <c r="Z178" s="61">
        <v>9015</v>
      </c>
      <c r="AA178" s="61">
        <v>9015</v>
      </c>
      <c r="AB178" s="61">
        <v>9015</v>
      </c>
      <c r="AC178" s="61">
        <v>9165.25</v>
      </c>
      <c r="AD178" s="61">
        <v>9165</v>
      </c>
      <c r="AE178" s="61">
        <v>9165</v>
      </c>
      <c r="AF178" s="61">
        <v>9178.5474999999988</v>
      </c>
      <c r="AG178" s="61">
        <v>9178.5474999999988</v>
      </c>
      <c r="AH178" s="61">
        <v>9164.25</v>
      </c>
      <c r="AI178" s="61">
        <v>9164.75</v>
      </c>
      <c r="AJ178" s="61">
        <v>9164.25</v>
      </c>
      <c r="AK178" s="61">
        <v>9164</v>
      </c>
      <c r="AL178" s="61">
        <v>9164</v>
      </c>
      <c r="AM178" s="61">
        <v>9164.0949999999957</v>
      </c>
      <c r="AN178" s="62">
        <v>9164</v>
      </c>
      <c r="AO178" s="62">
        <v>9349</v>
      </c>
      <c r="AP178" s="62">
        <v>9348.75</v>
      </c>
      <c r="AQ178" s="62">
        <v>9340.0099999999984</v>
      </c>
      <c r="AR178" s="62">
        <v>9340.0099999999984</v>
      </c>
      <c r="AS178" s="62">
        <v>9340.0099999999966</v>
      </c>
      <c r="AT178" s="62">
        <v>9340.0099999999984</v>
      </c>
      <c r="AU178" s="62">
        <v>9340.0099999999984</v>
      </c>
      <c r="AV178" s="62">
        <v>9340.0099999999984</v>
      </c>
      <c r="AW178" s="137">
        <v>9340</v>
      </c>
      <c r="AX178" s="137">
        <v>9340</v>
      </c>
      <c r="AY178" s="62">
        <v>9340.0099999999966</v>
      </c>
      <c r="AZ178" s="62">
        <v>9340.0099999999984</v>
      </c>
      <c r="BA178" s="62">
        <v>9340.0099999999984</v>
      </c>
      <c r="BB178" s="137">
        <v>9395</v>
      </c>
      <c r="BC178" s="62">
        <v>9362.0049999999992</v>
      </c>
      <c r="BD178" s="62">
        <v>9362.0049999999992</v>
      </c>
      <c r="BE178" s="62">
        <v>9228.5349999999999</v>
      </c>
      <c r="BF178" s="62">
        <v>9228.5349999999999</v>
      </c>
      <c r="BG178" s="137">
        <v>9228.5349999999999</v>
      </c>
      <c r="BH178" s="137">
        <v>9221.4925000000003</v>
      </c>
      <c r="BI178" s="137">
        <v>9228.5349999999999</v>
      </c>
      <c r="BJ178" s="137">
        <v>9228.5349999999999</v>
      </c>
      <c r="BK178" s="137">
        <v>9228.5349999999999</v>
      </c>
      <c r="BL178" s="137">
        <v>9228.5349999999999</v>
      </c>
      <c r="BM178" s="137">
        <v>9228.5349999999999</v>
      </c>
      <c r="BN178" s="137">
        <v>9228.534999999998</v>
      </c>
      <c r="BO178" s="137">
        <v>9228.534999999998</v>
      </c>
      <c r="BP178" s="137">
        <v>3691.4140000000002</v>
      </c>
      <c r="BQ178" s="137">
        <v>3691.4139999999993</v>
      </c>
      <c r="BR178" s="137">
        <v>3691.4140000000002</v>
      </c>
      <c r="BS178" s="137">
        <v>3691.4140000000002</v>
      </c>
      <c r="BT178" s="137">
        <v>3691.4140000000002</v>
      </c>
      <c r="BU178" s="137">
        <v>3691.4140000000002</v>
      </c>
      <c r="BV178" s="137">
        <v>3691.4140000000007</v>
      </c>
      <c r="BW178" s="137">
        <v>3691.414000000002</v>
      </c>
      <c r="BX178" s="137">
        <v>3691.4140000000007</v>
      </c>
    </row>
    <row r="179" spans="1:76" ht="15" hidden="1" customHeight="1" outlineLevel="1">
      <c r="A179" t="s">
        <v>262</v>
      </c>
      <c r="B179" s="38" t="s">
        <v>20</v>
      </c>
      <c r="C179" s="62">
        <v>0</v>
      </c>
      <c r="D179" s="62">
        <v>0</v>
      </c>
      <c r="E179" s="62">
        <v>0</v>
      </c>
      <c r="F179" s="62">
        <v>0</v>
      </c>
      <c r="G179" s="62">
        <v>0</v>
      </c>
      <c r="H179" s="62">
        <v>0</v>
      </c>
      <c r="I179" s="62">
        <v>0</v>
      </c>
      <c r="J179" s="62">
        <v>0</v>
      </c>
      <c r="K179" s="62">
        <v>0</v>
      </c>
      <c r="L179" s="62">
        <v>0</v>
      </c>
      <c r="M179" s="62">
        <v>0</v>
      </c>
      <c r="N179" s="62">
        <v>0</v>
      </c>
      <c r="O179" s="62">
        <v>0</v>
      </c>
      <c r="P179" s="62">
        <v>0</v>
      </c>
      <c r="Q179" s="62">
        <v>0</v>
      </c>
      <c r="R179" s="62">
        <v>0</v>
      </c>
      <c r="S179" s="62">
        <v>0</v>
      </c>
      <c r="T179" s="62">
        <v>0</v>
      </c>
      <c r="U179" s="62">
        <v>0</v>
      </c>
      <c r="V179" s="62">
        <v>0</v>
      </c>
      <c r="W179" s="62">
        <v>0</v>
      </c>
      <c r="X179" s="62">
        <v>0</v>
      </c>
      <c r="Y179" s="62">
        <v>0</v>
      </c>
      <c r="Z179" s="62">
        <v>0</v>
      </c>
      <c r="AA179" s="62">
        <v>0</v>
      </c>
      <c r="AB179" s="62">
        <v>0</v>
      </c>
      <c r="AC179" s="62">
        <v>0</v>
      </c>
      <c r="AD179" s="62">
        <v>0</v>
      </c>
      <c r="AE179" s="62">
        <v>0</v>
      </c>
      <c r="AF179" s="62">
        <v>17680.659999999993</v>
      </c>
      <c r="AG179" s="62">
        <v>17680.659999999993</v>
      </c>
      <c r="AH179" s="62">
        <v>16643.66</v>
      </c>
      <c r="AI179" s="62">
        <v>16626.469999999998</v>
      </c>
      <c r="AJ179" s="62">
        <v>16626</v>
      </c>
      <c r="AK179" s="62">
        <v>16626</v>
      </c>
      <c r="AL179" s="62">
        <v>16626</v>
      </c>
      <c r="AM179" s="62">
        <v>16626.469999999998</v>
      </c>
      <c r="AN179" s="62">
        <v>16619</v>
      </c>
      <c r="AO179" s="62">
        <v>16619</v>
      </c>
      <c r="AP179" s="62">
        <v>16619.41</v>
      </c>
      <c r="AQ179" s="62">
        <v>15306.4172</v>
      </c>
      <c r="AR179" s="62">
        <v>15306.4172</v>
      </c>
      <c r="AS179" s="62">
        <v>15306.417199999998</v>
      </c>
      <c r="AT179" s="62">
        <v>15306.4172</v>
      </c>
      <c r="AU179" s="62">
        <v>15306.4172</v>
      </c>
      <c r="AV179" s="62">
        <v>15306.4172</v>
      </c>
      <c r="AW179" s="137">
        <v>15306</v>
      </c>
      <c r="AX179" s="137">
        <v>15328</v>
      </c>
      <c r="AY179" s="62">
        <v>15328.156800000001</v>
      </c>
      <c r="AZ179" s="62">
        <v>15328.156800000001</v>
      </c>
      <c r="BA179" s="62">
        <v>15328.156800000001</v>
      </c>
      <c r="BB179" s="137">
        <v>15346</v>
      </c>
      <c r="BC179" s="62">
        <v>15355.4072</v>
      </c>
      <c r="BD179" s="62">
        <v>15355.4072</v>
      </c>
      <c r="BE179" s="62">
        <v>15355.4072</v>
      </c>
      <c r="BF179" s="62">
        <v>15503.1592</v>
      </c>
      <c r="BG179" s="137">
        <v>15503.1592</v>
      </c>
      <c r="BH179" s="137">
        <v>15503.1592</v>
      </c>
      <c r="BI179" s="137">
        <v>15503.1592</v>
      </c>
      <c r="BJ179" s="137">
        <v>15519.759066666667</v>
      </c>
      <c r="BK179" s="137">
        <v>15553.1888</v>
      </c>
      <c r="BL179" s="137">
        <v>15553.1888</v>
      </c>
      <c r="BM179" s="137">
        <v>15553.1888</v>
      </c>
      <c r="BN179" s="137">
        <v>15553.1888</v>
      </c>
      <c r="BO179" s="137">
        <v>15553.1888</v>
      </c>
      <c r="BP179" s="137">
        <v>10143.384000000002</v>
      </c>
      <c r="BQ179" s="137">
        <v>10143.384000000002</v>
      </c>
      <c r="BR179" s="137">
        <v>10143.384000000002</v>
      </c>
      <c r="BS179" s="137">
        <v>10143.384</v>
      </c>
      <c r="BT179" s="137">
        <v>10143.383999999998</v>
      </c>
      <c r="BU179" s="137">
        <v>10143.383999999996</v>
      </c>
      <c r="BV179" s="137">
        <v>10143.383999999995</v>
      </c>
      <c r="BW179" s="137">
        <v>10143.383999999995</v>
      </c>
      <c r="BX179" s="137">
        <v>10143.383999999995</v>
      </c>
    </row>
    <row r="180" spans="1:76" ht="15" hidden="1" customHeight="1" outlineLevel="1">
      <c r="A180" t="s">
        <v>263</v>
      </c>
      <c r="B180" s="38" t="s">
        <v>23</v>
      </c>
      <c r="C180" s="61">
        <v>0</v>
      </c>
      <c r="D180" s="61">
        <v>0</v>
      </c>
      <c r="E180" s="61">
        <v>0</v>
      </c>
      <c r="F180" s="61">
        <v>0</v>
      </c>
      <c r="G180" s="61">
        <v>0</v>
      </c>
      <c r="H180" s="61">
        <v>0</v>
      </c>
      <c r="I180" s="61">
        <v>0</v>
      </c>
      <c r="J180" s="61">
        <v>0</v>
      </c>
      <c r="K180" s="61">
        <v>0</v>
      </c>
      <c r="L180" s="61">
        <v>0</v>
      </c>
      <c r="M180" s="61">
        <v>0</v>
      </c>
      <c r="N180" s="61">
        <v>0</v>
      </c>
      <c r="O180" s="61">
        <v>0</v>
      </c>
      <c r="P180" s="61">
        <v>0</v>
      </c>
      <c r="Q180" s="61">
        <v>0</v>
      </c>
      <c r="R180" s="61">
        <v>0</v>
      </c>
      <c r="S180" s="61">
        <v>0</v>
      </c>
      <c r="T180" s="61">
        <v>0</v>
      </c>
      <c r="U180" s="61">
        <v>0</v>
      </c>
      <c r="V180" s="61">
        <v>0</v>
      </c>
      <c r="W180" s="61">
        <v>0</v>
      </c>
      <c r="X180" s="61">
        <v>0</v>
      </c>
      <c r="Y180" s="61">
        <v>0</v>
      </c>
      <c r="Z180" s="61">
        <v>0</v>
      </c>
      <c r="AA180" s="61">
        <v>0</v>
      </c>
      <c r="AB180" s="61">
        <v>0</v>
      </c>
      <c r="AC180" s="61">
        <v>0</v>
      </c>
      <c r="AD180" s="61">
        <v>0</v>
      </c>
      <c r="AE180" s="61">
        <v>0</v>
      </c>
      <c r="AF180" s="61">
        <v>0</v>
      </c>
      <c r="AG180" s="61">
        <v>0</v>
      </c>
      <c r="AH180" s="61">
        <v>0</v>
      </c>
      <c r="AI180" s="61">
        <v>0</v>
      </c>
      <c r="AJ180" s="137">
        <v>14149.3125</v>
      </c>
      <c r="AK180" s="61">
        <v>14149</v>
      </c>
      <c r="AL180" s="61">
        <v>14149</v>
      </c>
      <c r="AM180" s="61">
        <v>14149.317812500003</v>
      </c>
      <c r="AN180" s="62">
        <v>14244</v>
      </c>
      <c r="AO180" s="62">
        <v>14244</v>
      </c>
      <c r="AP180" s="62">
        <v>15071.381874999999</v>
      </c>
      <c r="AQ180" s="62">
        <v>15071.381874999999</v>
      </c>
      <c r="AR180" s="62">
        <v>15071.381874999999</v>
      </c>
      <c r="AS180" s="62">
        <v>15133.033437500004</v>
      </c>
      <c r="AT180" s="62">
        <v>15133.0334375</v>
      </c>
      <c r="AU180" s="62">
        <v>14656.996250000002</v>
      </c>
      <c r="AV180" s="62">
        <v>14692.002083333335</v>
      </c>
      <c r="AW180" s="137">
        <v>14710</v>
      </c>
      <c r="AX180" s="137">
        <v>14710</v>
      </c>
      <c r="AY180" s="62">
        <v>14709.504999999999</v>
      </c>
      <c r="AZ180" s="62">
        <v>14709.504999999999</v>
      </c>
      <c r="BA180" s="62">
        <v>14709.504999999999</v>
      </c>
      <c r="BB180" s="137">
        <v>14710</v>
      </c>
      <c r="BC180" s="62">
        <v>14709.505000000001</v>
      </c>
      <c r="BD180" s="62">
        <v>14709.504999999999</v>
      </c>
      <c r="BE180" s="62">
        <v>14709.504999999999</v>
      </c>
      <c r="BF180" s="62">
        <v>14709.504999999999</v>
      </c>
      <c r="BG180" s="137">
        <v>14709.504999999999</v>
      </c>
      <c r="BH180" s="137">
        <v>14709.504999999999</v>
      </c>
      <c r="BI180" s="137">
        <v>14709.504999999999</v>
      </c>
      <c r="BJ180" s="137">
        <v>14709.504999999999</v>
      </c>
      <c r="BK180" s="137">
        <v>14709.504999999999</v>
      </c>
      <c r="BL180" s="137">
        <v>14786.674375000001</v>
      </c>
      <c r="BM180" s="137">
        <v>14786.674375000001</v>
      </c>
      <c r="BN180" s="137">
        <v>14786.674375000001</v>
      </c>
      <c r="BO180" s="137">
        <v>14786.674375000001</v>
      </c>
      <c r="BP180" s="137">
        <v>0</v>
      </c>
      <c r="BQ180" s="137">
        <v>0</v>
      </c>
      <c r="BR180" s="137">
        <v>0</v>
      </c>
      <c r="BS180" s="137">
        <v>0</v>
      </c>
      <c r="BT180" s="137">
        <v>0</v>
      </c>
      <c r="BU180" s="137">
        <v>0</v>
      </c>
      <c r="BV180" s="137">
        <v>0</v>
      </c>
      <c r="BW180" s="137">
        <v>0</v>
      </c>
      <c r="BX180" s="137">
        <v>0</v>
      </c>
    </row>
    <row r="181" spans="1:76" ht="15" hidden="1" customHeight="1" outlineLevel="1">
      <c r="A181" t="s">
        <v>18</v>
      </c>
      <c r="B181" s="38" t="s">
        <v>13</v>
      </c>
      <c r="C181" s="61">
        <v>0</v>
      </c>
      <c r="D181" s="61">
        <v>0</v>
      </c>
      <c r="E181" s="61">
        <v>0</v>
      </c>
      <c r="F181" s="61">
        <v>0</v>
      </c>
      <c r="G181" s="61">
        <v>0</v>
      </c>
      <c r="H181" s="61">
        <v>0</v>
      </c>
      <c r="I181" s="61">
        <v>0</v>
      </c>
      <c r="J181" s="61">
        <v>0</v>
      </c>
      <c r="K181" s="61">
        <v>0</v>
      </c>
      <c r="L181" s="61">
        <v>0</v>
      </c>
      <c r="M181" s="61">
        <v>0</v>
      </c>
      <c r="N181" s="61">
        <v>0</v>
      </c>
      <c r="O181" s="61">
        <v>0</v>
      </c>
      <c r="P181" s="61">
        <v>0</v>
      </c>
      <c r="Q181" s="61">
        <v>0</v>
      </c>
      <c r="R181" s="61">
        <v>0</v>
      </c>
      <c r="S181" s="61">
        <v>0</v>
      </c>
      <c r="T181" s="61">
        <v>7820</v>
      </c>
      <c r="U181" s="61">
        <v>7820</v>
      </c>
      <c r="V181" s="61">
        <v>7820</v>
      </c>
      <c r="W181" s="61">
        <v>7820</v>
      </c>
      <c r="X181" s="61">
        <v>7820</v>
      </c>
      <c r="Y181" s="61">
        <v>7820</v>
      </c>
      <c r="Z181" s="61">
        <v>7820</v>
      </c>
      <c r="AA181" s="61">
        <v>7820</v>
      </c>
      <c r="AB181" s="61">
        <v>7820</v>
      </c>
      <c r="AC181" s="61">
        <v>7444.85</v>
      </c>
      <c r="AD181" s="61">
        <v>7445</v>
      </c>
      <c r="AE181" s="61">
        <v>7445</v>
      </c>
      <c r="AF181" s="61">
        <v>7503.3899999999994</v>
      </c>
      <c r="AG181" s="61">
        <v>7503.3899999999994</v>
      </c>
      <c r="AH181" s="61">
        <v>7503.3899999999994</v>
      </c>
      <c r="AI181" s="61">
        <v>7491.9624999999996</v>
      </c>
      <c r="AJ181" s="61">
        <v>7504.0599999999995</v>
      </c>
      <c r="AK181" s="61">
        <v>7492</v>
      </c>
      <c r="AL181" s="61">
        <v>7492</v>
      </c>
      <c r="AM181" s="61">
        <v>7491.9624999999996</v>
      </c>
      <c r="AN181" s="62">
        <v>7492</v>
      </c>
      <c r="AO181" s="62">
        <v>7169</v>
      </c>
      <c r="AP181" s="62">
        <v>7169.0625</v>
      </c>
      <c r="AQ181" s="62">
        <v>0</v>
      </c>
      <c r="AR181" s="62">
        <v>0</v>
      </c>
      <c r="AS181" s="62">
        <v>0</v>
      </c>
      <c r="AT181" s="62">
        <v>0</v>
      </c>
      <c r="AU181" s="62">
        <v>0</v>
      </c>
      <c r="AV181" s="62">
        <v>0</v>
      </c>
      <c r="AW181" s="62">
        <v>0</v>
      </c>
      <c r="AX181" s="62">
        <v>0</v>
      </c>
      <c r="AY181" s="107">
        <v>0</v>
      </c>
      <c r="AZ181" s="107">
        <v>0</v>
      </c>
      <c r="BA181" s="107">
        <v>0</v>
      </c>
      <c r="BB181" s="107">
        <v>0</v>
      </c>
      <c r="BC181" s="107">
        <v>0</v>
      </c>
      <c r="BD181" s="107">
        <v>0</v>
      </c>
      <c r="BE181" s="107">
        <v>0</v>
      </c>
      <c r="BF181" s="107">
        <v>0</v>
      </c>
      <c r="BG181" s="137">
        <v>0</v>
      </c>
      <c r="BH181" s="137">
        <v>0</v>
      </c>
      <c r="BI181" s="137">
        <v>0</v>
      </c>
      <c r="BJ181" s="137">
        <v>0</v>
      </c>
      <c r="BK181" s="137">
        <v>0</v>
      </c>
      <c r="BL181" s="137">
        <v>0</v>
      </c>
      <c r="BM181" s="137">
        <v>0</v>
      </c>
      <c r="BN181" s="137">
        <v>0</v>
      </c>
      <c r="BO181" s="137">
        <v>0</v>
      </c>
      <c r="BP181" s="137">
        <v>0</v>
      </c>
      <c r="BQ181" s="137">
        <v>0</v>
      </c>
      <c r="BR181" s="137">
        <v>0</v>
      </c>
      <c r="BS181" s="137">
        <v>0</v>
      </c>
      <c r="BT181" s="137">
        <v>0</v>
      </c>
      <c r="BU181" s="137">
        <v>0</v>
      </c>
      <c r="BV181" s="137">
        <v>0</v>
      </c>
      <c r="BW181" s="137">
        <v>0</v>
      </c>
      <c r="BX181" s="137">
        <v>0</v>
      </c>
    </row>
    <row r="182" spans="1:76" s="15" customFormat="1" ht="15" customHeight="1" collapsed="1">
      <c r="B182" s="80" t="str">
        <f>IF('Sumário | Summary'!P1=1,"Galpões Logísticos","Distribution Centers")</f>
        <v>Galpões Logísticos</v>
      </c>
      <c r="C182" s="128">
        <f t="shared" ref="C182:BN182" si="117">SUM(C183:C193)</f>
        <v>40350</v>
      </c>
      <c r="D182" s="128">
        <f t="shared" si="117"/>
        <v>40350</v>
      </c>
      <c r="E182" s="128">
        <f t="shared" si="117"/>
        <v>40350</v>
      </c>
      <c r="F182" s="128">
        <f t="shared" si="117"/>
        <v>40350</v>
      </c>
      <c r="G182" s="128">
        <f t="shared" si="117"/>
        <v>40350</v>
      </c>
      <c r="H182" s="128">
        <f t="shared" si="117"/>
        <v>40350</v>
      </c>
      <c r="I182" s="128">
        <f t="shared" si="117"/>
        <v>40350</v>
      </c>
      <c r="J182" s="128">
        <f t="shared" si="117"/>
        <v>40350</v>
      </c>
      <c r="K182" s="128">
        <f t="shared" si="117"/>
        <v>40350</v>
      </c>
      <c r="L182" s="128">
        <f t="shared" si="117"/>
        <v>40350</v>
      </c>
      <c r="M182" s="128">
        <f t="shared" si="117"/>
        <v>40350</v>
      </c>
      <c r="N182" s="128">
        <f t="shared" si="117"/>
        <v>40350</v>
      </c>
      <c r="O182" s="128">
        <f t="shared" si="117"/>
        <v>40350</v>
      </c>
      <c r="P182" s="128">
        <f t="shared" si="117"/>
        <v>40350</v>
      </c>
      <c r="Q182" s="128">
        <f t="shared" si="117"/>
        <v>54249</v>
      </c>
      <c r="R182" s="128">
        <f t="shared" si="117"/>
        <v>44711</v>
      </c>
      <c r="S182" s="128">
        <f t="shared" si="117"/>
        <v>43227</v>
      </c>
      <c r="T182" s="128">
        <f t="shared" si="117"/>
        <v>43227</v>
      </c>
      <c r="U182" s="128">
        <f t="shared" si="117"/>
        <v>43227</v>
      </c>
      <c r="V182" s="128">
        <f t="shared" si="117"/>
        <v>43227</v>
      </c>
      <c r="W182" s="128">
        <f t="shared" si="117"/>
        <v>45126</v>
      </c>
      <c r="X182" s="128">
        <f t="shared" si="117"/>
        <v>55136.439242970155</v>
      </c>
      <c r="Y182" s="128">
        <f t="shared" si="117"/>
        <v>55136.439242970155</v>
      </c>
      <c r="Z182" s="128">
        <f t="shared" si="117"/>
        <v>96553.960992970155</v>
      </c>
      <c r="AA182" s="128">
        <f t="shared" si="117"/>
        <v>96553.724242970158</v>
      </c>
      <c r="AB182" s="128">
        <f t="shared" si="117"/>
        <v>123780.39924297016</v>
      </c>
      <c r="AC182" s="128">
        <f t="shared" si="117"/>
        <v>139705.55924297016</v>
      </c>
      <c r="AD182" s="128">
        <f t="shared" si="117"/>
        <v>139706</v>
      </c>
      <c r="AE182" s="128">
        <f t="shared" si="117"/>
        <v>139706</v>
      </c>
      <c r="AF182" s="128">
        <f t="shared" si="117"/>
        <v>139713.03</v>
      </c>
      <c r="AG182" s="128">
        <f t="shared" si="117"/>
        <v>139713.03</v>
      </c>
      <c r="AH182" s="128">
        <f t="shared" si="117"/>
        <v>139713.03</v>
      </c>
      <c r="AI182" s="128">
        <f t="shared" si="117"/>
        <v>168232.03</v>
      </c>
      <c r="AJ182" s="128">
        <f t="shared" si="117"/>
        <v>212543.07</v>
      </c>
      <c r="AK182" s="128">
        <f t="shared" si="117"/>
        <v>199681</v>
      </c>
      <c r="AL182" s="128">
        <f t="shared" si="117"/>
        <v>199681</v>
      </c>
      <c r="AM182" s="128">
        <f t="shared" si="117"/>
        <v>212758</v>
      </c>
      <c r="AN182" s="128">
        <f t="shared" si="117"/>
        <v>212758</v>
      </c>
      <c r="AO182" s="128">
        <f t="shared" si="117"/>
        <v>12863</v>
      </c>
      <c r="AP182" s="128">
        <f t="shared" si="117"/>
        <v>12863</v>
      </c>
      <c r="AQ182" s="128">
        <f t="shared" si="117"/>
        <v>12863</v>
      </c>
      <c r="AR182" s="128">
        <f t="shared" si="117"/>
        <v>0</v>
      </c>
      <c r="AS182" s="128">
        <f t="shared" si="117"/>
        <v>0</v>
      </c>
      <c r="AT182" s="128">
        <f t="shared" si="117"/>
        <v>0</v>
      </c>
      <c r="AU182" s="128">
        <f t="shared" si="117"/>
        <v>0</v>
      </c>
      <c r="AV182" s="128">
        <f t="shared" si="117"/>
        <v>0</v>
      </c>
      <c r="AW182" s="128">
        <f t="shared" si="117"/>
        <v>0</v>
      </c>
      <c r="AX182" s="128">
        <f t="shared" si="117"/>
        <v>0</v>
      </c>
      <c r="AY182" s="128">
        <f t="shared" si="117"/>
        <v>0</v>
      </c>
      <c r="AZ182" s="128">
        <f t="shared" si="117"/>
        <v>0</v>
      </c>
      <c r="BA182" s="128">
        <f t="shared" si="117"/>
        <v>0</v>
      </c>
      <c r="BB182" s="128">
        <f t="shared" si="117"/>
        <v>0</v>
      </c>
      <c r="BC182" s="128">
        <f t="shared" si="117"/>
        <v>0</v>
      </c>
      <c r="BD182" s="128">
        <f t="shared" si="117"/>
        <v>0</v>
      </c>
      <c r="BE182" s="128">
        <f t="shared" si="117"/>
        <v>0</v>
      </c>
      <c r="BF182" s="128">
        <f t="shared" si="117"/>
        <v>0</v>
      </c>
      <c r="BG182" s="128">
        <f t="shared" si="117"/>
        <v>0</v>
      </c>
      <c r="BH182" s="128">
        <f t="shared" si="117"/>
        <v>0</v>
      </c>
      <c r="BI182" s="128">
        <f t="shared" si="117"/>
        <v>0</v>
      </c>
      <c r="BJ182" s="128">
        <f t="shared" si="117"/>
        <v>0</v>
      </c>
      <c r="BK182" s="128">
        <f t="shared" si="117"/>
        <v>0</v>
      </c>
      <c r="BL182" s="128">
        <f t="shared" si="117"/>
        <v>0</v>
      </c>
      <c r="BM182" s="128">
        <f t="shared" si="117"/>
        <v>0</v>
      </c>
      <c r="BN182" s="128">
        <f t="shared" si="117"/>
        <v>7735.7923500000006</v>
      </c>
      <c r="BO182" s="128">
        <f t="shared" ref="BO182" si="118">SUM(BO183:BO193)</f>
        <v>7735.7923500000006</v>
      </c>
      <c r="BP182" s="128">
        <v>7735.7923500000006</v>
      </c>
      <c r="BQ182" s="128">
        <v>7735.7923500000006</v>
      </c>
      <c r="BR182" s="128">
        <v>7735.7923500000006</v>
      </c>
      <c r="BS182" s="128">
        <v>7735.785538000001</v>
      </c>
      <c r="BT182" s="128">
        <v>12625.873403</v>
      </c>
      <c r="BU182" s="128">
        <v>12625.873403</v>
      </c>
      <c r="BV182" s="128">
        <v>19021.396237999998</v>
      </c>
      <c r="BW182" s="128">
        <v>21886.295236000002</v>
      </c>
      <c r="BX182" s="128">
        <f t="shared" ref="BX182" si="119">SUM(BX183:BX193)</f>
        <v>21847.740399999999</v>
      </c>
    </row>
    <row r="183" spans="1:76" ht="15" hidden="1" customHeight="1" outlineLevel="1">
      <c r="A183" t="s">
        <v>317</v>
      </c>
      <c r="B183" s="38" t="s">
        <v>314</v>
      </c>
      <c r="C183" s="137">
        <v>0</v>
      </c>
      <c r="D183" s="137">
        <v>0</v>
      </c>
      <c r="E183" s="137">
        <v>0</v>
      </c>
      <c r="F183" s="137">
        <v>0</v>
      </c>
      <c r="G183" s="137">
        <v>0</v>
      </c>
      <c r="H183" s="137">
        <v>0</v>
      </c>
      <c r="I183" s="137">
        <v>0</v>
      </c>
      <c r="J183" s="137">
        <v>0</v>
      </c>
      <c r="K183" s="137">
        <v>0</v>
      </c>
      <c r="L183" s="137">
        <v>0</v>
      </c>
      <c r="M183" s="137">
        <v>0</v>
      </c>
      <c r="N183" s="137">
        <v>0</v>
      </c>
      <c r="O183" s="137">
        <v>0</v>
      </c>
      <c r="P183" s="137">
        <v>0</v>
      </c>
      <c r="Q183" s="137">
        <v>0</v>
      </c>
      <c r="R183" s="137">
        <v>0</v>
      </c>
      <c r="S183" s="137">
        <v>0</v>
      </c>
      <c r="T183" s="137">
        <v>0</v>
      </c>
      <c r="U183" s="137">
        <v>0</v>
      </c>
      <c r="V183" s="137">
        <v>0</v>
      </c>
      <c r="W183" s="137">
        <v>0</v>
      </c>
      <c r="X183" s="137">
        <v>0</v>
      </c>
      <c r="Y183" s="137">
        <v>0</v>
      </c>
      <c r="Z183" s="137">
        <v>0</v>
      </c>
      <c r="AA183" s="137">
        <v>0</v>
      </c>
      <c r="AB183" s="137">
        <v>0</v>
      </c>
      <c r="AC183" s="137">
        <v>0</v>
      </c>
      <c r="AD183" s="137">
        <v>0</v>
      </c>
      <c r="AE183" s="137">
        <v>0</v>
      </c>
      <c r="AF183" s="137">
        <v>0</v>
      </c>
      <c r="AG183" s="137">
        <v>0</v>
      </c>
      <c r="AH183" s="137">
        <v>0</v>
      </c>
      <c r="AI183" s="137">
        <v>0</v>
      </c>
      <c r="AJ183" s="137">
        <v>0</v>
      </c>
      <c r="AK183" s="137">
        <v>0</v>
      </c>
      <c r="AL183" s="137">
        <v>0</v>
      </c>
      <c r="AM183" s="137">
        <v>0</v>
      </c>
      <c r="AN183" s="137">
        <v>0</v>
      </c>
      <c r="AO183" s="137">
        <v>0</v>
      </c>
      <c r="AP183" s="137">
        <v>0</v>
      </c>
      <c r="AQ183" s="137">
        <v>0</v>
      </c>
      <c r="AR183" s="137">
        <v>0</v>
      </c>
      <c r="AS183" s="137">
        <v>0</v>
      </c>
      <c r="AT183" s="137">
        <v>0</v>
      </c>
      <c r="AU183" s="137">
        <v>0</v>
      </c>
      <c r="AV183" s="137">
        <v>0</v>
      </c>
      <c r="AW183" s="137">
        <v>0</v>
      </c>
      <c r="AX183" s="137">
        <v>0</v>
      </c>
      <c r="AY183" s="137">
        <v>0</v>
      </c>
      <c r="AZ183" s="137">
        <v>0</v>
      </c>
      <c r="BA183" s="137">
        <v>0</v>
      </c>
      <c r="BB183" s="137">
        <v>0</v>
      </c>
      <c r="BC183" s="137">
        <v>0</v>
      </c>
      <c r="BD183" s="137">
        <v>0</v>
      </c>
      <c r="BE183" s="137">
        <v>0</v>
      </c>
      <c r="BF183" s="137">
        <v>0</v>
      </c>
      <c r="BG183" s="137">
        <v>0</v>
      </c>
      <c r="BH183" s="137">
        <v>0</v>
      </c>
      <c r="BI183" s="137">
        <v>0</v>
      </c>
      <c r="BJ183" s="137">
        <v>0</v>
      </c>
      <c r="BK183" s="137">
        <v>0</v>
      </c>
      <c r="BL183" s="137">
        <v>0</v>
      </c>
      <c r="BM183" s="137">
        <v>0</v>
      </c>
      <c r="BN183" s="137">
        <v>7735.7923500000006</v>
      </c>
      <c r="BO183" s="137">
        <v>7735.7923500000006</v>
      </c>
      <c r="BP183" s="137">
        <v>7735.7923500000006</v>
      </c>
      <c r="BQ183" s="137">
        <v>7735.7923500000006</v>
      </c>
      <c r="BR183" s="137">
        <v>7735.7923500000006</v>
      </c>
      <c r="BS183" s="137">
        <v>7735.785538000001</v>
      </c>
      <c r="BT183" s="137">
        <v>12625.873403</v>
      </c>
      <c r="BU183" s="137">
        <v>12625.873403</v>
      </c>
      <c r="BV183" s="137">
        <v>19021.396237999998</v>
      </c>
      <c r="BW183" s="137">
        <v>21886.295236000002</v>
      </c>
      <c r="BX183" s="137">
        <v>21847.740399999999</v>
      </c>
    </row>
    <row r="184" spans="1:76" ht="15" hidden="1" customHeight="1" outlineLevel="1">
      <c r="A184" t="s">
        <v>18</v>
      </c>
      <c r="B184" s="38" t="s">
        <v>32</v>
      </c>
      <c r="C184" s="61">
        <v>40350</v>
      </c>
      <c r="D184" s="61">
        <v>40350</v>
      </c>
      <c r="E184" s="61">
        <v>40350</v>
      </c>
      <c r="F184" s="61">
        <v>40350</v>
      </c>
      <c r="G184" s="61">
        <v>40350</v>
      </c>
      <c r="H184" s="61">
        <v>40350</v>
      </c>
      <c r="I184" s="61">
        <v>40350</v>
      </c>
      <c r="J184" s="61">
        <v>40350</v>
      </c>
      <c r="K184" s="61">
        <v>40350</v>
      </c>
      <c r="L184" s="61">
        <v>40350</v>
      </c>
      <c r="M184" s="61">
        <v>40350</v>
      </c>
      <c r="N184" s="61">
        <v>40350</v>
      </c>
      <c r="O184" s="61">
        <v>40350</v>
      </c>
      <c r="P184" s="61">
        <v>40350</v>
      </c>
      <c r="Q184" s="61">
        <v>40350</v>
      </c>
      <c r="R184" s="61">
        <v>40350</v>
      </c>
      <c r="S184" s="61">
        <v>40350</v>
      </c>
      <c r="T184" s="61">
        <v>40350</v>
      </c>
      <c r="U184" s="61">
        <v>40350</v>
      </c>
      <c r="V184" s="61">
        <v>40350</v>
      </c>
      <c r="W184" s="61">
        <v>40350</v>
      </c>
      <c r="X184" s="61">
        <v>40349.839999999997</v>
      </c>
      <c r="Y184" s="61">
        <v>40349.839999999997</v>
      </c>
      <c r="Z184" s="61">
        <v>40349.839999999997</v>
      </c>
      <c r="AA184" s="61">
        <v>40349.839999999997</v>
      </c>
      <c r="AB184" s="61">
        <v>40349.839999999997</v>
      </c>
      <c r="AC184" s="61">
        <v>40349.839999999997</v>
      </c>
      <c r="AD184" s="61">
        <v>40350</v>
      </c>
      <c r="AE184" s="61">
        <v>40350</v>
      </c>
      <c r="AF184" s="61">
        <v>40349.839999999997</v>
      </c>
      <c r="AG184" s="61">
        <v>40349.839999999997</v>
      </c>
      <c r="AH184" s="61">
        <v>40349.839999999997</v>
      </c>
      <c r="AI184" s="61">
        <v>40349.839999999997</v>
      </c>
      <c r="AJ184" s="61">
        <v>40349.839999999997</v>
      </c>
      <c r="AK184" s="61">
        <v>27487</v>
      </c>
      <c r="AL184" s="61">
        <v>27487</v>
      </c>
      <c r="AM184" s="61">
        <v>27487</v>
      </c>
      <c r="AN184" s="62">
        <v>27487</v>
      </c>
      <c r="AO184" s="62">
        <v>12863</v>
      </c>
      <c r="AP184" s="62">
        <v>12863</v>
      </c>
      <c r="AQ184" s="62">
        <v>12863</v>
      </c>
      <c r="AR184" s="62">
        <v>0</v>
      </c>
      <c r="AS184" s="62">
        <v>0</v>
      </c>
      <c r="AT184" s="62">
        <v>0</v>
      </c>
      <c r="AU184" s="62">
        <v>0</v>
      </c>
      <c r="AV184" s="62">
        <v>0</v>
      </c>
      <c r="AW184" s="62">
        <v>0</v>
      </c>
      <c r="AX184" s="62">
        <v>0</v>
      </c>
      <c r="AY184" s="107">
        <v>0</v>
      </c>
      <c r="AZ184" s="107">
        <v>0</v>
      </c>
      <c r="BA184" s="107">
        <v>0</v>
      </c>
      <c r="BB184" s="107">
        <v>0</v>
      </c>
      <c r="BC184" s="107">
        <v>0</v>
      </c>
      <c r="BD184" s="107">
        <v>0</v>
      </c>
      <c r="BE184" s="107">
        <v>0</v>
      </c>
      <c r="BF184" s="107">
        <v>0</v>
      </c>
      <c r="BG184" s="137">
        <v>0</v>
      </c>
      <c r="BH184" s="137">
        <v>0</v>
      </c>
      <c r="BI184" s="137">
        <v>0</v>
      </c>
      <c r="BJ184" s="137">
        <v>0</v>
      </c>
      <c r="BK184" s="137">
        <v>0</v>
      </c>
      <c r="BL184" s="137">
        <v>0</v>
      </c>
      <c r="BM184" s="137">
        <v>0</v>
      </c>
      <c r="BN184" s="137">
        <v>0</v>
      </c>
      <c r="BO184" s="137">
        <v>0</v>
      </c>
      <c r="BP184" s="137">
        <v>0</v>
      </c>
      <c r="BQ184" s="137">
        <v>0</v>
      </c>
      <c r="BR184" s="137">
        <v>0</v>
      </c>
      <c r="BS184" s="137">
        <v>0</v>
      </c>
      <c r="BT184" s="137">
        <v>0</v>
      </c>
      <c r="BU184" s="137">
        <v>0</v>
      </c>
      <c r="BV184" s="137">
        <v>0</v>
      </c>
      <c r="BW184" s="137">
        <v>0</v>
      </c>
      <c r="BX184" s="137">
        <v>0</v>
      </c>
    </row>
    <row r="185" spans="1:76" ht="15" hidden="1" customHeight="1" outlineLevel="1">
      <c r="A185" t="s">
        <v>18</v>
      </c>
      <c r="B185" s="38" t="s">
        <v>34</v>
      </c>
      <c r="C185" s="61">
        <v>0</v>
      </c>
      <c r="D185" s="61">
        <v>0</v>
      </c>
      <c r="E185" s="61">
        <v>0</v>
      </c>
      <c r="F185" s="61">
        <v>0</v>
      </c>
      <c r="G185" s="61">
        <v>0</v>
      </c>
      <c r="H185" s="61">
        <v>0</v>
      </c>
      <c r="I185" s="61">
        <v>0</v>
      </c>
      <c r="J185" s="61">
        <v>0</v>
      </c>
      <c r="K185" s="61">
        <v>0</v>
      </c>
      <c r="L185" s="61">
        <v>0</v>
      </c>
      <c r="M185" s="61">
        <v>0</v>
      </c>
      <c r="N185" s="61">
        <v>0</v>
      </c>
      <c r="O185" s="61">
        <v>0</v>
      </c>
      <c r="P185" s="61">
        <v>0</v>
      </c>
      <c r="Q185" s="62">
        <v>13899</v>
      </c>
      <c r="R185" s="62">
        <v>4361</v>
      </c>
      <c r="S185" s="61">
        <v>2877</v>
      </c>
      <c r="T185" s="61">
        <v>2877</v>
      </c>
      <c r="U185" s="61">
        <v>2877</v>
      </c>
      <c r="V185" s="61">
        <v>2877</v>
      </c>
      <c r="W185" s="61">
        <v>2877</v>
      </c>
      <c r="X185" s="61">
        <v>2877</v>
      </c>
      <c r="Y185" s="61">
        <v>2877</v>
      </c>
      <c r="Z185" s="61">
        <v>2876.6817499999997</v>
      </c>
      <c r="AA185" s="61">
        <v>2876.6817499999997</v>
      </c>
      <c r="AB185" s="61">
        <v>2876.6817499999997</v>
      </c>
      <c r="AC185" s="61">
        <v>2876.6817499999997</v>
      </c>
      <c r="AD185" s="61">
        <v>2877</v>
      </c>
      <c r="AE185" s="61">
        <v>2877</v>
      </c>
      <c r="AF185" s="61">
        <v>2876.6817499999997</v>
      </c>
      <c r="AG185" s="61">
        <v>2876.6817499999997</v>
      </c>
      <c r="AH185" s="61">
        <v>2876.6817499999997</v>
      </c>
      <c r="AI185" s="61">
        <v>2876.6817499999997</v>
      </c>
      <c r="AJ185" s="61">
        <v>2876.6817499999997</v>
      </c>
      <c r="AK185" s="61">
        <v>2877</v>
      </c>
      <c r="AL185" s="61">
        <v>2877</v>
      </c>
      <c r="AM185" s="61">
        <v>2877</v>
      </c>
      <c r="AN185" s="62">
        <v>2877</v>
      </c>
      <c r="AO185" s="62">
        <v>0</v>
      </c>
      <c r="AP185" s="62">
        <v>0</v>
      </c>
      <c r="AQ185" s="62">
        <v>0</v>
      </c>
      <c r="AR185" s="62">
        <v>0</v>
      </c>
      <c r="AS185" s="62">
        <v>0</v>
      </c>
      <c r="AT185" s="62">
        <v>0</v>
      </c>
      <c r="AU185" s="62">
        <v>0</v>
      </c>
      <c r="AV185" s="62">
        <v>0</v>
      </c>
      <c r="AW185" s="62">
        <v>0</v>
      </c>
      <c r="AX185" s="62">
        <v>0</v>
      </c>
      <c r="AY185" s="107">
        <v>0</v>
      </c>
      <c r="AZ185" s="107">
        <v>0</v>
      </c>
      <c r="BA185" s="107">
        <v>0</v>
      </c>
      <c r="BB185" s="107">
        <v>0</v>
      </c>
      <c r="BC185" s="107">
        <v>0</v>
      </c>
      <c r="BD185" s="107">
        <v>0</v>
      </c>
      <c r="BE185" s="107">
        <v>0</v>
      </c>
      <c r="BF185" s="107">
        <v>0</v>
      </c>
      <c r="BG185" s="137">
        <v>0</v>
      </c>
      <c r="BH185" s="137">
        <v>0</v>
      </c>
      <c r="BI185" s="137">
        <v>0</v>
      </c>
      <c r="BJ185" s="137">
        <v>0</v>
      </c>
      <c r="BK185" s="137">
        <v>0</v>
      </c>
      <c r="BL185" s="137">
        <v>0</v>
      </c>
      <c r="BM185" s="137">
        <v>0</v>
      </c>
      <c r="BN185" s="137">
        <v>0</v>
      </c>
      <c r="BO185" s="137">
        <v>0</v>
      </c>
      <c r="BP185" s="137">
        <v>0</v>
      </c>
      <c r="BQ185" s="137">
        <v>0</v>
      </c>
      <c r="BR185" s="137">
        <v>0</v>
      </c>
      <c r="BS185" s="137">
        <v>0</v>
      </c>
      <c r="BT185" s="137">
        <v>0</v>
      </c>
      <c r="BU185" s="137">
        <v>0</v>
      </c>
      <c r="BV185" s="137">
        <v>0</v>
      </c>
      <c r="BW185" s="137">
        <v>0</v>
      </c>
      <c r="BX185" s="137">
        <v>0</v>
      </c>
    </row>
    <row r="186" spans="1:76" ht="15" hidden="1" customHeight="1" outlineLevel="1">
      <c r="A186" t="s">
        <v>18</v>
      </c>
      <c r="B186" s="38" t="s">
        <v>36</v>
      </c>
      <c r="C186" s="61">
        <v>0</v>
      </c>
      <c r="D186" s="61">
        <v>0</v>
      </c>
      <c r="E186" s="61">
        <v>0</v>
      </c>
      <c r="F186" s="61">
        <v>0</v>
      </c>
      <c r="G186" s="61">
        <v>0</v>
      </c>
      <c r="H186" s="61">
        <v>0</v>
      </c>
      <c r="I186" s="61">
        <v>0</v>
      </c>
      <c r="J186" s="61">
        <v>0</v>
      </c>
      <c r="K186" s="61">
        <v>0</v>
      </c>
      <c r="L186" s="61">
        <v>0</v>
      </c>
      <c r="M186" s="61">
        <v>0</v>
      </c>
      <c r="N186" s="61">
        <v>0</v>
      </c>
      <c r="O186" s="61">
        <v>0</v>
      </c>
      <c r="P186" s="61">
        <v>0</v>
      </c>
      <c r="Q186" s="61">
        <v>0</v>
      </c>
      <c r="R186" s="61">
        <v>0</v>
      </c>
      <c r="S186" s="61">
        <v>0</v>
      </c>
      <c r="T186" s="61">
        <v>0</v>
      </c>
      <c r="U186" s="61">
        <v>0</v>
      </c>
      <c r="V186" s="61">
        <v>0</v>
      </c>
      <c r="W186" s="61">
        <v>1899</v>
      </c>
      <c r="X186" s="61">
        <v>1899.3900000000003</v>
      </c>
      <c r="Y186" s="61">
        <v>1899.3900000000003</v>
      </c>
      <c r="Z186" s="61">
        <v>1899.3900000000003</v>
      </c>
      <c r="AA186" s="61">
        <v>1899.3900000000003</v>
      </c>
      <c r="AB186" s="61">
        <v>1899.3900000000003</v>
      </c>
      <c r="AC186" s="61">
        <v>1899.3900000000003</v>
      </c>
      <c r="AD186" s="61">
        <v>1899</v>
      </c>
      <c r="AE186" s="61">
        <v>1899</v>
      </c>
      <c r="AF186" s="61">
        <v>1899.3900000000003</v>
      </c>
      <c r="AG186" s="61">
        <v>1899.3900000000003</v>
      </c>
      <c r="AH186" s="61">
        <v>1899.3900000000003</v>
      </c>
      <c r="AI186" s="61">
        <v>1899.3900000000003</v>
      </c>
      <c r="AJ186" s="61">
        <v>1899.3900000000003</v>
      </c>
      <c r="AK186" s="61">
        <v>1899</v>
      </c>
      <c r="AL186" s="61">
        <v>1899</v>
      </c>
      <c r="AM186" s="61">
        <v>1899</v>
      </c>
      <c r="AN186" s="62">
        <v>1899</v>
      </c>
      <c r="AO186" s="62">
        <v>0</v>
      </c>
      <c r="AP186" s="62">
        <v>0</v>
      </c>
      <c r="AQ186" s="62">
        <v>0</v>
      </c>
      <c r="AR186" s="62">
        <v>0</v>
      </c>
      <c r="AS186" s="62">
        <v>0</v>
      </c>
      <c r="AT186" s="62">
        <v>0</v>
      </c>
      <c r="AU186" s="62">
        <v>0</v>
      </c>
      <c r="AV186" s="62">
        <v>0</v>
      </c>
      <c r="AW186" s="62">
        <v>0</v>
      </c>
      <c r="AX186" s="62">
        <v>0</v>
      </c>
      <c r="AY186" s="107">
        <v>0</v>
      </c>
      <c r="AZ186" s="107">
        <v>0</v>
      </c>
      <c r="BA186" s="107">
        <v>0</v>
      </c>
      <c r="BB186" s="107">
        <v>0</v>
      </c>
      <c r="BC186" s="107">
        <v>0</v>
      </c>
      <c r="BD186" s="107">
        <v>0</v>
      </c>
      <c r="BE186" s="107">
        <v>0</v>
      </c>
      <c r="BF186" s="107">
        <v>0</v>
      </c>
      <c r="BG186" s="137">
        <v>0</v>
      </c>
      <c r="BH186" s="137">
        <v>0</v>
      </c>
      <c r="BI186" s="137">
        <v>0</v>
      </c>
      <c r="BJ186" s="137">
        <v>0</v>
      </c>
      <c r="BK186" s="137">
        <v>0</v>
      </c>
      <c r="BL186" s="137">
        <v>0</v>
      </c>
      <c r="BM186" s="137">
        <v>0</v>
      </c>
      <c r="BN186" s="137">
        <v>0</v>
      </c>
      <c r="BO186" s="137">
        <v>0</v>
      </c>
      <c r="BP186" s="137">
        <v>0</v>
      </c>
      <c r="BQ186" s="137">
        <v>0</v>
      </c>
      <c r="BR186" s="137">
        <v>0</v>
      </c>
      <c r="BS186" s="137">
        <v>0</v>
      </c>
      <c r="BT186" s="137">
        <v>0</v>
      </c>
      <c r="BU186" s="137">
        <v>0</v>
      </c>
      <c r="BV186" s="137">
        <v>0</v>
      </c>
      <c r="BW186" s="137">
        <v>0</v>
      </c>
      <c r="BX186" s="137">
        <v>0</v>
      </c>
    </row>
    <row r="187" spans="1:76" ht="15" hidden="1" customHeight="1" outlineLevel="1">
      <c r="A187" t="s">
        <v>18</v>
      </c>
      <c r="B187" s="38" t="s">
        <v>37</v>
      </c>
      <c r="C187" s="61">
        <v>0</v>
      </c>
      <c r="D187" s="61">
        <v>0</v>
      </c>
      <c r="E187" s="61">
        <v>0</v>
      </c>
      <c r="F187" s="61">
        <v>0</v>
      </c>
      <c r="G187" s="61">
        <v>0</v>
      </c>
      <c r="H187" s="61">
        <v>0</v>
      </c>
      <c r="I187" s="61">
        <v>0</v>
      </c>
      <c r="J187" s="61">
        <v>0</v>
      </c>
      <c r="K187" s="61">
        <v>0</v>
      </c>
      <c r="L187" s="61">
        <v>0</v>
      </c>
      <c r="M187" s="61">
        <v>0</v>
      </c>
      <c r="N187" s="61">
        <v>0</v>
      </c>
      <c r="O187" s="61">
        <v>0</v>
      </c>
      <c r="P187" s="61">
        <v>0</v>
      </c>
      <c r="Q187" s="61">
        <v>0</v>
      </c>
      <c r="R187" s="61">
        <v>0</v>
      </c>
      <c r="S187" s="61">
        <v>0</v>
      </c>
      <c r="T187" s="61">
        <v>0</v>
      </c>
      <c r="U187" s="61">
        <v>0</v>
      </c>
      <c r="V187" s="61">
        <v>0</v>
      </c>
      <c r="W187" s="61">
        <v>0</v>
      </c>
      <c r="X187" s="61">
        <v>8259.2092429701552</v>
      </c>
      <c r="Y187" s="61">
        <v>8259.2092429701552</v>
      </c>
      <c r="Z187" s="61">
        <v>8259.2092429701552</v>
      </c>
      <c r="AA187" s="61">
        <v>8259.2092429701552</v>
      </c>
      <c r="AB187" s="61">
        <v>8259.2092429701552</v>
      </c>
      <c r="AC187" s="61">
        <v>8259.2092429701552</v>
      </c>
      <c r="AD187" s="61">
        <v>8259</v>
      </c>
      <c r="AE187" s="61">
        <v>8259</v>
      </c>
      <c r="AF187" s="61">
        <v>8266.68</v>
      </c>
      <c r="AG187" s="61">
        <v>8266.68</v>
      </c>
      <c r="AH187" s="61">
        <v>8266.68</v>
      </c>
      <c r="AI187" s="61">
        <v>8266.68</v>
      </c>
      <c r="AJ187" s="61">
        <v>8266.68</v>
      </c>
      <c r="AK187" s="61">
        <v>8267</v>
      </c>
      <c r="AL187" s="61">
        <v>8267</v>
      </c>
      <c r="AM187" s="61">
        <v>8267</v>
      </c>
      <c r="AN187" s="62">
        <v>8267</v>
      </c>
      <c r="AO187" s="62">
        <v>0</v>
      </c>
      <c r="AP187" s="62">
        <v>0</v>
      </c>
      <c r="AQ187" s="62">
        <v>0</v>
      </c>
      <c r="AR187" s="62">
        <v>0</v>
      </c>
      <c r="AS187" s="62">
        <v>0</v>
      </c>
      <c r="AT187" s="62">
        <v>0</v>
      </c>
      <c r="AU187" s="62">
        <v>0</v>
      </c>
      <c r="AV187" s="62">
        <v>0</v>
      </c>
      <c r="AW187" s="62">
        <v>0</v>
      </c>
      <c r="AX187" s="62">
        <v>0</v>
      </c>
      <c r="AY187" s="107">
        <v>0</v>
      </c>
      <c r="AZ187" s="107">
        <v>0</v>
      </c>
      <c r="BA187" s="107">
        <v>0</v>
      </c>
      <c r="BB187" s="107">
        <v>0</v>
      </c>
      <c r="BC187" s="107">
        <v>0</v>
      </c>
      <c r="BD187" s="107">
        <v>0</v>
      </c>
      <c r="BE187" s="107">
        <v>0</v>
      </c>
      <c r="BF187" s="107">
        <v>0</v>
      </c>
      <c r="BG187" s="137">
        <v>0</v>
      </c>
      <c r="BH187" s="137">
        <v>0</v>
      </c>
      <c r="BI187" s="137">
        <v>0</v>
      </c>
      <c r="BJ187" s="137">
        <v>0</v>
      </c>
      <c r="BK187" s="137">
        <v>0</v>
      </c>
      <c r="BL187" s="137">
        <v>0</v>
      </c>
      <c r="BM187" s="137">
        <v>0</v>
      </c>
      <c r="BN187" s="137">
        <v>0</v>
      </c>
      <c r="BO187" s="137">
        <v>0</v>
      </c>
      <c r="BP187" s="137">
        <v>0</v>
      </c>
      <c r="BQ187" s="137">
        <v>0</v>
      </c>
      <c r="BR187" s="137">
        <v>0</v>
      </c>
      <c r="BS187" s="137">
        <v>0</v>
      </c>
      <c r="BT187" s="137">
        <v>0</v>
      </c>
      <c r="BU187" s="137">
        <v>0</v>
      </c>
      <c r="BV187" s="137">
        <v>0</v>
      </c>
      <c r="BW187" s="137">
        <v>0</v>
      </c>
      <c r="BX187" s="137">
        <v>0</v>
      </c>
    </row>
    <row r="188" spans="1:76" ht="15" hidden="1" customHeight="1" outlineLevel="1">
      <c r="A188" t="s">
        <v>18</v>
      </c>
      <c r="B188" s="38" t="s">
        <v>38</v>
      </c>
      <c r="C188" s="61">
        <v>0</v>
      </c>
      <c r="D188" s="61">
        <v>0</v>
      </c>
      <c r="E188" s="61">
        <v>0</v>
      </c>
      <c r="F188" s="61">
        <v>0</v>
      </c>
      <c r="G188" s="61">
        <v>0</v>
      </c>
      <c r="H188" s="61">
        <v>0</v>
      </c>
      <c r="I188" s="61">
        <v>0</v>
      </c>
      <c r="J188" s="61">
        <v>0</v>
      </c>
      <c r="K188" s="61">
        <v>0</v>
      </c>
      <c r="L188" s="61">
        <v>0</v>
      </c>
      <c r="M188" s="61">
        <v>0</v>
      </c>
      <c r="N188" s="61">
        <v>0</v>
      </c>
      <c r="O188" s="61">
        <v>0</v>
      </c>
      <c r="P188" s="61">
        <v>0</v>
      </c>
      <c r="Q188" s="61">
        <v>0</v>
      </c>
      <c r="R188" s="61">
        <v>0</v>
      </c>
      <c r="S188" s="61">
        <v>0</v>
      </c>
      <c r="T188" s="61">
        <v>0</v>
      </c>
      <c r="U188" s="61">
        <v>0</v>
      </c>
      <c r="V188" s="61">
        <v>0</v>
      </c>
      <c r="W188" s="61">
        <v>0</v>
      </c>
      <c r="X188" s="61">
        <v>0</v>
      </c>
      <c r="Y188" s="61">
        <v>0</v>
      </c>
      <c r="Z188" s="62">
        <v>41417.840000000004</v>
      </c>
      <c r="AA188" s="62">
        <v>41417.840000000004</v>
      </c>
      <c r="AB188" s="62">
        <v>41417.840000000004</v>
      </c>
      <c r="AC188" s="61">
        <v>57343</v>
      </c>
      <c r="AD188" s="61">
        <v>57343</v>
      </c>
      <c r="AE188" s="61">
        <v>57343</v>
      </c>
      <c r="AF188" s="61">
        <v>57343</v>
      </c>
      <c r="AG188" s="61">
        <v>57343</v>
      </c>
      <c r="AH188" s="61">
        <v>57343</v>
      </c>
      <c r="AI188" s="61">
        <v>57343</v>
      </c>
      <c r="AJ188" s="61">
        <v>57343</v>
      </c>
      <c r="AK188" s="61">
        <v>57343</v>
      </c>
      <c r="AL188" s="61">
        <v>57343</v>
      </c>
      <c r="AM188" s="61">
        <v>57343</v>
      </c>
      <c r="AN188" s="62">
        <v>57343</v>
      </c>
      <c r="AO188" s="62">
        <v>0</v>
      </c>
      <c r="AP188" s="62">
        <v>0</v>
      </c>
      <c r="AQ188" s="62">
        <v>0</v>
      </c>
      <c r="AR188" s="62">
        <v>0</v>
      </c>
      <c r="AS188" s="62">
        <v>0</v>
      </c>
      <c r="AT188" s="62">
        <v>0</v>
      </c>
      <c r="AU188" s="62">
        <v>0</v>
      </c>
      <c r="AV188" s="62">
        <v>0</v>
      </c>
      <c r="AW188" s="62">
        <v>0</v>
      </c>
      <c r="AX188" s="62">
        <v>0</v>
      </c>
      <c r="AY188" s="107">
        <v>0</v>
      </c>
      <c r="AZ188" s="107">
        <v>0</v>
      </c>
      <c r="BA188" s="107">
        <v>0</v>
      </c>
      <c r="BB188" s="107">
        <v>0</v>
      </c>
      <c r="BC188" s="107">
        <v>0</v>
      </c>
      <c r="BD188" s="107">
        <v>0</v>
      </c>
      <c r="BE188" s="107">
        <v>0</v>
      </c>
      <c r="BF188" s="107">
        <v>0</v>
      </c>
      <c r="BG188" s="137">
        <v>0</v>
      </c>
      <c r="BH188" s="137">
        <v>0</v>
      </c>
      <c r="BI188" s="137">
        <v>0</v>
      </c>
      <c r="BJ188" s="137">
        <v>0</v>
      </c>
      <c r="BK188" s="137">
        <v>0</v>
      </c>
      <c r="BL188" s="137">
        <v>0</v>
      </c>
      <c r="BM188" s="137">
        <v>0</v>
      </c>
      <c r="BN188" s="137">
        <v>0</v>
      </c>
      <c r="BO188" s="137">
        <v>0</v>
      </c>
      <c r="BP188" s="137">
        <v>0</v>
      </c>
      <c r="BQ188" s="137">
        <v>0</v>
      </c>
      <c r="BR188" s="137">
        <v>0</v>
      </c>
      <c r="BS188" s="137">
        <v>0</v>
      </c>
      <c r="BT188" s="137">
        <v>0</v>
      </c>
      <c r="BU188" s="137">
        <v>0</v>
      </c>
      <c r="BV188" s="137">
        <v>0</v>
      </c>
      <c r="BW188" s="137">
        <v>0</v>
      </c>
      <c r="BX188" s="137">
        <v>0</v>
      </c>
    </row>
    <row r="189" spans="1:76" ht="15" hidden="1" customHeight="1" outlineLevel="1">
      <c r="A189" t="s">
        <v>18</v>
      </c>
      <c r="B189" s="38" t="s">
        <v>35</v>
      </c>
      <c r="C189" s="61">
        <v>0</v>
      </c>
      <c r="D189" s="61">
        <v>0</v>
      </c>
      <c r="E189" s="61">
        <v>0</v>
      </c>
      <c r="F189" s="61">
        <v>0</v>
      </c>
      <c r="G189" s="61">
        <v>0</v>
      </c>
      <c r="H189" s="61">
        <v>0</v>
      </c>
      <c r="I189" s="61">
        <v>0</v>
      </c>
      <c r="J189" s="61">
        <v>0</v>
      </c>
      <c r="K189" s="61">
        <v>0</v>
      </c>
      <c r="L189" s="61">
        <v>0</v>
      </c>
      <c r="M189" s="61">
        <v>0</v>
      </c>
      <c r="N189" s="61">
        <v>0</v>
      </c>
      <c r="O189" s="61">
        <v>0</v>
      </c>
      <c r="P189" s="61">
        <v>0</v>
      </c>
      <c r="Q189" s="61">
        <v>0</v>
      </c>
      <c r="R189" s="61">
        <v>0</v>
      </c>
      <c r="S189" s="61">
        <v>0</v>
      </c>
      <c r="T189" s="61">
        <v>0</v>
      </c>
      <c r="U189" s="61">
        <v>0</v>
      </c>
      <c r="V189" s="61">
        <v>0</v>
      </c>
      <c r="W189" s="61">
        <v>0</v>
      </c>
      <c r="X189" s="61">
        <v>1751</v>
      </c>
      <c r="Y189" s="61">
        <v>1751</v>
      </c>
      <c r="Z189" s="61">
        <v>1751</v>
      </c>
      <c r="AA189" s="61">
        <v>1750.76325</v>
      </c>
      <c r="AB189" s="61">
        <v>1750.76325</v>
      </c>
      <c r="AC189" s="61">
        <v>1750.76325</v>
      </c>
      <c r="AD189" s="61">
        <v>1751</v>
      </c>
      <c r="AE189" s="61">
        <v>1751</v>
      </c>
      <c r="AF189" s="61">
        <v>1750.76325</v>
      </c>
      <c r="AG189" s="61">
        <v>1750.76325</v>
      </c>
      <c r="AH189" s="61">
        <v>1750.76325</v>
      </c>
      <c r="AI189" s="61">
        <v>1750.76325</v>
      </c>
      <c r="AJ189" s="61">
        <v>1750.76325</v>
      </c>
      <c r="AK189" s="61">
        <v>1751</v>
      </c>
      <c r="AL189" s="61">
        <v>1751</v>
      </c>
      <c r="AM189" s="61">
        <v>1751</v>
      </c>
      <c r="AN189" s="62">
        <v>1751</v>
      </c>
      <c r="AO189" s="62">
        <v>0</v>
      </c>
      <c r="AP189" s="62">
        <v>0</v>
      </c>
      <c r="AQ189" s="62">
        <v>0</v>
      </c>
      <c r="AR189" s="62">
        <v>0</v>
      </c>
      <c r="AS189" s="62">
        <v>0</v>
      </c>
      <c r="AT189" s="62">
        <v>0</v>
      </c>
      <c r="AU189" s="62">
        <v>0</v>
      </c>
      <c r="AV189" s="62">
        <v>0</v>
      </c>
      <c r="AW189" s="62">
        <v>0</v>
      </c>
      <c r="AX189" s="62">
        <v>0</v>
      </c>
      <c r="AY189" s="107">
        <v>0</v>
      </c>
      <c r="AZ189" s="107">
        <v>0</v>
      </c>
      <c r="BA189" s="107">
        <v>0</v>
      </c>
      <c r="BB189" s="107">
        <v>0</v>
      </c>
      <c r="BC189" s="107">
        <v>0</v>
      </c>
      <c r="BD189" s="107">
        <v>0</v>
      </c>
      <c r="BE189" s="107">
        <v>0</v>
      </c>
      <c r="BF189" s="107">
        <v>0</v>
      </c>
      <c r="BG189" s="137">
        <v>0</v>
      </c>
      <c r="BH189" s="137">
        <v>0</v>
      </c>
      <c r="BI189" s="137">
        <v>0</v>
      </c>
      <c r="BJ189" s="137">
        <v>0</v>
      </c>
      <c r="BK189" s="137">
        <v>0</v>
      </c>
      <c r="BL189" s="137">
        <v>0</v>
      </c>
      <c r="BM189" s="137">
        <v>0</v>
      </c>
      <c r="BN189" s="137">
        <v>0</v>
      </c>
      <c r="BO189" s="137">
        <v>0</v>
      </c>
      <c r="BP189" s="137">
        <v>0</v>
      </c>
      <c r="BQ189" s="137">
        <v>0</v>
      </c>
      <c r="BR189" s="137">
        <v>0</v>
      </c>
      <c r="BS189" s="137">
        <v>0</v>
      </c>
      <c r="BT189" s="137">
        <v>0</v>
      </c>
      <c r="BU189" s="137">
        <v>0</v>
      </c>
      <c r="BV189" s="137">
        <v>0</v>
      </c>
      <c r="BW189" s="137">
        <v>0</v>
      </c>
      <c r="BX189" s="137">
        <v>0</v>
      </c>
    </row>
    <row r="190" spans="1:76" ht="15" hidden="1" customHeight="1" outlineLevel="1">
      <c r="A190" t="s">
        <v>18</v>
      </c>
      <c r="B190" s="38" t="s">
        <v>39</v>
      </c>
      <c r="C190" s="61">
        <v>0</v>
      </c>
      <c r="D190" s="61">
        <v>0</v>
      </c>
      <c r="E190" s="61">
        <v>0</v>
      </c>
      <c r="F190" s="61">
        <v>0</v>
      </c>
      <c r="G190" s="61">
        <v>0</v>
      </c>
      <c r="H190" s="61">
        <v>0</v>
      </c>
      <c r="I190" s="61">
        <v>0</v>
      </c>
      <c r="J190" s="61">
        <v>0</v>
      </c>
      <c r="K190" s="61">
        <v>0</v>
      </c>
      <c r="L190" s="61">
        <v>0</v>
      </c>
      <c r="M190" s="61">
        <v>0</v>
      </c>
      <c r="N190" s="61">
        <v>0</v>
      </c>
      <c r="O190" s="61">
        <v>0</v>
      </c>
      <c r="P190" s="61">
        <v>0</v>
      </c>
      <c r="Q190" s="61">
        <v>0</v>
      </c>
      <c r="R190" s="61">
        <v>0</v>
      </c>
      <c r="S190" s="61">
        <v>0</v>
      </c>
      <c r="T190" s="61">
        <v>0</v>
      </c>
      <c r="U190" s="61">
        <v>0</v>
      </c>
      <c r="V190" s="61">
        <v>0</v>
      </c>
      <c r="W190" s="61">
        <v>0</v>
      </c>
      <c r="X190" s="61">
        <v>0</v>
      </c>
      <c r="Y190" s="61">
        <v>0</v>
      </c>
      <c r="Z190" s="61">
        <v>0</v>
      </c>
      <c r="AA190" s="61">
        <v>0</v>
      </c>
      <c r="AB190" s="61">
        <v>27226.675000000003</v>
      </c>
      <c r="AC190" s="61">
        <v>27226.675000000003</v>
      </c>
      <c r="AD190" s="61">
        <v>27227</v>
      </c>
      <c r="AE190" s="61">
        <v>27227</v>
      </c>
      <c r="AF190" s="61">
        <v>27226.675000000003</v>
      </c>
      <c r="AG190" s="61">
        <v>27226.675000000003</v>
      </c>
      <c r="AH190" s="61">
        <v>27226.675000000003</v>
      </c>
      <c r="AI190" s="61">
        <v>27226.675000000003</v>
      </c>
      <c r="AJ190" s="61">
        <v>27226.675000000003</v>
      </c>
      <c r="AK190" s="61">
        <v>27227</v>
      </c>
      <c r="AL190" s="61">
        <v>27227</v>
      </c>
      <c r="AM190" s="61">
        <v>27227</v>
      </c>
      <c r="AN190" s="62">
        <v>27227</v>
      </c>
      <c r="AO190" s="62">
        <v>0</v>
      </c>
      <c r="AP190" s="62">
        <v>0</v>
      </c>
      <c r="AQ190" s="62">
        <v>0</v>
      </c>
      <c r="AR190" s="62">
        <v>0</v>
      </c>
      <c r="AS190" s="62">
        <v>0</v>
      </c>
      <c r="AT190" s="62">
        <v>0</v>
      </c>
      <c r="AU190" s="62">
        <v>0</v>
      </c>
      <c r="AV190" s="62">
        <v>0</v>
      </c>
      <c r="AW190" s="62">
        <v>0</v>
      </c>
      <c r="AX190" s="62">
        <v>0</v>
      </c>
      <c r="AY190" s="107">
        <v>0</v>
      </c>
      <c r="AZ190" s="107">
        <v>0</v>
      </c>
      <c r="BA190" s="107">
        <v>0</v>
      </c>
      <c r="BB190" s="107">
        <v>0</v>
      </c>
      <c r="BC190" s="107">
        <v>0</v>
      </c>
      <c r="BD190" s="107">
        <v>0</v>
      </c>
      <c r="BE190" s="107">
        <v>0</v>
      </c>
      <c r="BF190" s="107">
        <v>0</v>
      </c>
      <c r="BG190" s="137">
        <v>0</v>
      </c>
      <c r="BH190" s="137">
        <v>0</v>
      </c>
      <c r="BI190" s="137">
        <v>0</v>
      </c>
      <c r="BJ190" s="137">
        <v>0</v>
      </c>
      <c r="BK190" s="137">
        <v>0</v>
      </c>
      <c r="BL190" s="137">
        <v>0</v>
      </c>
      <c r="BM190" s="137">
        <v>0</v>
      </c>
      <c r="BN190" s="137">
        <v>0</v>
      </c>
      <c r="BO190" s="137">
        <v>0</v>
      </c>
      <c r="BP190" s="137">
        <v>0</v>
      </c>
      <c r="BQ190" s="137">
        <v>0</v>
      </c>
      <c r="BR190" s="137">
        <v>0</v>
      </c>
      <c r="BS190" s="137">
        <v>0</v>
      </c>
      <c r="BT190" s="137">
        <v>0</v>
      </c>
      <c r="BU190" s="137">
        <v>0</v>
      </c>
      <c r="BV190" s="137">
        <v>0</v>
      </c>
      <c r="BW190" s="137">
        <v>0</v>
      </c>
      <c r="BX190" s="137">
        <v>0</v>
      </c>
    </row>
    <row r="191" spans="1:76" ht="15" hidden="1" customHeight="1" outlineLevel="1">
      <c r="A191" t="s">
        <v>18</v>
      </c>
      <c r="B191" s="38" t="s">
        <v>21</v>
      </c>
      <c r="C191" s="61">
        <v>0</v>
      </c>
      <c r="D191" s="61">
        <v>0</v>
      </c>
      <c r="E191" s="61">
        <v>0</v>
      </c>
      <c r="F191" s="61">
        <v>0</v>
      </c>
      <c r="G191" s="61">
        <v>0</v>
      </c>
      <c r="H191" s="61">
        <v>0</v>
      </c>
      <c r="I191" s="61">
        <v>0</v>
      </c>
      <c r="J191" s="61">
        <v>0</v>
      </c>
      <c r="K191" s="61">
        <v>0</v>
      </c>
      <c r="L191" s="61">
        <v>0</v>
      </c>
      <c r="M191" s="61">
        <v>0</v>
      </c>
      <c r="N191" s="61">
        <v>0</v>
      </c>
      <c r="O191" s="61">
        <v>0</v>
      </c>
      <c r="P191" s="61">
        <v>0</v>
      </c>
      <c r="Q191" s="61">
        <v>0</v>
      </c>
      <c r="R191" s="61">
        <v>0</v>
      </c>
      <c r="S191" s="61">
        <v>0</v>
      </c>
      <c r="T191" s="61">
        <v>0</v>
      </c>
      <c r="U191" s="61">
        <v>0</v>
      </c>
      <c r="V191" s="61">
        <v>0</v>
      </c>
      <c r="W191" s="61">
        <v>0</v>
      </c>
      <c r="X191" s="61">
        <v>0</v>
      </c>
      <c r="Y191" s="61">
        <v>0</v>
      </c>
      <c r="Z191" s="61">
        <v>0</v>
      </c>
      <c r="AA191" s="61">
        <v>0</v>
      </c>
      <c r="AB191" s="61">
        <v>0</v>
      </c>
      <c r="AC191" s="61">
        <v>0</v>
      </c>
      <c r="AD191" s="61">
        <v>0</v>
      </c>
      <c r="AE191" s="61">
        <v>0</v>
      </c>
      <c r="AF191" s="61">
        <v>0</v>
      </c>
      <c r="AG191" s="61">
        <v>0</v>
      </c>
      <c r="AH191" s="61">
        <v>0</v>
      </c>
      <c r="AI191" s="62">
        <v>28519</v>
      </c>
      <c r="AJ191" s="62">
        <v>28519</v>
      </c>
      <c r="AK191" s="62">
        <v>28519</v>
      </c>
      <c r="AL191" s="62">
        <v>28519</v>
      </c>
      <c r="AM191" s="62">
        <v>28519</v>
      </c>
      <c r="AN191" s="62">
        <v>28519</v>
      </c>
      <c r="AO191" s="62">
        <v>0</v>
      </c>
      <c r="AP191" s="62">
        <v>0</v>
      </c>
      <c r="AQ191" s="62">
        <v>0</v>
      </c>
      <c r="AR191" s="62">
        <v>0</v>
      </c>
      <c r="AS191" s="62">
        <v>0</v>
      </c>
      <c r="AT191" s="62">
        <v>0</v>
      </c>
      <c r="AU191" s="62">
        <v>0</v>
      </c>
      <c r="AV191" s="62">
        <v>0</v>
      </c>
      <c r="AW191" s="62">
        <v>0</v>
      </c>
      <c r="AX191" s="62">
        <v>0</v>
      </c>
      <c r="AY191" s="107">
        <v>0</v>
      </c>
      <c r="AZ191" s="107">
        <v>0</v>
      </c>
      <c r="BA191" s="107">
        <v>0</v>
      </c>
      <c r="BB191" s="107">
        <v>0</v>
      </c>
      <c r="BC191" s="107">
        <v>0</v>
      </c>
      <c r="BD191" s="107">
        <v>0</v>
      </c>
      <c r="BE191" s="107">
        <v>0</v>
      </c>
      <c r="BF191" s="107">
        <v>0</v>
      </c>
      <c r="BG191" s="137">
        <v>0</v>
      </c>
      <c r="BH191" s="137">
        <v>0</v>
      </c>
      <c r="BI191" s="137">
        <v>0</v>
      </c>
      <c r="BJ191" s="137">
        <v>0</v>
      </c>
      <c r="BK191" s="137">
        <v>0</v>
      </c>
      <c r="BL191" s="137">
        <v>0</v>
      </c>
      <c r="BM191" s="137">
        <v>0</v>
      </c>
      <c r="BN191" s="137">
        <v>0</v>
      </c>
      <c r="BO191" s="137">
        <v>0</v>
      </c>
      <c r="BP191" s="137">
        <v>0</v>
      </c>
      <c r="BQ191" s="137">
        <v>0</v>
      </c>
      <c r="BR191" s="137">
        <v>0</v>
      </c>
      <c r="BS191" s="137">
        <v>0</v>
      </c>
      <c r="BT191" s="137">
        <v>0</v>
      </c>
      <c r="BU191" s="137">
        <v>0</v>
      </c>
      <c r="BV191" s="137">
        <v>0</v>
      </c>
      <c r="BW191" s="137">
        <v>0</v>
      </c>
      <c r="BX191" s="137">
        <v>0</v>
      </c>
    </row>
    <row r="192" spans="1:76" ht="15" hidden="1" customHeight="1" outlineLevel="1">
      <c r="A192" t="s">
        <v>18</v>
      </c>
      <c r="B192" s="38" t="s">
        <v>22</v>
      </c>
      <c r="C192" s="61">
        <v>0</v>
      </c>
      <c r="D192" s="61">
        <v>0</v>
      </c>
      <c r="E192" s="61">
        <v>0</v>
      </c>
      <c r="F192" s="61">
        <v>0</v>
      </c>
      <c r="G192" s="61">
        <v>0</v>
      </c>
      <c r="H192" s="61">
        <v>0</v>
      </c>
      <c r="I192" s="61">
        <v>0</v>
      </c>
      <c r="J192" s="61">
        <v>0</v>
      </c>
      <c r="K192" s="61">
        <v>0</v>
      </c>
      <c r="L192" s="61">
        <v>0</v>
      </c>
      <c r="M192" s="61">
        <v>0</v>
      </c>
      <c r="N192" s="61">
        <v>0</v>
      </c>
      <c r="O192" s="61">
        <v>0</v>
      </c>
      <c r="P192" s="61">
        <v>0</v>
      </c>
      <c r="Q192" s="61">
        <v>0</v>
      </c>
      <c r="R192" s="61">
        <v>0</v>
      </c>
      <c r="S192" s="61">
        <v>0</v>
      </c>
      <c r="T192" s="61">
        <v>0</v>
      </c>
      <c r="U192" s="61">
        <v>0</v>
      </c>
      <c r="V192" s="61">
        <v>0</v>
      </c>
      <c r="W192" s="61">
        <v>0</v>
      </c>
      <c r="X192" s="61">
        <v>0</v>
      </c>
      <c r="Y192" s="61">
        <v>0</v>
      </c>
      <c r="Z192" s="61">
        <v>0</v>
      </c>
      <c r="AA192" s="61">
        <v>0</v>
      </c>
      <c r="AB192" s="61">
        <v>0</v>
      </c>
      <c r="AC192" s="61">
        <v>0</v>
      </c>
      <c r="AD192" s="61">
        <v>0</v>
      </c>
      <c r="AE192" s="61">
        <v>0</v>
      </c>
      <c r="AF192" s="61">
        <v>0</v>
      </c>
      <c r="AG192" s="61">
        <v>0</v>
      </c>
      <c r="AH192" s="61">
        <v>0</v>
      </c>
      <c r="AI192" s="61">
        <v>0</v>
      </c>
      <c r="AJ192" s="62">
        <v>20438</v>
      </c>
      <c r="AK192" s="62">
        <v>20438</v>
      </c>
      <c r="AL192" s="62">
        <v>20438</v>
      </c>
      <c r="AM192" s="62">
        <v>20438</v>
      </c>
      <c r="AN192" s="62">
        <v>20438</v>
      </c>
      <c r="AO192" s="62">
        <v>0</v>
      </c>
      <c r="AP192" s="62">
        <v>0</v>
      </c>
      <c r="AQ192" s="62">
        <v>0</v>
      </c>
      <c r="AR192" s="62">
        <v>0</v>
      </c>
      <c r="AS192" s="62">
        <v>0</v>
      </c>
      <c r="AT192" s="62">
        <v>0</v>
      </c>
      <c r="AU192" s="62">
        <v>0</v>
      </c>
      <c r="AV192" s="62">
        <v>0</v>
      </c>
      <c r="AW192" s="62">
        <v>0</v>
      </c>
      <c r="AX192" s="62">
        <v>0</v>
      </c>
      <c r="AY192" s="107">
        <v>0</v>
      </c>
      <c r="AZ192" s="107">
        <v>0</v>
      </c>
      <c r="BA192" s="107">
        <v>0</v>
      </c>
      <c r="BB192" s="107">
        <v>0</v>
      </c>
      <c r="BC192" s="107">
        <v>0</v>
      </c>
      <c r="BD192" s="107">
        <v>0</v>
      </c>
      <c r="BE192" s="107">
        <v>0</v>
      </c>
      <c r="BF192" s="107">
        <v>0</v>
      </c>
      <c r="BG192" s="137">
        <v>0</v>
      </c>
      <c r="BH192" s="137">
        <v>0</v>
      </c>
      <c r="BI192" s="137">
        <v>0</v>
      </c>
      <c r="BJ192" s="137">
        <v>0</v>
      </c>
      <c r="BK192" s="137">
        <v>0</v>
      </c>
      <c r="BL192" s="137">
        <v>0</v>
      </c>
      <c r="BM192" s="137">
        <v>0</v>
      </c>
      <c r="BN192" s="137">
        <v>0</v>
      </c>
      <c r="BO192" s="137">
        <v>0</v>
      </c>
      <c r="BP192" s="137">
        <v>0</v>
      </c>
      <c r="BQ192" s="137">
        <v>0</v>
      </c>
      <c r="BR192" s="137">
        <v>0</v>
      </c>
      <c r="BS192" s="137">
        <v>0</v>
      </c>
      <c r="BT192" s="137">
        <v>0</v>
      </c>
      <c r="BU192" s="137">
        <v>0</v>
      </c>
      <c r="BV192" s="137">
        <v>0</v>
      </c>
      <c r="BW192" s="137">
        <v>0</v>
      </c>
      <c r="BX192" s="137">
        <v>0</v>
      </c>
    </row>
    <row r="193" spans="1:76" ht="15" hidden="1" customHeight="1" outlineLevel="1">
      <c r="A193" t="s">
        <v>18</v>
      </c>
      <c r="B193" s="38" t="s">
        <v>24</v>
      </c>
      <c r="C193" s="61">
        <v>0</v>
      </c>
      <c r="D193" s="61">
        <v>0</v>
      </c>
      <c r="E193" s="61">
        <v>0</v>
      </c>
      <c r="F193" s="61">
        <v>0</v>
      </c>
      <c r="G193" s="61">
        <v>0</v>
      </c>
      <c r="H193" s="61">
        <v>0</v>
      </c>
      <c r="I193" s="61">
        <v>0</v>
      </c>
      <c r="J193" s="61">
        <v>0</v>
      </c>
      <c r="K193" s="61">
        <v>0</v>
      </c>
      <c r="L193" s="61">
        <v>0</v>
      </c>
      <c r="M193" s="61">
        <v>0</v>
      </c>
      <c r="N193" s="61">
        <v>0</v>
      </c>
      <c r="O193" s="61">
        <v>0</v>
      </c>
      <c r="P193" s="61">
        <v>0</v>
      </c>
      <c r="Q193" s="61">
        <v>0</v>
      </c>
      <c r="R193" s="61">
        <v>0</v>
      </c>
      <c r="S193" s="61">
        <v>0</v>
      </c>
      <c r="T193" s="61">
        <v>0</v>
      </c>
      <c r="U193" s="61">
        <v>0</v>
      </c>
      <c r="V193" s="61">
        <v>0</v>
      </c>
      <c r="W193" s="61">
        <v>0</v>
      </c>
      <c r="X193" s="61">
        <v>0</v>
      </c>
      <c r="Y193" s="61">
        <v>0</v>
      </c>
      <c r="Z193" s="61">
        <v>0</v>
      </c>
      <c r="AA193" s="61">
        <v>0</v>
      </c>
      <c r="AB193" s="61">
        <v>0</v>
      </c>
      <c r="AC193" s="61">
        <v>0</v>
      </c>
      <c r="AD193" s="61">
        <v>0</v>
      </c>
      <c r="AE193" s="61">
        <v>0</v>
      </c>
      <c r="AF193" s="61">
        <v>0</v>
      </c>
      <c r="AG193" s="61">
        <v>0</v>
      </c>
      <c r="AH193" s="61">
        <v>0</v>
      </c>
      <c r="AI193" s="61">
        <v>0</v>
      </c>
      <c r="AJ193" s="62">
        <v>23873.040000000001</v>
      </c>
      <c r="AK193" s="62">
        <v>23873</v>
      </c>
      <c r="AL193" s="62">
        <v>23873</v>
      </c>
      <c r="AM193" s="62">
        <v>36950</v>
      </c>
      <c r="AN193" s="62">
        <v>36950</v>
      </c>
      <c r="AO193" s="62">
        <v>0</v>
      </c>
      <c r="AP193" s="62">
        <v>0</v>
      </c>
      <c r="AQ193" s="62">
        <v>0</v>
      </c>
      <c r="AR193" s="62">
        <v>0</v>
      </c>
      <c r="AS193" s="62">
        <v>0</v>
      </c>
      <c r="AT193" s="62">
        <v>0</v>
      </c>
      <c r="AU193" s="62">
        <v>0</v>
      </c>
      <c r="AV193" s="62">
        <v>0</v>
      </c>
      <c r="AW193" s="62">
        <v>0</v>
      </c>
      <c r="AX193" s="62">
        <v>0</v>
      </c>
      <c r="AY193" s="107">
        <v>0</v>
      </c>
      <c r="AZ193" s="107">
        <v>0</v>
      </c>
      <c r="BA193" s="107">
        <v>0</v>
      </c>
      <c r="BB193" s="107">
        <v>0</v>
      </c>
      <c r="BC193" s="107">
        <v>0</v>
      </c>
      <c r="BD193" s="107">
        <v>0</v>
      </c>
      <c r="BE193" s="107">
        <v>0</v>
      </c>
      <c r="BF193" s="107">
        <v>0</v>
      </c>
      <c r="BG193" s="137">
        <v>0</v>
      </c>
      <c r="BH193" s="137">
        <v>0</v>
      </c>
      <c r="BI193" s="137">
        <v>0</v>
      </c>
      <c r="BJ193" s="137">
        <v>0</v>
      </c>
      <c r="BK193" s="137">
        <v>0</v>
      </c>
      <c r="BL193" s="137">
        <v>0</v>
      </c>
      <c r="BM193" s="137">
        <v>0</v>
      </c>
      <c r="BN193" s="137">
        <v>0</v>
      </c>
      <c r="BO193" s="137">
        <v>0</v>
      </c>
      <c r="BP193" s="137">
        <v>0</v>
      </c>
      <c r="BQ193" s="137">
        <v>0</v>
      </c>
      <c r="BR193" s="137">
        <v>0</v>
      </c>
      <c r="BS193" s="137">
        <v>0</v>
      </c>
      <c r="BT193" s="137">
        <v>0</v>
      </c>
      <c r="BU193" s="137">
        <v>0</v>
      </c>
      <c r="BV193" s="137">
        <v>0</v>
      </c>
      <c r="BW193" s="137">
        <v>0</v>
      </c>
      <c r="BX193" s="137">
        <v>0</v>
      </c>
    </row>
    <row r="194" spans="1:76" ht="15" customHeight="1" collapsed="1" thickBot="1">
      <c r="A194" t="s">
        <v>18</v>
      </c>
      <c r="B194" s="138" t="str">
        <f>IF('Sumário | Summary'!P1=1,"Outros","Others")</f>
        <v>Outros</v>
      </c>
      <c r="C194" s="128">
        <f t="shared" ref="C194:BN194" si="120">SUM(C195:C195)</f>
        <v>0</v>
      </c>
      <c r="D194" s="128">
        <f t="shared" si="120"/>
        <v>0</v>
      </c>
      <c r="E194" s="128">
        <f t="shared" si="120"/>
        <v>0</v>
      </c>
      <c r="F194" s="128">
        <f t="shared" si="120"/>
        <v>0</v>
      </c>
      <c r="G194" s="128">
        <f t="shared" si="120"/>
        <v>0</v>
      </c>
      <c r="H194" s="128">
        <f t="shared" si="120"/>
        <v>0</v>
      </c>
      <c r="I194" s="128">
        <f t="shared" si="120"/>
        <v>0</v>
      </c>
      <c r="J194" s="128">
        <f t="shared" si="120"/>
        <v>0</v>
      </c>
      <c r="K194" s="128">
        <f t="shared" si="120"/>
        <v>0</v>
      </c>
      <c r="L194" s="128">
        <f t="shared" si="120"/>
        <v>0</v>
      </c>
      <c r="M194" s="128">
        <f t="shared" si="120"/>
        <v>0</v>
      </c>
      <c r="N194" s="128">
        <f t="shared" si="120"/>
        <v>0</v>
      </c>
      <c r="O194" s="128">
        <f t="shared" si="120"/>
        <v>0</v>
      </c>
      <c r="P194" s="128">
        <f t="shared" si="120"/>
        <v>0</v>
      </c>
      <c r="Q194" s="128">
        <f t="shared" si="120"/>
        <v>0</v>
      </c>
      <c r="R194" s="128">
        <f t="shared" si="120"/>
        <v>0</v>
      </c>
      <c r="S194" s="128">
        <f t="shared" si="120"/>
        <v>0</v>
      </c>
      <c r="T194" s="128">
        <f t="shared" si="120"/>
        <v>0</v>
      </c>
      <c r="U194" s="128">
        <f t="shared" si="120"/>
        <v>0</v>
      </c>
      <c r="V194" s="128">
        <f t="shared" si="120"/>
        <v>0</v>
      </c>
      <c r="W194" s="128">
        <f t="shared" si="120"/>
        <v>18372.767250000001</v>
      </c>
      <c r="X194" s="128">
        <f t="shared" si="120"/>
        <v>18372.767250000001</v>
      </c>
      <c r="Y194" s="128">
        <f t="shared" si="120"/>
        <v>18372.767250000001</v>
      </c>
      <c r="Z194" s="128">
        <f t="shared" si="120"/>
        <v>18372.767250000001</v>
      </c>
      <c r="AA194" s="128">
        <f t="shared" si="120"/>
        <v>18372.767250000001</v>
      </c>
      <c r="AB194" s="128">
        <f t="shared" si="120"/>
        <v>17456.620500000001</v>
      </c>
      <c r="AC194" s="128">
        <f t="shared" si="120"/>
        <v>17456.620500000001</v>
      </c>
      <c r="AD194" s="128">
        <f t="shared" si="120"/>
        <v>17456.620500000001</v>
      </c>
      <c r="AE194" s="128">
        <f t="shared" si="120"/>
        <v>17456.620500000001</v>
      </c>
      <c r="AF194" s="128">
        <f t="shared" si="120"/>
        <v>17456.620500000001</v>
      </c>
      <c r="AG194" s="128">
        <f t="shared" si="120"/>
        <v>17456.620500000001</v>
      </c>
      <c r="AH194" s="128">
        <f t="shared" si="120"/>
        <v>17498.786250000001</v>
      </c>
      <c r="AI194" s="128">
        <f t="shared" si="120"/>
        <v>17498.786250000001</v>
      </c>
      <c r="AJ194" s="128">
        <f t="shared" si="120"/>
        <v>17498.786250000001</v>
      </c>
      <c r="AK194" s="128">
        <f t="shared" si="120"/>
        <v>17498.786250000001</v>
      </c>
      <c r="AL194" s="128">
        <f t="shared" si="120"/>
        <v>17523.319049999998</v>
      </c>
      <c r="AM194" s="128">
        <f t="shared" si="120"/>
        <v>17583.961064999996</v>
      </c>
      <c r="AN194" s="128">
        <f t="shared" si="120"/>
        <v>17583.961064999996</v>
      </c>
      <c r="AO194" s="128">
        <f t="shared" si="120"/>
        <v>17583.961064999996</v>
      </c>
      <c r="AP194" s="128">
        <f t="shared" si="120"/>
        <v>17583.961064999996</v>
      </c>
      <c r="AQ194" s="128">
        <f t="shared" si="120"/>
        <v>17583.961064999996</v>
      </c>
      <c r="AR194" s="128">
        <f t="shared" si="120"/>
        <v>17573.335296000001</v>
      </c>
      <c r="AS194" s="128">
        <f t="shared" si="120"/>
        <v>17573.335296000001</v>
      </c>
      <c r="AT194" s="128">
        <f t="shared" si="120"/>
        <v>17573.335296000001</v>
      </c>
      <c r="AU194" s="128">
        <f t="shared" si="120"/>
        <v>17573.151300000001</v>
      </c>
      <c r="AV194" s="128">
        <f t="shared" si="120"/>
        <v>17573.151300000001</v>
      </c>
      <c r="AW194" s="128">
        <f t="shared" si="120"/>
        <v>17573.151300000001</v>
      </c>
      <c r="AX194" s="128">
        <f t="shared" si="120"/>
        <v>17573.151300000001</v>
      </c>
      <c r="AY194" s="128">
        <f t="shared" si="120"/>
        <v>17573.151300000001</v>
      </c>
      <c r="AZ194" s="128">
        <f t="shared" si="120"/>
        <v>17573.151300000001</v>
      </c>
      <c r="BA194" s="128">
        <f t="shared" si="120"/>
        <v>17573.335296000001</v>
      </c>
      <c r="BB194" s="128">
        <f t="shared" si="120"/>
        <v>17573.151300000001</v>
      </c>
      <c r="BC194" s="128">
        <f t="shared" si="120"/>
        <v>17559.535596000002</v>
      </c>
      <c r="BD194" s="128">
        <f t="shared" si="120"/>
        <v>17559.535596000002</v>
      </c>
      <c r="BE194" s="128">
        <f t="shared" si="120"/>
        <v>17559.535596000002</v>
      </c>
      <c r="BF194" s="128">
        <f t="shared" si="120"/>
        <v>17559.535596000002</v>
      </c>
      <c r="BG194" s="128">
        <f t="shared" si="120"/>
        <v>17559.535596000002</v>
      </c>
      <c r="BH194" s="128">
        <f t="shared" si="120"/>
        <v>17559.535596000002</v>
      </c>
      <c r="BI194" s="128">
        <f t="shared" si="120"/>
        <v>19162.362859080004</v>
      </c>
      <c r="BJ194" s="128">
        <f t="shared" si="120"/>
        <v>19162.362859080004</v>
      </c>
      <c r="BK194" s="128">
        <f t="shared" si="120"/>
        <v>20377.135035960004</v>
      </c>
      <c r="BL194" s="128">
        <f t="shared" si="120"/>
        <v>21414.12032862</v>
      </c>
      <c r="BM194" s="128">
        <f t="shared" si="120"/>
        <v>21413.194777125002</v>
      </c>
      <c r="BN194" s="128">
        <f t="shared" si="120"/>
        <v>21413.194777125002</v>
      </c>
      <c r="BO194" s="128">
        <f t="shared" ref="BO194" si="121">SUM(BO195:BO195)</f>
        <v>22740.4846125</v>
      </c>
      <c r="BP194" s="128">
        <v>22737.598677000002</v>
      </c>
      <c r="BQ194" s="128">
        <v>23102.144532044909</v>
      </c>
      <c r="BR194" s="128">
        <v>23102.154172124996</v>
      </c>
      <c r="BS194" s="128">
        <v>23102.154172124996</v>
      </c>
      <c r="BT194" s="128">
        <v>24790.161573800455</v>
      </c>
      <c r="BU194" s="128">
        <v>26078.656538119827</v>
      </c>
      <c r="BV194" s="128">
        <v>26078.656538119827</v>
      </c>
      <c r="BW194" s="128">
        <v>26078.656538119827</v>
      </c>
      <c r="BX194" s="128">
        <f>SUM(BX195:BX195)</f>
        <v>26848.91879642813</v>
      </c>
    </row>
    <row r="195" spans="1:76" ht="15" hidden="1" outlineLevel="1" thickBot="1">
      <c r="A195" t="s">
        <v>253</v>
      </c>
      <c r="B195" s="38" t="s">
        <v>25</v>
      </c>
      <c r="C195" s="61">
        <v>0</v>
      </c>
      <c r="D195" s="61">
        <v>0</v>
      </c>
      <c r="E195" s="61">
        <v>0</v>
      </c>
      <c r="F195" s="61">
        <v>0</v>
      </c>
      <c r="G195" s="61">
        <v>0</v>
      </c>
      <c r="H195" s="61">
        <v>0</v>
      </c>
      <c r="I195" s="61">
        <v>0</v>
      </c>
      <c r="J195" s="61">
        <v>0</v>
      </c>
      <c r="K195" s="61">
        <v>0</v>
      </c>
      <c r="L195" s="61">
        <v>0</v>
      </c>
      <c r="M195" s="61">
        <v>0</v>
      </c>
      <c r="N195" s="61">
        <v>0</v>
      </c>
      <c r="O195" s="61">
        <v>0</v>
      </c>
      <c r="P195" s="61">
        <v>0</v>
      </c>
      <c r="Q195" s="61">
        <v>0</v>
      </c>
      <c r="R195" s="61">
        <v>0</v>
      </c>
      <c r="S195" s="61">
        <v>0</v>
      </c>
      <c r="T195" s="61">
        <v>0</v>
      </c>
      <c r="U195" s="61">
        <v>0</v>
      </c>
      <c r="V195" s="61">
        <v>0</v>
      </c>
      <c r="W195" s="61">
        <v>18372.767250000001</v>
      </c>
      <c r="X195" s="61">
        <v>18372.767250000001</v>
      </c>
      <c r="Y195" s="61">
        <v>18372.767250000001</v>
      </c>
      <c r="Z195" s="61">
        <v>18372.767250000001</v>
      </c>
      <c r="AA195" s="61">
        <v>18372.767250000001</v>
      </c>
      <c r="AB195" s="61">
        <v>17456.620500000001</v>
      </c>
      <c r="AC195" s="61">
        <v>17456.620500000001</v>
      </c>
      <c r="AD195" s="61">
        <v>17456.620500000001</v>
      </c>
      <c r="AE195" s="61">
        <v>17456.620500000001</v>
      </c>
      <c r="AF195" s="61">
        <v>17456.620500000001</v>
      </c>
      <c r="AG195" s="61">
        <v>17456.620500000001</v>
      </c>
      <c r="AH195" s="61">
        <v>17498.786250000001</v>
      </c>
      <c r="AI195" s="61">
        <v>17498.786250000001</v>
      </c>
      <c r="AJ195" s="61">
        <v>17498.786250000001</v>
      </c>
      <c r="AK195" s="61">
        <v>17498.786250000001</v>
      </c>
      <c r="AL195" s="61">
        <v>17523.319049999998</v>
      </c>
      <c r="AM195" s="62">
        <v>17583.961064999996</v>
      </c>
      <c r="AN195" s="62">
        <v>17583.961064999996</v>
      </c>
      <c r="AO195" s="62">
        <v>17583.961064999996</v>
      </c>
      <c r="AP195" s="62">
        <v>17583.961064999996</v>
      </c>
      <c r="AQ195" s="62">
        <v>17583.961064999996</v>
      </c>
      <c r="AR195" s="62">
        <v>17573.335296000001</v>
      </c>
      <c r="AS195" s="62">
        <v>17573.335296000001</v>
      </c>
      <c r="AT195" s="62">
        <v>17573.335296000001</v>
      </c>
      <c r="AU195" s="62">
        <v>17573.151300000001</v>
      </c>
      <c r="AV195" s="62">
        <v>17573.151300000001</v>
      </c>
      <c r="AW195" s="137">
        <v>17573.151300000001</v>
      </c>
      <c r="AX195" s="137">
        <v>17573.151300000001</v>
      </c>
      <c r="AY195" s="137">
        <v>17573.151300000001</v>
      </c>
      <c r="AZ195" s="137">
        <v>17573.151300000001</v>
      </c>
      <c r="BA195" s="137">
        <v>17573.335296000001</v>
      </c>
      <c r="BB195" s="62">
        <v>17573.151300000001</v>
      </c>
      <c r="BC195" s="62">
        <v>17559.535596000002</v>
      </c>
      <c r="BD195" s="62">
        <v>17559.535596000002</v>
      </c>
      <c r="BE195" s="62">
        <v>17559.535596000002</v>
      </c>
      <c r="BF195" s="62">
        <v>17559.535596000002</v>
      </c>
      <c r="BG195" s="137">
        <v>17559.535596000002</v>
      </c>
      <c r="BH195" s="137">
        <v>17559.535596000002</v>
      </c>
      <c r="BI195" s="137">
        <v>19162.362859080004</v>
      </c>
      <c r="BJ195" s="137">
        <v>19162.362859080004</v>
      </c>
      <c r="BK195" s="137">
        <v>20377.135035960004</v>
      </c>
      <c r="BL195" s="137">
        <v>21414.12032862</v>
      </c>
      <c r="BM195" s="137">
        <v>21413.194777125002</v>
      </c>
      <c r="BN195" s="137">
        <v>21413.194777125002</v>
      </c>
      <c r="BO195" s="137">
        <v>22740.4846125</v>
      </c>
      <c r="BP195" s="137">
        <v>22737.598677000002</v>
      </c>
      <c r="BQ195" s="137">
        <v>23102.144532044909</v>
      </c>
      <c r="BR195" s="137">
        <v>23102.154172124996</v>
      </c>
      <c r="BS195" s="137">
        <v>23102.154172124996</v>
      </c>
      <c r="BT195" s="137">
        <v>24790.161573800455</v>
      </c>
      <c r="BU195" s="137">
        <v>26078.656538119827</v>
      </c>
      <c r="BV195" s="137">
        <v>26078.656538119827</v>
      </c>
      <c r="BW195" s="137">
        <v>26078.656538119827</v>
      </c>
      <c r="BX195" s="137">
        <v>26848.91879642813</v>
      </c>
    </row>
    <row r="196" spans="1:76" s="15" customFormat="1" ht="15" customHeight="1" collapsed="1" thickTop="1" thickBot="1">
      <c r="B196" s="139" t="s">
        <v>14</v>
      </c>
      <c r="C196" s="129">
        <f t="shared" ref="C196:BN196" si="122">C151+C173+C182+C194</f>
        <v>150586.546</v>
      </c>
      <c r="D196" s="129">
        <f t="shared" si="122"/>
        <v>165613.10999999999</v>
      </c>
      <c r="E196" s="129">
        <f t="shared" si="122"/>
        <v>165613.10999999999</v>
      </c>
      <c r="F196" s="129">
        <f t="shared" si="122"/>
        <v>165613.10999999999</v>
      </c>
      <c r="G196" s="129">
        <f t="shared" si="122"/>
        <v>172919.11</v>
      </c>
      <c r="H196" s="129">
        <f t="shared" si="122"/>
        <v>172664.11</v>
      </c>
      <c r="I196" s="129">
        <f t="shared" si="122"/>
        <v>172186.11</v>
      </c>
      <c r="J196" s="129">
        <f t="shared" si="122"/>
        <v>175102.11</v>
      </c>
      <c r="K196" s="129">
        <f t="shared" si="122"/>
        <v>173303.11</v>
      </c>
      <c r="L196" s="129">
        <f t="shared" si="122"/>
        <v>170588.11</v>
      </c>
      <c r="M196" s="129">
        <f t="shared" si="122"/>
        <v>171435.11</v>
      </c>
      <c r="N196" s="129">
        <f t="shared" si="122"/>
        <v>171435.11</v>
      </c>
      <c r="O196" s="129">
        <f t="shared" si="122"/>
        <v>171435.11</v>
      </c>
      <c r="P196" s="129">
        <f t="shared" si="122"/>
        <v>169669.11</v>
      </c>
      <c r="Q196" s="129">
        <f t="shared" si="122"/>
        <v>186651.11</v>
      </c>
      <c r="R196" s="129">
        <f t="shared" si="122"/>
        <v>177113.11</v>
      </c>
      <c r="S196" s="129">
        <f t="shared" si="122"/>
        <v>175629.11</v>
      </c>
      <c r="T196" s="129">
        <f t="shared" si="122"/>
        <v>196365.11</v>
      </c>
      <c r="U196" s="129">
        <f t="shared" si="122"/>
        <v>196365.11</v>
      </c>
      <c r="V196" s="129">
        <f t="shared" si="122"/>
        <v>205046.11</v>
      </c>
      <c r="W196" s="129">
        <f t="shared" si="122"/>
        <v>225317.87724999999</v>
      </c>
      <c r="X196" s="129">
        <f t="shared" si="122"/>
        <v>233810.36649297018</v>
      </c>
      <c r="Y196" s="129">
        <f t="shared" si="122"/>
        <v>236531.82764897015</v>
      </c>
      <c r="Z196" s="129">
        <f t="shared" si="122"/>
        <v>321584.34939897014</v>
      </c>
      <c r="AA196" s="129">
        <f t="shared" si="122"/>
        <v>321584.11264897016</v>
      </c>
      <c r="AB196" s="129">
        <f t="shared" si="122"/>
        <v>347894.64089897019</v>
      </c>
      <c r="AC196" s="129">
        <f t="shared" si="122"/>
        <v>383513.34681667021</v>
      </c>
      <c r="AD196" s="129">
        <f t="shared" si="122"/>
        <v>383513.39540870005</v>
      </c>
      <c r="AE196" s="129">
        <f t="shared" si="122"/>
        <v>383513.39540870005</v>
      </c>
      <c r="AF196" s="129">
        <f t="shared" si="122"/>
        <v>398510.40767885995</v>
      </c>
      <c r="AG196" s="129">
        <f t="shared" si="122"/>
        <v>398509.32277015998</v>
      </c>
      <c r="AH196" s="129">
        <f t="shared" si="122"/>
        <v>397596.66702016001</v>
      </c>
      <c r="AI196" s="129">
        <f t="shared" si="122"/>
        <v>407087.28428200004</v>
      </c>
      <c r="AJ196" s="129">
        <f t="shared" si="122"/>
        <v>465669.44211100001</v>
      </c>
      <c r="AK196" s="129">
        <f t="shared" si="122"/>
        <v>452751.45224999997</v>
      </c>
      <c r="AL196" s="129">
        <f t="shared" si="122"/>
        <v>452772.98504999996</v>
      </c>
      <c r="AM196" s="129">
        <f t="shared" si="122"/>
        <v>465443.88203249994</v>
      </c>
      <c r="AN196" s="129">
        <f t="shared" si="122"/>
        <v>480188.35206499998</v>
      </c>
      <c r="AO196" s="129">
        <f t="shared" si="122"/>
        <v>251228.8207862</v>
      </c>
      <c r="AP196" s="129">
        <f t="shared" si="122"/>
        <v>252053.03778519999</v>
      </c>
      <c r="AQ196" s="129">
        <f t="shared" si="122"/>
        <v>243546.15848519997</v>
      </c>
      <c r="AR196" s="129">
        <f t="shared" si="122"/>
        <v>231383.97053719999</v>
      </c>
      <c r="AS196" s="129">
        <f t="shared" si="122"/>
        <v>231314.95471469997</v>
      </c>
      <c r="AT196" s="129">
        <f t="shared" si="122"/>
        <v>231780.35240369997</v>
      </c>
      <c r="AU196" s="129">
        <f t="shared" si="122"/>
        <v>231429.9663262</v>
      </c>
      <c r="AV196" s="129">
        <f t="shared" si="122"/>
        <v>243429.34586953334</v>
      </c>
      <c r="AW196" s="129">
        <f t="shared" si="122"/>
        <v>243700.82902219999</v>
      </c>
      <c r="AX196" s="129">
        <f t="shared" si="122"/>
        <v>251153.6866022</v>
      </c>
      <c r="AY196" s="129">
        <f t="shared" si="122"/>
        <v>251171.20062620001</v>
      </c>
      <c r="AZ196" s="129">
        <f t="shared" si="122"/>
        <v>252038.28205486666</v>
      </c>
      <c r="BA196" s="129">
        <f t="shared" si="122"/>
        <v>250995.56017153335</v>
      </c>
      <c r="BB196" s="129">
        <f t="shared" si="122"/>
        <v>251968.23469119999</v>
      </c>
      <c r="BC196" s="129">
        <f t="shared" si="122"/>
        <v>251874.2266002</v>
      </c>
      <c r="BD196" s="129">
        <f t="shared" si="122"/>
        <v>251874.2266002</v>
      </c>
      <c r="BE196" s="129">
        <f t="shared" si="122"/>
        <v>251740.73260020002</v>
      </c>
      <c r="BF196" s="129">
        <f t="shared" si="122"/>
        <v>189869.17378204557</v>
      </c>
      <c r="BG196" s="129">
        <f t="shared" si="122"/>
        <v>190384.43239504556</v>
      </c>
      <c r="BH196" s="129">
        <f t="shared" si="122"/>
        <v>190404.22091171224</v>
      </c>
      <c r="BI196" s="129">
        <f t="shared" si="122"/>
        <v>192017.24525179222</v>
      </c>
      <c r="BJ196" s="129">
        <f t="shared" si="122"/>
        <v>192039.53365545892</v>
      </c>
      <c r="BK196" s="129">
        <f t="shared" si="122"/>
        <v>193350.91240667226</v>
      </c>
      <c r="BL196" s="129">
        <f t="shared" si="122"/>
        <v>194471.82217433225</v>
      </c>
      <c r="BM196" s="129">
        <f t="shared" si="122"/>
        <v>194595.72402083725</v>
      </c>
      <c r="BN196" s="129">
        <f t="shared" si="122"/>
        <v>199772.11677483725</v>
      </c>
      <c r="BO196" s="129">
        <f t="shared" ref="BO196" si="123">BO151+BO173+BO182+BO194</f>
        <v>201106.18627421226</v>
      </c>
      <c r="BP196" s="129">
        <v>96904.193277237413</v>
      </c>
      <c r="BQ196" s="129">
        <v>97306.666773570236</v>
      </c>
      <c r="BR196" s="129">
        <v>97395.791169362419</v>
      </c>
      <c r="BS196" s="129">
        <v>95079.959971362419</v>
      </c>
      <c r="BT196" s="129">
        <v>100868.87369403787</v>
      </c>
      <c r="BU196" s="129">
        <v>101015.67957035724</v>
      </c>
      <c r="BV196" s="129">
        <v>102780.2951226976</v>
      </c>
      <c r="BW196" s="129">
        <v>105645.18912069761</v>
      </c>
      <c r="BX196" s="129">
        <f>BX151+BX173+BX182+BX194</f>
        <v>106377.25171138634</v>
      </c>
    </row>
    <row r="197" spans="1:76">
      <c r="BJ197" s="208"/>
    </row>
  </sheetData>
  <conditionalFormatting sqref="C52:AK52">
    <cfRule type="cellIs" dxfId="1" priority="1491" operator="equal">
      <formula>""</formula>
    </cfRule>
  </conditionalFormatting>
  <conditionalFormatting sqref="AL100:BH100">
    <cfRule type="cellIs" dxfId="0" priority="1489" operator="equal">
      <formula>""</formula>
    </cfRule>
  </conditionalFormatting>
  <pageMargins left="0.25" right="0.25" top="0.75" bottom="0.75" header="0.3" footer="0.3"/>
  <pageSetup paperSize="9" scale="9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8"/>
  <dimension ref="A1:BX64"/>
  <sheetViews>
    <sheetView showGridLines="0" showRowColHeaders="0" zoomScaleNormal="100" workbookViewId="0">
      <pane xSplit="2" ySplit="5" topLeftCell="BO6" activePane="bottomRight" state="frozen"/>
      <selection activeCell="B1" sqref="B1"/>
      <selection pane="topRight" activeCell="B1" sqref="B1"/>
      <selection pane="bottomLeft" activeCell="B1" sqref="B1"/>
      <selection pane="bottomRight" activeCell="B1" sqref="B1"/>
    </sheetView>
  </sheetViews>
  <sheetFormatPr defaultRowHeight="14.4" outlineLevelRow="1" outlineLevelCol="1"/>
  <cols>
    <col min="1" max="1" width="8.33203125" hidden="1" customWidth="1"/>
    <col min="2" max="2" width="48.6640625" customWidth="1"/>
    <col min="3" max="37" width="14.33203125" hidden="1" customWidth="1" outlineLevel="1"/>
    <col min="38" max="38" width="14.33203125" customWidth="1" collapsed="1"/>
    <col min="39" max="76" width="14.33203125" customWidth="1"/>
  </cols>
  <sheetData>
    <row r="1" spans="1:76">
      <c r="B1" s="108" t="s">
        <v>42</v>
      </c>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row>
    <row r="2" spans="1:76">
      <c r="B2" s="108" t="s">
        <v>41</v>
      </c>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c r="BX2" s="221"/>
    </row>
    <row r="3" spans="1:76" s="223" customFormat="1">
      <c r="B3" s="224">
        <v>1</v>
      </c>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row>
    <row r="4" spans="1:76" ht="6.75" customHeight="1">
      <c r="B4" s="12"/>
    </row>
    <row r="5" spans="1:76" s="7" customFormat="1" ht="18.75" customHeight="1">
      <c r="B5" s="183" t="str">
        <f>IF('Sumário | Summary'!P1=1,"Vacância Física","Physical Vacancy")</f>
        <v>Vacância Física</v>
      </c>
      <c r="C5" s="192" t="s">
        <v>82</v>
      </c>
      <c r="D5" s="192" t="s">
        <v>83</v>
      </c>
      <c r="E5" s="192" t="s">
        <v>84</v>
      </c>
      <c r="F5" s="192" t="s">
        <v>85</v>
      </c>
      <c r="G5" s="192" t="s">
        <v>86</v>
      </c>
      <c r="H5" s="192" t="s">
        <v>87</v>
      </c>
      <c r="I5" s="192" t="s">
        <v>88</v>
      </c>
      <c r="J5" s="192" t="s">
        <v>89</v>
      </c>
      <c r="K5" s="192" t="s">
        <v>90</v>
      </c>
      <c r="L5" s="192" t="s">
        <v>91</v>
      </c>
      <c r="M5" s="192" t="s">
        <v>92</v>
      </c>
      <c r="N5" s="192" t="s">
        <v>93</v>
      </c>
      <c r="O5" s="192" t="s">
        <v>94</v>
      </c>
      <c r="P5" s="192" t="s">
        <v>95</v>
      </c>
      <c r="Q5" s="192" t="s">
        <v>96</v>
      </c>
      <c r="R5" s="192" t="s">
        <v>97</v>
      </c>
      <c r="S5" s="192" t="s">
        <v>78</v>
      </c>
      <c r="T5" s="192" t="s">
        <v>79</v>
      </c>
      <c r="U5" s="192" t="s">
        <v>80</v>
      </c>
      <c r="V5" s="192" t="s">
        <v>81</v>
      </c>
      <c r="W5" s="189" t="s">
        <v>77</v>
      </c>
      <c r="X5" s="189" t="s">
        <v>76</v>
      </c>
      <c r="Y5" s="189" t="s">
        <v>75</v>
      </c>
      <c r="Z5" s="192" t="s">
        <v>74</v>
      </c>
      <c r="AA5" s="192" t="s">
        <v>73</v>
      </c>
      <c r="AB5" s="192" t="s">
        <v>72</v>
      </c>
      <c r="AC5" s="192" t="s">
        <v>71</v>
      </c>
      <c r="AD5" s="192" t="s">
        <v>70</v>
      </c>
      <c r="AE5" s="192" t="s">
        <v>69</v>
      </c>
      <c r="AF5" s="192" t="s">
        <v>68</v>
      </c>
      <c r="AG5" s="192" t="s">
        <v>67</v>
      </c>
      <c r="AH5" s="192" t="s">
        <v>66</v>
      </c>
      <c r="AI5" s="192" t="s">
        <v>59</v>
      </c>
      <c r="AJ5" s="192" t="s">
        <v>60</v>
      </c>
      <c r="AK5" s="192" t="s">
        <v>61</v>
      </c>
      <c r="AL5" s="192" t="s">
        <v>62</v>
      </c>
      <c r="AM5" s="192" t="s">
        <v>55</v>
      </c>
      <c r="AN5" s="192" t="s">
        <v>56</v>
      </c>
      <c r="AO5" s="192" t="s">
        <v>57</v>
      </c>
      <c r="AP5" s="192" t="s">
        <v>58</v>
      </c>
      <c r="AQ5" s="192" t="s">
        <v>54</v>
      </c>
      <c r="AR5" s="192" t="s">
        <v>53</v>
      </c>
      <c r="AS5" s="192" t="s">
        <v>52</v>
      </c>
      <c r="AT5" s="192" t="s">
        <v>51</v>
      </c>
      <c r="AU5" s="192" t="s">
        <v>43</v>
      </c>
      <c r="AV5" s="192" t="s">
        <v>44</v>
      </c>
      <c r="AW5" s="192" t="s">
        <v>46</v>
      </c>
      <c r="AX5" s="192" t="s">
        <v>47</v>
      </c>
      <c r="AY5" s="189" t="s">
        <v>50</v>
      </c>
      <c r="AZ5" s="192" t="s">
        <v>63</v>
      </c>
      <c r="BA5" s="192" t="s">
        <v>64</v>
      </c>
      <c r="BB5" s="192" t="s">
        <v>65</v>
      </c>
      <c r="BC5" s="192" t="s">
        <v>98</v>
      </c>
      <c r="BD5" s="192" t="s">
        <v>99</v>
      </c>
      <c r="BE5" s="192" t="s">
        <v>113</v>
      </c>
      <c r="BF5" s="192" t="s">
        <v>114</v>
      </c>
      <c r="BG5" s="192" t="s">
        <v>125</v>
      </c>
      <c r="BH5" s="189" t="s">
        <v>264</v>
      </c>
      <c r="BI5" s="192" t="s">
        <v>265</v>
      </c>
      <c r="BJ5" s="192" t="s">
        <v>271</v>
      </c>
      <c r="BK5" s="192" t="s">
        <v>283</v>
      </c>
      <c r="BL5" s="189" t="s">
        <v>286</v>
      </c>
      <c r="BM5" s="189" t="s">
        <v>288</v>
      </c>
      <c r="BN5" s="189" t="s">
        <v>312</v>
      </c>
      <c r="BO5" s="189" t="s">
        <v>318</v>
      </c>
      <c r="BP5" s="189" t="s">
        <v>320</v>
      </c>
      <c r="BQ5" s="189" t="s">
        <v>328</v>
      </c>
      <c r="BR5" s="189" t="s">
        <v>330</v>
      </c>
      <c r="BS5" s="189" t="s">
        <v>332</v>
      </c>
      <c r="BT5" s="189" t="s">
        <v>333</v>
      </c>
      <c r="BU5" s="189" t="s">
        <v>334</v>
      </c>
      <c r="BV5" s="189" t="s">
        <v>335</v>
      </c>
      <c r="BW5" s="189" t="s">
        <v>336</v>
      </c>
      <c r="BX5" s="189" t="s">
        <v>337</v>
      </c>
    </row>
    <row r="6" spans="1:76" s="30" customFormat="1">
      <c r="B6" s="11" t="str">
        <f>IF('Sumário | Summary'!P1=1,"Escritórios","Offices")</f>
        <v>Escritórios</v>
      </c>
      <c r="C6" s="41">
        <v>4.4999999999999998E-2</v>
      </c>
      <c r="D6" s="41">
        <v>4.1000000000000003E-3</v>
      </c>
      <c r="E6" s="41">
        <v>0</v>
      </c>
      <c r="F6" s="41">
        <v>0</v>
      </c>
      <c r="G6" s="41">
        <v>7.7799999999999994E-2</v>
      </c>
      <c r="H6" s="41">
        <v>6.5000000000000002E-2</v>
      </c>
      <c r="I6" s="41">
        <v>0.04</v>
      </c>
      <c r="J6" s="41">
        <v>0</v>
      </c>
      <c r="K6" s="41">
        <v>0</v>
      </c>
      <c r="L6" s="41">
        <v>4.8000000000000001E-2</v>
      </c>
      <c r="M6" s="41">
        <v>7.0000000000000001E-3</v>
      </c>
      <c r="N6" s="41">
        <v>1.2E-2</v>
      </c>
      <c r="O6" s="41">
        <v>2E-3</v>
      </c>
      <c r="P6" s="41">
        <v>0</v>
      </c>
      <c r="Q6" s="41">
        <v>0</v>
      </c>
      <c r="R6" s="41">
        <v>1.6E-2</v>
      </c>
      <c r="S6" s="41">
        <v>1.6E-2</v>
      </c>
      <c r="T6" s="41">
        <v>0</v>
      </c>
      <c r="U6" s="41">
        <v>0</v>
      </c>
      <c r="V6" s="41">
        <v>0</v>
      </c>
      <c r="W6" s="41">
        <v>1.0999999999999999E-2</v>
      </c>
      <c r="X6" s="41">
        <v>2.4E-2</v>
      </c>
      <c r="Y6" s="41">
        <v>5.8999999999999997E-2</v>
      </c>
      <c r="Z6" s="49">
        <v>7.9000000000000001E-2</v>
      </c>
      <c r="AA6" s="49">
        <v>8.3000000000000004E-2</v>
      </c>
      <c r="AB6" s="49">
        <v>0.08</v>
      </c>
      <c r="AC6" s="41">
        <v>0.185</v>
      </c>
      <c r="AD6" s="41">
        <v>0.20399999999999999</v>
      </c>
      <c r="AE6" s="41">
        <v>0.19900000000000001</v>
      </c>
      <c r="AF6" s="41">
        <v>0.17799999999999999</v>
      </c>
      <c r="AG6" s="41">
        <v>0.13400000000000001</v>
      </c>
      <c r="AH6" s="41">
        <v>0.115</v>
      </c>
      <c r="AI6" s="41">
        <v>0.10199999999999999</v>
      </c>
      <c r="AJ6" s="41">
        <v>8.5999999999999993E-2</v>
      </c>
      <c r="AK6" s="41">
        <v>8.8999999999999996E-2</v>
      </c>
      <c r="AL6" s="49">
        <v>0.1007</v>
      </c>
      <c r="AM6" s="49">
        <v>9.1230918260006733E-2</v>
      </c>
      <c r="AN6" s="49">
        <v>0.17223139197032356</v>
      </c>
      <c r="AO6" s="49">
        <v>0.19966708633867614</v>
      </c>
      <c r="AP6" s="49">
        <v>0.16094874397933712</v>
      </c>
      <c r="AQ6" s="49">
        <v>0.16060272607004533</v>
      </c>
      <c r="AR6" s="49">
        <v>0.17251744328727725</v>
      </c>
      <c r="AS6" s="49">
        <v>0.16262563293931653</v>
      </c>
      <c r="AT6" s="49">
        <v>0.11820349855207668</v>
      </c>
      <c r="AU6" s="49">
        <v>0.11749629231145083</v>
      </c>
      <c r="AV6" s="49">
        <v>0.22397610198539963</v>
      </c>
      <c r="AW6" s="49">
        <v>0.15562486324114605</v>
      </c>
      <c r="AX6" s="49">
        <v>0.13595823716088959</v>
      </c>
      <c r="AY6" s="49">
        <v>0.12939667870679603</v>
      </c>
      <c r="AZ6" s="49">
        <v>0.14404117670514541</v>
      </c>
      <c r="BA6" s="49">
        <v>0.14569542487628601</v>
      </c>
      <c r="BB6" s="49">
        <v>0.17740351717777644</v>
      </c>
      <c r="BC6" s="49">
        <v>0.18441616803404273</v>
      </c>
      <c r="BD6" s="49">
        <v>0.1621432980251056</v>
      </c>
      <c r="BE6" s="49">
        <v>0.13727839083249715</v>
      </c>
      <c r="BF6" s="49">
        <v>0.14564275210694966</v>
      </c>
      <c r="BG6" s="49">
        <v>0.15070101795413282</v>
      </c>
      <c r="BH6" s="49">
        <v>0.14943885426842751</v>
      </c>
      <c r="BI6" s="49">
        <v>0.14525787558298317</v>
      </c>
      <c r="BJ6" s="49">
        <v>0.14154804873434615</v>
      </c>
      <c r="BK6" s="49">
        <v>0.14893845361425886</v>
      </c>
      <c r="BL6" s="49">
        <v>0.14524325117430262</v>
      </c>
      <c r="BM6" s="49">
        <v>0.15190702548507287</v>
      </c>
      <c r="BN6" s="49">
        <v>0.15055776880580435</v>
      </c>
      <c r="BO6" s="49">
        <v>0.14350245700894865</v>
      </c>
      <c r="BP6" s="49">
        <v>0.16396179443572328</v>
      </c>
      <c r="BQ6" s="49">
        <v>0.48572597813851587</v>
      </c>
      <c r="BR6" s="49">
        <v>0.48829952605867571</v>
      </c>
      <c r="BS6" s="49">
        <v>0.47455741826986525</v>
      </c>
      <c r="BT6" s="49">
        <v>0.48562877860609216</v>
      </c>
      <c r="BU6" s="49">
        <v>0.48862679989932289</v>
      </c>
      <c r="BV6" s="49">
        <v>0.47742531723049686</v>
      </c>
      <c r="BW6" s="49">
        <v>0.47742531723049686</v>
      </c>
      <c r="BX6" s="49">
        <v>0.51710739624682722</v>
      </c>
    </row>
    <row r="7" spans="1:76" s="30" customFormat="1">
      <c r="B7" s="81" t="str">
        <f>IF('Sumário | Summary'!P1=1,"Escritórios AAA","Triple A Offices")</f>
        <v>Escritórios AAA</v>
      </c>
      <c r="C7" s="41">
        <v>0</v>
      </c>
      <c r="D7" s="41">
        <v>0</v>
      </c>
      <c r="E7" s="41">
        <v>0</v>
      </c>
      <c r="F7" s="41">
        <v>0</v>
      </c>
      <c r="G7" s="41">
        <v>0.12609999999999999</v>
      </c>
      <c r="H7" s="41">
        <v>0.105</v>
      </c>
      <c r="I7" s="41">
        <v>5.0999999999999997E-2</v>
      </c>
      <c r="J7" s="41">
        <v>0</v>
      </c>
      <c r="K7" s="41">
        <v>0</v>
      </c>
      <c r="L7" s="41">
        <v>0</v>
      </c>
      <c r="M7" s="41">
        <v>0</v>
      </c>
      <c r="N7" s="41">
        <v>0</v>
      </c>
      <c r="O7" s="41">
        <v>0</v>
      </c>
      <c r="P7" s="41">
        <v>0</v>
      </c>
      <c r="Q7" s="41">
        <v>0</v>
      </c>
      <c r="R7" s="41">
        <v>0</v>
      </c>
      <c r="S7" s="41">
        <v>0</v>
      </c>
      <c r="T7" s="41">
        <v>0</v>
      </c>
      <c r="U7" s="41">
        <v>0</v>
      </c>
      <c r="V7" s="41">
        <v>0</v>
      </c>
      <c r="W7" s="41">
        <v>1.9E-2</v>
      </c>
      <c r="X7" s="41">
        <v>4.2000000000000003E-2</v>
      </c>
      <c r="Y7" s="41">
        <v>9.8000000000000004E-2</v>
      </c>
      <c r="Z7" s="49">
        <v>0.124</v>
      </c>
      <c r="AA7" s="49">
        <v>0.124</v>
      </c>
      <c r="AB7" s="49">
        <v>0.11899999999999999</v>
      </c>
      <c r="AC7" s="41">
        <v>0.26600000000000001</v>
      </c>
      <c r="AD7" s="41">
        <v>0.27700000000000002</v>
      </c>
      <c r="AE7" s="41">
        <v>0.27700000000000002</v>
      </c>
      <c r="AF7" s="41">
        <v>0.22900000000000001</v>
      </c>
      <c r="AG7" s="41">
        <v>0.16900000000000001</v>
      </c>
      <c r="AH7" s="41">
        <v>0.13800000000000001</v>
      </c>
      <c r="AI7" s="41">
        <v>0.125</v>
      </c>
      <c r="AJ7" s="41">
        <v>8.6999999999999994E-2</v>
      </c>
      <c r="AK7" s="41">
        <v>9.0999999999999998E-2</v>
      </c>
      <c r="AL7" s="49">
        <v>0.1071</v>
      </c>
      <c r="AM7" s="49">
        <v>0.1014095849159557</v>
      </c>
      <c r="AN7" s="49">
        <v>0.15674192133010253</v>
      </c>
      <c r="AO7" s="49">
        <v>0.17333231859546974</v>
      </c>
      <c r="AP7" s="49">
        <v>0.13930191323762386</v>
      </c>
      <c r="AQ7" s="49">
        <v>0.12143752404637799</v>
      </c>
      <c r="AR7" s="49">
        <v>0.13370590590457507</v>
      </c>
      <c r="AS7" s="49">
        <v>0.13370590590457507</v>
      </c>
      <c r="AT7" s="49">
        <v>8.3668699321223783E-2</v>
      </c>
      <c r="AU7" s="49">
        <v>9.688493393369195E-2</v>
      </c>
      <c r="AV7" s="49">
        <v>5.7480737912326087E-2</v>
      </c>
      <c r="AW7" s="49">
        <v>5.7480737912326087E-2</v>
      </c>
      <c r="AX7" s="49">
        <v>4.0340391151887624E-2</v>
      </c>
      <c r="AY7" s="49">
        <v>2.9960250755079763E-2</v>
      </c>
      <c r="AZ7" s="49">
        <v>4.1415358941120382E-2</v>
      </c>
      <c r="BA7" s="49">
        <v>4.2168724392488942E-2</v>
      </c>
      <c r="BB7" s="49">
        <v>9.0420766048717599E-2</v>
      </c>
      <c r="BC7" s="49">
        <v>0.10143765443554427</v>
      </c>
      <c r="BD7" s="49">
        <v>6.3089896287346847E-2</v>
      </c>
      <c r="BE7" s="49">
        <v>3.2633968898934718E-2</v>
      </c>
      <c r="BF7" s="49">
        <v>0.16699371010059486</v>
      </c>
      <c r="BG7" s="49">
        <v>0.18529016668620135</v>
      </c>
      <c r="BH7" s="49">
        <v>0.16470188232936347</v>
      </c>
      <c r="BI7" s="49">
        <v>0.16470188232936347</v>
      </c>
      <c r="BJ7" s="49">
        <v>0.15066912013214401</v>
      </c>
      <c r="BK7" s="49">
        <v>0.17862400817741414</v>
      </c>
      <c r="BL7" s="49">
        <v>0.16464656415477907</v>
      </c>
      <c r="BM7" s="49">
        <v>0.18985267104075573</v>
      </c>
      <c r="BN7" s="49">
        <v>0.18985267104075573</v>
      </c>
      <c r="BO7" s="49">
        <v>0.16465171589145686</v>
      </c>
      <c r="BP7" s="49">
        <v>0.31686266499621285</v>
      </c>
      <c r="BQ7" s="49">
        <v>0.37480923532787552</v>
      </c>
      <c r="BR7" s="49">
        <v>0.35659595843523356</v>
      </c>
      <c r="BS7" s="49">
        <v>0.35659595843523356</v>
      </c>
      <c r="BT7" s="49">
        <v>0.31951987133233928</v>
      </c>
      <c r="BU7" s="49">
        <v>0.33835222442549084</v>
      </c>
      <c r="BV7" s="49">
        <v>0.29436318916781828</v>
      </c>
      <c r="BW7" s="49">
        <v>0.29436318916781828</v>
      </c>
      <c r="BX7" s="49">
        <v>0.24251467723515846</v>
      </c>
    </row>
    <row r="8" spans="1:76" hidden="1" outlineLevel="1">
      <c r="A8" s="15"/>
      <c r="B8" s="82" t="s">
        <v>2</v>
      </c>
      <c r="C8" s="50">
        <v>0</v>
      </c>
      <c r="D8" s="50">
        <v>0</v>
      </c>
      <c r="E8" s="50">
        <v>0</v>
      </c>
      <c r="F8" s="50">
        <v>0</v>
      </c>
      <c r="G8" s="50">
        <v>0</v>
      </c>
      <c r="H8" s="50">
        <v>0</v>
      </c>
      <c r="I8" s="50">
        <v>0</v>
      </c>
      <c r="J8" s="50">
        <v>0</v>
      </c>
      <c r="K8" s="50">
        <v>0</v>
      </c>
      <c r="L8" s="50">
        <v>0</v>
      </c>
      <c r="M8" s="50">
        <v>0</v>
      </c>
      <c r="N8" s="50">
        <v>0</v>
      </c>
      <c r="O8" s="50">
        <v>0</v>
      </c>
      <c r="P8" s="50">
        <v>0</v>
      </c>
      <c r="Q8" s="50">
        <v>0</v>
      </c>
      <c r="R8" s="50">
        <v>0</v>
      </c>
      <c r="S8" s="50">
        <v>0</v>
      </c>
      <c r="T8" s="50">
        <v>0</v>
      </c>
      <c r="U8" s="50">
        <v>0</v>
      </c>
      <c r="V8" s="50">
        <v>0</v>
      </c>
      <c r="W8" s="50">
        <v>0</v>
      </c>
      <c r="X8" s="50">
        <v>0</v>
      </c>
      <c r="Y8" s="50">
        <v>0</v>
      </c>
      <c r="Z8" s="48">
        <v>0</v>
      </c>
      <c r="AA8" s="48">
        <v>0</v>
      </c>
      <c r="AB8" s="48">
        <v>0</v>
      </c>
      <c r="AC8" s="50">
        <v>0</v>
      </c>
      <c r="AD8" s="50">
        <v>0</v>
      </c>
      <c r="AE8" s="50">
        <v>0</v>
      </c>
      <c r="AF8" s="50">
        <v>0</v>
      </c>
      <c r="AG8" s="50">
        <v>0</v>
      </c>
      <c r="AH8" s="50">
        <v>0</v>
      </c>
      <c r="AI8" s="50">
        <v>0</v>
      </c>
      <c r="AJ8" s="50">
        <v>0</v>
      </c>
      <c r="AK8" s="50">
        <v>0</v>
      </c>
      <c r="AL8" s="48">
        <v>0</v>
      </c>
      <c r="AM8" s="48">
        <v>0</v>
      </c>
      <c r="AN8" s="48">
        <v>0</v>
      </c>
      <c r="AO8" s="48">
        <v>0</v>
      </c>
      <c r="AP8" s="48">
        <v>0</v>
      </c>
      <c r="AQ8" s="48">
        <v>0</v>
      </c>
      <c r="AR8" s="48">
        <v>0</v>
      </c>
      <c r="AS8" s="48">
        <v>0</v>
      </c>
      <c r="AT8" s="48">
        <v>0.2</v>
      </c>
      <c r="AU8" s="48">
        <v>0.22482369534555713</v>
      </c>
      <c r="AV8" s="48">
        <v>0</v>
      </c>
      <c r="AW8" s="48">
        <v>0</v>
      </c>
      <c r="AX8" s="48">
        <v>0</v>
      </c>
      <c r="AY8" s="48">
        <v>0</v>
      </c>
      <c r="AZ8" s="48">
        <v>0</v>
      </c>
      <c r="BA8" s="48">
        <v>0</v>
      </c>
      <c r="BB8" s="48">
        <v>0</v>
      </c>
      <c r="BC8" s="48">
        <v>0</v>
      </c>
      <c r="BD8" s="48">
        <v>0</v>
      </c>
      <c r="BE8" s="48">
        <v>0</v>
      </c>
      <c r="BF8" s="48" t="s">
        <v>18</v>
      </c>
      <c r="BG8" s="48" t="s">
        <v>18</v>
      </c>
      <c r="BH8" s="48" t="s">
        <v>18</v>
      </c>
      <c r="BI8" s="48" t="s">
        <v>18</v>
      </c>
      <c r="BJ8" s="48" t="s">
        <v>18</v>
      </c>
      <c r="BK8" s="48" t="s">
        <v>18</v>
      </c>
      <c r="BL8" s="48" t="s">
        <v>18</v>
      </c>
      <c r="BM8" s="48" t="s">
        <v>18</v>
      </c>
      <c r="BN8" s="48" t="s">
        <v>18</v>
      </c>
      <c r="BO8" s="48" t="s">
        <v>18</v>
      </c>
      <c r="BP8" s="48" t="s">
        <v>18</v>
      </c>
      <c r="BQ8" s="48" t="s">
        <v>18</v>
      </c>
      <c r="BR8" s="48" t="s">
        <v>18</v>
      </c>
      <c r="BS8" s="48" t="s">
        <v>18</v>
      </c>
      <c r="BT8" s="48" t="s">
        <v>18</v>
      </c>
      <c r="BU8" s="48" t="s">
        <v>18</v>
      </c>
      <c r="BV8" s="48" t="s">
        <v>18</v>
      </c>
      <c r="BW8" s="48" t="s">
        <v>18</v>
      </c>
      <c r="BX8" s="48" t="s">
        <v>18</v>
      </c>
    </row>
    <row r="9" spans="1:76" hidden="1" outlineLevel="1">
      <c r="A9" s="15"/>
      <c r="B9" s="82" t="s">
        <v>3</v>
      </c>
      <c r="C9" s="50">
        <v>0</v>
      </c>
      <c r="D9" s="50">
        <v>0</v>
      </c>
      <c r="E9" s="50">
        <v>0</v>
      </c>
      <c r="F9" s="50">
        <v>0</v>
      </c>
      <c r="G9" s="50">
        <v>0</v>
      </c>
      <c r="H9" s="50">
        <v>0</v>
      </c>
      <c r="I9" s="50">
        <v>0</v>
      </c>
      <c r="J9" s="50">
        <v>0</v>
      </c>
      <c r="K9" s="50">
        <v>0</v>
      </c>
      <c r="L9" s="50">
        <v>0</v>
      </c>
      <c r="M9" s="50">
        <v>0</v>
      </c>
      <c r="N9" s="50">
        <v>0</v>
      </c>
      <c r="O9" s="50">
        <v>0</v>
      </c>
      <c r="P9" s="50">
        <v>0</v>
      </c>
      <c r="Q9" s="50">
        <v>0</v>
      </c>
      <c r="R9" s="50">
        <v>0</v>
      </c>
      <c r="S9" s="50">
        <v>0</v>
      </c>
      <c r="T9" s="50">
        <v>0</v>
      </c>
      <c r="U9" s="50">
        <v>0</v>
      </c>
      <c r="V9" s="50">
        <v>0</v>
      </c>
      <c r="W9" s="50">
        <v>0</v>
      </c>
      <c r="X9" s="50">
        <v>0</v>
      </c>
      <c r="Y9" s="50">
        <v>0</v>
      </c>
      <c r="Z9" s="48">
        <v>0</v>
      </c>
      <c r="AA9" s="48">
        <v>0</v>
      </c>
      <c r="AB9" s="48">
        <v>0</v>
      </c>
      <c r="AC9" s="50">
        <v>0</v>
      </c>
      <c r="AD9" s="50">
        <v>0.52781100179576279</v>
      </c>
      <c r="AE9" s="50">
        <v>0.52781100179576279</v>
      </c>
      <c r="AF9" s="50">
        <v>0.5</v>
      </c>
      <c r="AG9" s="50">
        <v>0</v>
      </c>
      <c r="AH9" s="50">
        <v>0</v>
      </c>
      <c r="AI9" s="50">
        <v>0</v>
      </c>
      <c r="AJ9" s="50">
        <v>0</v>
      </c>
      <c r="AK9" s="50">
        <v>0</v>
      </c>
      <c r="AL9" s="48">
        <v>0</v>
      </c>
      <c r="AM9" s="48">
        <v>0</v>
      </c>
      <c r="AN9" s="48">
        <v>0</v>
      </c>
      <c r="AO9" s="48">
        <v>0</v>
      </c>
      <c r="AP9" s="48">
        <v>0</v>
      </c>
      <c r="AQ9" s="48">
        <v>0</v>
      </c>
      <c r="AR9" s="48">
        <v>0</v>
      </c>
      <c r="AS9" s="48">
        <v>0</v>
      </c>
      <c r="AT9" s="48">
        <v>0</v>
      </c>
      <c r="AU9" s="48">
        <v>0</v>
      </c>
      <c r="AV9" s="48">
        <v>0</v>
      </c>
      <c r="AW9" s="48">
        <v>0</v>
      </c>
      <c r="AX9" s="48">
        <v>0</v>
      </c>
      <c r="AY9" s="48">
        <v>0</v>
      </c>
      <c r="AZ9" s="48">
        <v>0</v>
      </c>
      <c r="BA9" s="48" t="s">
        <v>18</v>
      </c>
      <c r="BB9" s="48" t="s">
        <v>18</v>
      </c>
      <c r="BC9" s="48" t="s">
        <v>18</v>
      </c>
      <c r="BD9" s="48" t="s">
        <v>18</v>
      </c>
      <c r="BE9" s="48" t="s">
        <v>18</v>
      </c>
      <c r="BF9" s="48" t="s">
        <v>18</v>
      </c>
      <c r="BG9" s="48" t="s">
        <v>18</v>
      </c>
      <c r="BH9" s="48" t="s">
        <v>18</v>
      </c>
      <c r="BI9" s="48" t="s">
        <v>18</v>
      </c>
      <c r="BJ9" s="48" t="s">
        <v>18</v>
      </c>
      <c r="BK9" s="48" t="s">
        <v>18</v>
      </c>
      <c r="BL9" s="48" t="s">
        <v>18</v>
      </c>
      <c r="BM9" s="48" t="s">
        <v>18</v>
      </c>
      <c r="BN9" s="48" t="s">
        <v>18</v>
      </c>
      <c r="BO9" s="48" t="s">
        <v>18</v>
      </c>
      <c r="BP9" s="48" t="s">
        <v>18</v>
      </c>
      <c r="BQ9" s="48" t="s">
        <v>18</v>
      </c>
      <c r="BR9" s="48" t="s">
        <v>18</v>
      </c>
      <c r="BS9" s="48" t="s">
        <v>18</v>
      </c>
      <c r="BT9" s="48" t="s">
        <v>18</v>
      </c>
      <c r="BU9" s="48" t="s">
        <v>18</v>
      </c>
      <c r="BV9" s="48" t="s">
        <v>18</v>
      </c>
      <c r="BW9" s="48" t="s">
        <v>18</v>
      </c>
      <c r="BX9" s="48" t="s">
        <v>18</v>
      </c>
    </row>
    <row r="10" spans="1:76" hidden="1" outlineLevel="1">
      <c r="B10" s="82" t="s">
        <v>0</v>
      </c>
      <c r="C10" s="50">
        <v>0</v>
      </c>
      <c r="D10" s="50">
        <v>0</v>
      </c>
      <c r="E10" s="50">
        <v>0</v>
      </c>
      <c r="F10" s="50">
        <v>0</v>
      </c>
      <c r="G10" s="50">
        <v>0</v>
      </c>
      <c r="H10" s="50">
        <v>0</v>
      </c>
      <c r="I10" s="50">
        <v>0</v>
      </c>
      <c r="J10" s="50">
        <v>0</v>
      </c>
      <c r="K10" s="50">
        <v>0</v>
      </c>
      <c r="L10" s="50">
        <v>0</v>
      </c>
      <c r="M10" s="50">
        <v>0</v>
      </c>
      <c r="N10" s="50">
        <v>0</v>
      </c>
      <c r="O10" s="50">
        <v>0</v>
      </c>
      <c r="P10" s="50">
        <v>0</v>
      </c>
      <c r="Q10" s="50">
        <v>0</v>
      </c>
      <c r="R10" s="50">
        <v>0</v>
      </c>
      <c r="S10" s="50">
        <v>0</v>
      </c>
      <c r="T10" s="50">
        <v>0</v>
      </c>
      <c r="U10" s="50">
        <v>0</v>
      </c>
      <c r="V10" s="50">
        <v>0</v>
      </c>
      <c r="W10" s="50">
        <v>0</v>
      </c>
      <c r="X10" s="50">
        <v>0</v>
      </c>
      <c r="Y10" s="50">
        <v>0</v>
      </c>
      <c r="Z10" s="48">
        <v>0</v>
      </c>
      <c r="AA10" s="48">
        <v>0</v>
      </c>
      <c r="AB10" s="48">
        <v>0</v>
      </c>
      <c r="AC10" s="50">
        <v>0</v>
      </c>
      <c r="AD10" s="50">
        <v>0</v>
      </c>
      <c r="AE10" s="50">
        <v>0</v>
      </c>
      <c r="AF10" s="50">
        <v>0</v>
      </c>
      <c r="AG10" s="50">
        <v>0</v>
      </c>
      <c r="AH10" s="50">
        <v>0</v>
      </c>
      <c r="AI10" s="50">
        <v>0</v>
      </c>
      <c r="AJ10" s="50">
        <v>0</v>
      </c>
      <c r="AK10" s="50">
        <v>0</v>
      </c>
      <c r="AL10" s="48">
        <v>0</v>
      </c>
      <c r="AM10" s="48">
        <v>9.0284960995689972E-2</v>
      </c>
      <c r="AN10" s="48">
        <v>0</v>
      </c>
      <c r="AO10" s="48">
        <v>0</v>
      </c>
      <c r="AP10" s="48">
        <v>0</v>
      </c>
      <c r="AQ10" s="48">
        <v>0</v>
      </c>
      <c r="AR10" s="48">
        <v>0</v>
      </c>
      <c r="AS10" s="48">
        <v>0</v>
      </c>
      <c r="AT10" s="48">
        <v>0</v>
      </c>
      <c r="AU10" s="48">
        <v>0</v>
      </c>
      <c r="AV10" s="48">
        <v>0</v>
      </c>
      <c r="AW10" s="48">
        <v>0</v>
      </c>
      <c r="AX10" s="48">
        <v>0</v>
      </c>
      <c r="AY10" s="48">
        <v>4.2816071519276674E-2</v>
      </c>
      <c r="AZ10" s="48">
        <v>3.9566854380626078E-2</v>
      </c>
      <c r="BA10" s="48">
        <v>3.9566854380626078E-2</v>
      </c>
      <c r="BB10" s="48">
        <v>0.1319595358908891</v>
      </c>
      <c r="BC10" s="48">
        <v>0.11404788195317769</v>
      </c>
      <c r="BD10" s="48">
        <v>0.12961572120812823</v>
      </c>
      <c r="BE10" s="48">
        <v>0</v>
      </c>
      <c r="BF10" s="48" t="s">
        <v>18</v>
      </c>
      <c r="BG10" s="48" t="s">
        <v>18</v>
      </c>
      <c r="BH10" s="48" t="s">
        <v>18</v>
      </c>
      <c r="BI10" s="48" t="s">
        <v>18</v>
      </c>
      <c r="BJ10" s="48" t="s">
        <v>18</v>
      </c>
      <c r="BK10" s="48" t="s">
        <v>18</v>
      </c>
      <c r="BL10" s="48" t="s">
        <v>18</v>
      </c>
      <c r="BM10" s="48" t="s">
        <v>18</v>
      </c>
      <c r="BN10" s="48" t="s">
        <v>18</v>
      </c>
      <c r="BO10" s="48" t="s">
        <v>18</v>
      </c>
      <c r="BP10" s="48" t="s">
        <v>18</v>
      </c>
      <c r="BQ10" s="48" t="s">
        <v>18</v>
      </c>
      <c r="BR10" s="48" t="s">
        <v>18</v>
      </c>
      <c r="BS10" s="48" t="s">
        <v>18</v>
      </c>
      <c r="BT10" s="48" t="s">
        <v>18</v>
      </c>
      <c r="BU10" s="48" t="s">
        <v>18</v>
      </c>
      <c r="BV10" s="48" t="s">
        <v>18</v>
      </c>
      <c r="BW10" s="48" t="s">
        <v>18</v>
      </c>
      <c r="BX10" s="48" t="s">
        <v>18</v>
      </c>
    </row>
    <row r="11" spans="1:76" hidden="1" outlineLevel="1">
      <c r="B11" s="82" t="s">
        <v>1</v>
      </c>
      <c r="C11" s="50">
        <v>0</v>
      </c>
      <c r="D11" s="50">
        <v>0</v>
      </c>
      <c r="E11" s="50">
        <v>0</v>
      </c>
      <c r="F11" s="50">
        <v>0</v>
      </c>
      <c r="G11" s="50">
        <v>0</v>
      </c>
      <c r="H11" s="50">
        <v>0</v>
      </c>
      <c r="I11" s="50">
        <v>0</v>
      </c>
      <c r="J11" s="50">
        <v>0</v>
      </c>
      <c r="K11" s="50">
        <v>0</v>
      </c>
      <c r="L11" s="50">
        <v>0</v>
      </c>
      <c r="M11" s="50">
        <v>0</v>
      </c>
      <c r="N11" s="50">
        <v>0</v>
      </c>
      <c r="O11" s="50">
        <v>0</v>
      </c>
      <c r="P11" s="50">
        <v>0</v>
      </c>
      <c r="Q11" s="50">
        <v>0</v>
      </c>
      <c r="R11" s="50">
        <v>0</v>
      </c>
      <c r="S11" s="50">
        <v>0</v>
      </c>
      <c r="T11" s="50">
        <v>0</v>
      </c>
      <c r="U11" s="50">
        <v>0</v>
      </c>
      <c r="V11" s="50">
        <v>0</v>
      </c>
      <c r="W11" s="50">
        <v>0</v>
      </c>
      <c r="X11" s="50">
        <v>0</v>
      </c>
      <c r="Y11" s="50">
        <v>0</v>
      </c>
      <c r="Z11" s="48">
        <v>0.13791348483665714</v>
      </c>
      <c r="AA11" s="48">
        <v>0.13791348483665714</v>
      </c>
      <c r="AB11" s="48">
        <v>0.13791348483665714</v>
      </c>
      <c r="AC11" s="50">
        <v>0.1263295572300821</v>
      </c>
      <c r="AD11" s="50">
        <v>6.1128637005811864E-2</v>
      </c>
      <c r="AE11" s="50">
        <v>6.1128637005811864E-2</v>
      </c>
      <c r="AF11" s="50">
        <v>0.06</v>
      </c>
      <c r="AG11" s="50">
        <v>0.30889146542509821</v>
      </c>
      <c r="AH11" s="50">
        <v>0.30889146542509821</v>
      </c>
      <c r="AI11" s="50">
        <v>0.24859976328073571</v>
      </c>
      <c r="AJ11" s="50">
        <v>0.22574636007756246</v>
      </c>
      <c r="AK11" s="50">
        <v>0</v>
      </c>
      <c r="AL11" s="48">
        <v>7.0000000000000007E-2</v>
      </c>
      <c r="AM11" s="48">
        <v>0</v>
      </c>
      <c r="AN11" s="48">
        <v>0</v>
      </c>
      <c r="AO11" s="48">
        <v>0</v>
      </c>
      <c r="AP11" s="48">
        <v>0</v>
      </c>
      <c r="AQ11" s="48">
        <v>0</v>
      </c>
      <c r="AR11" s="48">
        <v>0</v>
      </c>
      <c r="AS11" s="48">
        <v>0</v>
      </c>
      <c r="AT11" s="48">
        <v>0</v>
      </c>
      <c r="AU11" s="48">
        <v>6.6068002783173568E-2</v>
      </c>
      <c r="AV11" s="48">
        <v>6.6068002783173568E-2</v>
      </c>
      <c r="AW11" s="48">
        <v>6.6068002783173568E-2</v>
      </c>
      <c r="AX11" s="48">
        <v>6.6068002783173568E-2</v>
      </c>
      <c r="AY11" s="48">
        <v>0</v>
      </c>
      <c r="AZ11" s="48">
        <v>6.1967076055427929E-2</v>
      </c>
      <c r="BA11" s="48">
        <v>6.1967076055427929E-2</v>
      </c>
      <c r="BB11" s="48">
        <v>0.25464049801173255</v>
      </c>
      <c r="BC11" s="48">
        <v>0.25464049801173255</v>
      </c>
      <c r="BD11" s="48">
        <v>0</v>
      </c>
      <c r="BE11" s="48">
        <v>0</v>
      </c>
      <c r="BF11" s="48" t="s">
        <v>18</v>
      </c>
      <c r="BG11" s="48" t="s">
        <v>18</v>
      </c>
      <c r="BH11" s="48" t="s">
        <v>18</v>
      </c>
      <c r="BI11" s="48" t="s">
        <v>18</v>
      </c>
      <c r="BJ11" s="48" t="s">
        <v>18</v>
      </c>
      <c r="BK11" s="48" t="s">
        <v>18</v>
      </c>
      <c r="BL11" s="48" t="s">
        <v>18</v>
      </c>
      <c r="BM11" s="48" t="s">
        <v>18</v>
      </c>
      <c r="BN11" s="48" t="s">
        <v>18</v>
      </c>
      <c r="BO11" s="48" t="s">
        <v>18</v>
      </c>
      <c r="BP11" s="48" t="s">
        <v>18</v>
      </c>
      <c r="BQ11" s="48" t="s">
        <v>18</v>
      </c>
      <c r="BR11" s="48" t="s">
        <v>18</v>
      </c>
      <c r="BS11" s="48" t="s">
        <v>18</v>
      </c>
      <c r="BT11" s="48" t="s">
        <v>18</v>
      </c>
      <c r="BU11" s="48" t="s">
        <v>18</v>
      </c>
      <c r="BV11" s="48" t="s">
        <v>18</v>
      </c>
      <c r="BW11" s="48" t="s">
        <v>18</v>
      </c>
      <c r="BX11" s="48" t="s">
        <v>18</v>
      </c>
    </row>
    <row r="12" spans="1:76" hidden="1" outlineLevel="1">
      <c r="B12" s="82" t="s">
        <v>33</v>
      </c>
      <c r="C12" s="50" t="s">
        <v>18</v>
      </c>
      <c r="D12" s="50">
        <v>0</v>
      </c>
      <c r="E12" s="50">
        <v>0</v>
      </c>
      <c r="F12" s="50">
        <v>0</v>
      </c>
      <c r="G12" s="50">
        <v>0</v>
      </c>
      <c r="H12" s="50">
        <v>0</v>
      </c>
      <c r="I12" s="50">
        <v>0</v>
      </c>
      <c r="J12" s="50">
        <v>0</v>
      </c>
      <c r="K12" s="50">
        <v>0</v>
      </c>
      <c r="L12" s="50">
        <v>0</v>
      </c>
      <c r="M12" s="50">
        <v>0</v>
      </c>
      <c r="N12" s="50">
        <v>0</v>
      </c>
      <c r="O12" s="50">
        <v>0</v>
      </c>
      <c r="P12" s="50">
        <v>0</v>
      </c>
      <c r="Q12" s="50">
        <v>0</v>
      </c>
      <c r="R12" s="50">
        <v>0</v>
      </c>
      <c r="S12" s="50">
        <v>0</v>
      </c>
      <c r="T12" s="50">
        <v>0</v>
      </c>
      <c r="U12" s="50">
        <v>0</v>
      </c>
      <c r="V12" s="50">
        <v>0</v>
      </c>
      <c r="W12" s="50">
        <v>8.5999999999999993E-2</v>
      </c>
      <c r="X12" s="50">
        <v>0.19</v>
      </c>
      <c r="Y12" s="50">
        <v>0.19</v>
      </c>
      <c r="Z12" s="48">
        <v>0.18966297197440751</v>
      </c>
      <c r="AA12" s="48">
        <v>0.18966297197440751</v>
      </c>
      <c r="AB12" s="48">
        <v>0.16639999999999999</v>
      </c>
      <c r="AC12" s="50">
        <v>0.17204830134270524</v>
      </c>
      <c r="AD12" s="50">
        <v>0.17204830134270524</v>
      </c>
      <c r="AE12" s="50">
        <v>0.17204830134270524</v>
      </c>
      <c r="AF12" s="50">
        <v>0.17799999999999999</v>
      </c>
      <c r="AG12" s="50">
        <v>8.9168636806477297E-2</v>
      </c>
      <c r="AH12" s="50">
        <v>8.9168636806477297E-2</v>
      </c>
      <c r="AI12" s="50">
        <v>8.9168636806477297E-2</v>
      </c>
      <c r="AJ12" s="50">
        <v>0</v>
      </c>
      <c r="AK12" s="50">
        <v>0.30499999999999999</v>
      </c>
      <c r="AL12" s="48">
        <v>0.30499999999999999</v>
      </c>
      <c r="AM12" s="48">
        <v>0.23784322265769695</v>
      </c>
      <c r="AN12" s="48">
        <v>0.23366222624609395</v>
      </c>
      <c r="AO12" s="48">
        <v>0.23784309497457626</v>
      </c>
      <c r="AP12" s="48">
        <v>0</v>
      </c>
      <c r="AQ12" s="48">
        <v>6.70196670355932E-2</v>
      </c>
      <c r="AR12" s="48">
        <v>0.15243138100508472</v>
      </c>
      <c r="AS12" s="48">
        <v>0.15243138100508472</v>
      </c>
      <c r="AT12" s="48">
        <v>7.9519688122152168E-2</v>
      </c>
      <c r="AU12" s="48">
        <v>7.9519688122152168E-2</v>
      </c>
      <c r="AV12" s="48">
        <v>7.9519688122152168E-2</v>
      </c>
      <c r="AW12" s="48">
        <v>7.9519688122152168E-2</v>
      </c>
      <c r="AX12" s="48">
        <v>7.9519688122152168E-2</v>
      </c>
      <c r="AY12" s="48">
        <v>0</v>
      </c>
      <c r="AZ12" s="48">
        <v>0</v>
      </c>
      <c r="BA12" s="48">
        <v>0</v>
      </c>
      <c r="BB12" s="48">
        <v>0</v>
      </c>
      <c r="BC12" s="48">
        <v>7.9519688122152168E-2</v>
      </c>
      <c r="BD12" s="48">
        <v>0</v>
      </c>
      <c r="BE12" s="48">
        <v>4.2664456421235022E-2</v>
      </c>
      <c r="BF12" s="48" t="s">
        <v>18</v>
      </c>
      <c r="BG12" s="48" t="s">
        <v>18</v>
      </c>
      <c r="BH12" s="48" t="s">
        <v>18</v>
      </c>
      <c r="BI12" s="48" t="s">
        <v>18</v>
      </c>
      <c r="BJ12" s="48" t="s">
        <v>18</v>
      </c>
      <c r="BK12" s="48" t="s">
        <v>18</v>
      </c>
      <c r="BL12" s="48" t="s">
        <v>18</v>
      </c>
      <c r="BM12" s="48" t="s">
        <v>18</v>
      </c>
      <c r="BN12" s="48" t="s">
        <v>18</v>
      </c>
      <c r="BO12" s="48" t="s">
        <v>18</v>
      </c>
      <c r="BP12" s="48" t="s">
        <v>18</v>
      </c>
      <c r="BQ12" s="48" t="s">
        <v>18</v>
      </c>
      <c r="BR12" s="48" t="s">
        <v>18</v>
      </c>
      <c r="BS12" s="48" t="s">
        <v>18</v>
      </c>
      <c r="BT12" s="48" t="s">
        <v>18</v>
      </c>
      <c r="BU12" s="48" t="s">
        <v>18</v>
      </c>
      <c r="BV12" s="48" t="s">
        <v>18</v>
      </c>
      <c r="BW12" s="48" t="s">
        <v>18</v>
      </c>
      <c r="BX12" s="48" t="s">
        <v>18</v>
      </c>
    </row>
    <row r="13" spans="1:76" hidden="1" outlineLevel="1">
      <c r="A13" t="s">
        <v>28</v>
      </c>
      <c r="B13" s="23" t="s">
        <v>28</v>
      </c>
      <c r="C13" s="50" t="s">
        <v>18</v>
      </c>
      <c r="D13" s="50" t="s">
        <v>18</v>
      </c>
      <c r="E13" s="50" t="s">
        <v>18</v>
      </c>
      <c r="F13" s="50" t="s">
        <v>18</v>
      </c>
      <c r="G13" s="50" t="s">
        <v>18</v>
      </c>
      <c r="H13" s="50" t="s">
        <v>18</v>
      </c>
      <c r="I13" s="50" t="s">
        <v>18</v>
      </c>
      <c r="J13" s="50" t="s">
        <v>18</v>
      </c>
      <c r="K13" s="50" t="s">
        <v>18</v>
      </c>
      <c r="L13" s="50" t="s">
        <v>18</v>
      </c>
      <c r="M13" s="50" t="s">
        <v>18</v>
      </c>
      <c r="N13" s="50" t="s">
        <v>18</v>
      </c>
      <c r="O13" s="50" t="s">
        <v>18</v>
      </c>
      <c r="P13" s="50" t="s">
        <v>18</v>
      </c>
      <c r="Q13" s="50" t="s">
        <v>18</v>
      </c>
      <c r="R13" s="50" t="s">
        <v>18</v>
      </c>
      <c r="S13" s="50" t="s">
        <v>18</v>
      </c>
      <c r="T13" s="50" t="s">
        <v>18</v>
      </c>
      <c r="U13" s="50" t="s">
        <v>18</v>
      </c>
      <c r="V13" s="50" t="s">
        <v>18</v>
      </c>
      <c r="W13" s="50" t="s">
        <v>18</v>
      </c>
      <c r="X13" s="50" t="s">
        <v>18</v>
      </c>
      <c r="Y13" s="50">
        <v>1</v>
      </c>
      <c r="Z13" s="48">
        <v>1</v>
      </c>
      <c r="AA13" s="48">
        <v>1</v>
      </c>
      <c r="AB13" s="48">
        <v>1</v>
      </c>
      <c r="AC13" s="50">
        <v>1</v>
      </c>
      <c r="AD13" s="50">
        <v>1</v>
      </c>
      <c r="AE13" s="50">
        <v>1</v>
      </c>
      <c r="AF13" s="50">
        <v>1</v>
      </c>
      <c r="AG13" s="50">
        <v>0.87500918644815162</v>
      </c>
      <c r="AH13" s="50">
        <v>0.87500918644815162</v>
      </c>
      <c r="AI13" s="50">
        <v>0.87500918644815195</v>
      </c>
      <c r="AJ13" s="50">
        <v>0.62513779672227532</v>
      </c>
      <c r="AK13" s="50">
        <v>0.5</v>
      </c>
      <c r="AL13" s="48">
        <v>0.49199999999999999</v>
      </c>
      <c r="AM13" s="48">
        <v>0.35925146757553761</v>
      </c>
      <c r="AN13" s="48">
        <v>0.375</v>
      </c>
      <c r="AO13" s="48">
        <v>0.375</v>
      </c>
      <c r="AP13" s="48">
        <v>0.375</v>
      </c>
      <c r="AQ13" s="48">
        <v>0.375</v>
      </c>
      <c r="AR13" s="48">
        <v>0.37509301535097794</v>
      </c>
      <c r="AS13" s="48">
        <v>0.37509301535097794</v>
      </c>
      <c r="AT13" s="48">
        <v>0.37509301535097794</v>
      </c>
      <c r="AU13" s="48">
        <v>0.37509301535097794</v>
      </c>
      <c r="AV13" s="48">
        <v>0.37509301535097794</v>
      </c>
      <c r="AW13" s="48">
        <v>0.37509301535097794</v>
      </c>
      <c r="AX13" s="48">
        <v>0.43758037846775677</v>
      </c>
      <c r="AY13" s="48">
        <v>0.43758037846775677</v>
      </c>
      <c r="AZ13" s="48">
        <v>0.43758037846775677</v>
      </c>
      <c r="BA13" s="48">
        <v>0.43758037846775677</v>
      </c>
      <c r="BB13" s="48">
        <v>0.43758037846775677</v>
      </c>
      <c r="BC13" s="48">
        <v>0.50000918611060086</v>
      </c>
      <c r="BD13" s="48">
        <v>0.50000918611060086</v>
      </c>
      <c r="BE13" s="48">
        <v>0.37501377916590117</v>
      </c>
      <c r="BF13" s="48">
        <v>0.43749770347234984</v>
      </c>
      <c r="BG13" s="48">
        <v>0.43749770347234984</v>
      </c>
      <c r="BH13" s="48">
        <v>0.56249986221336046</v>
      </c>
      <c r="BI13" s="48">
        <v>0.56249986221336046</v>
      </c>
      <c r="BJ13" s="48">
        <v>0.56251377967222749</v>
      </c>
      <c r="BK13" s="48">
        <v>0.68748622032777229</v>
      </c>
      <c r="BL13" s="48">
        <v>0.62499999999999989</v>
      </c>
      <c r="BM13" s="48">
        <v>0.62501033446935939</v>
      </c>
      <c r="BN13" s="48">
        <v>0.62501033446935939</v>
      </c>
      <c r="BO13" s="48">
        <v>0.62501033446935939</v>
      </c>
      <c r="BP13" s="48">
        <v>0.62501033446935939</v>
      </c>
      <c r="BQ13" s="48">
        <v>0.74999999999999978</v>
      </c>
      <c r="BR13" s="48">
        <v>0.74999999999999978</v>
      </c>
      <c r="BS13" s="48">
        <v>0.74999999999999978</v>
      </c>
      <c r="BT13" s="48">
        <v>0.62499999999999989</v>
      </c>
      <c r="BU13" s="48">
        <v>0.62499999999999989</v>
      </c>
      <c r="BV13" s="48">
        <v>0.55122733654620659</v>
      </c>
      <c r="BW13" s="48">
        <v>0.55122733654620659</v>
      </c>
      <c r="BX13" s="48">
        <v>0.43906403939229111</v>
      </c>
    </row>
    <row r="14" spans="1:76" hidden="1" outlineLevel="1">
      <c r="B14" s="82" t="s">
        <v>27</v>
      </c>
      <c r="C14" s="50" t="s">
        <v>18</v>
      </c>
      <c r="D14" s="50" t="s">
        <v>18</v>
      </c>
      <c r="E14" s="50" t="s">
        <v>18</v>
      </c>
      <c r="F14" s="50" t="s">
        <v>18</v>
      </c>
      <c r="G14" s="50" t="s">
        <v>18</v>
      </c>
      <c r="H14" s="50" t="s">
        <v>18</v>
      </c>
      <c r="I14" s="50" t="s">
        <v>18</v>
      </c>
      <c r="J14" s="50" t="s">
        <v>18</v>
      </c>
      <c r="K14" s="50" t="s">
        <v>18</v>
      </c>
      <c r="L14" s="50" t="s">
        <v>18</v>
      </c>
      <c r="M14" s="50" t="s">
        <v>18</v>
      </c>
      <c r="N14" s="50" t="s">
        <v>18</v>
      </c>
      <c r="O14" s="50" t="s">
        <v>18</v>
      </c>
      <c r="P14" s="50" t="s">
        <v>18</v>
      </c>
      <c r="Q14" s="50" t="s">
        <v>18</v>
      </c>
      <c r="R14" s="50" t="s">
        <v>18</v>
      </c>
      <c r="S14" s="50" t="s">
        <v>18</v>
      </c>
      <c r="T14" s="50" t="s">
        <v>18</v>
      </c>
      <c r="U14" s="50" t="s">
        <v>18</v>
      </c>
      <c r="V14" s="50" t="s">
        <v>18</v>
      </c>
      <c r="W14" s="50" t="s">
        <v>18</v>
      </c>
      <c r="X14" s="50" t="s">
        <v>18</v>
      </c>
      <c r="Y14" s="50" t="s">
        <v>18</v>
      </c>
      <c r="Z14" s="48" t="s">
        <v>18</v>
      </c>
      <c r="AA14" s="48" t="s">
        <v>18</v>
      </c>
      <c r="AB14" s="48" t="s">
        <v>18</v>
      </c>
      <c r="AC14" s="50" t="s">
        <v>18</v>
      </c>
      <c r="AD14" s="50" t="s">
        <v>18</v>
      </c>
      <c r="AE14" s="50" t="s">
        <v>18</v>
      </c>
      <c r="AF14" s="50" t="s">
        <v>18</v>
      </c>
      <c r="AG14" s="50" t="s">
        <v>18</v>
      </c>
      <c r="AH14" s="50" t="s">
        <v>18</v>
      </c>
      <c r="AI14" s="50" t="s">
        <v>18</v>
      </c>
      <c r="AJ14" s="50" t="s">
        <v>18</v>
      </c>
      <c r="AK14" s="50" t="s">
        <v>18</v>
      </c>
      <c r="AL14" s="48" t="s">
        <v>18</v>
      </c>
      <c r="AM14" s="48" t="s">
        <v>18</v>
      </c>
      <c r="AN14" s="48">
        <v>0.42307692307692307</v>
      </c>
      <c r="AO14" s="48">
        <v>0.42307692307692307</v>
      </c>
      <c r="AP14" s="48">
        <v>0.42307692307692307</v>
      </c>
      <c r="AQ14" s="48">
        <v>0.32324501048237392</v>
      </c>
      <c r="AR14" s="48">
        <v>0.32324501048237392</v>
      </c>
      <c r="AS14" s="48">
        <v>0.32324501048237392</v>
      </c>
      <c r="AT14" s="48">
        <v>0.13853357592101739</v>
      </c>
      <c r="AU14" s="48">
        <v>0.13853357592101739</v>
      </c>
      <c r="AV14" s="48">
        <v>4.6177858640339131E-2</v>
      </c>
      <c r="AW14" s="48">
        <v>4.6177858640339131E-2</v>
      </c>
      <c r="AX14" s="48">
        <v>0</v>
      </c>
      <c r="AY14" s="48">
        <v>0</v>
      </c>
      <c r="AZ14" s="48">
        <v>0</v>
      </c>
      <c r="BA14" s="48">
        <v>0</v>
      </c>
      <c r="BB14" s="48">
        <v>0</v>
      </c>
      <c r="BC14" s="48">
        <v>0</v>
      </c>
      <c r="BD14" s="48">
        <v>0</v>
      </c>
      <c r="BE14" s="48">
        <v>0</v>
      </c>
      <c r="BF14" s="48" t="s">
        <v>18</v>
      </c>
      <c r="BG14" s="48" t="s">
        <v>18</v>
      </c>
      <c r="BH14" s="48" t="s">
        <v>18</v>
      </c>
      <c r="BI14" s="48" t="s">
        <v>18</v>
      </c>
      <c r="BJ14" s="48" t="s">
        <v>18</v>
      </c>
      <c r="BK14" s="48" t="s">
        <v>18</v>
      </c>
      <c r="BL14" s="48" t="s">
        <v>18</v>
      </c>
      <c r="BM14" s="48" t="s">
        <v>18</v>
      </c>
      <c r="BN14" s="48" t="s">
        <v>18</v>
      </c>
      <c r="BO14" s="48" t="s">
        <v>18</v>
      </c>
      <c r="BP14" s="48" t="s">
        <v>18</v>
      </c>
      <c r="BQ14" s="48" t="s">
        <v>18</v>
      </c>
      <c r="BR14" s="48" t="s">
        <v>18</v>
      </c>
      <c r="BS14" s="48" t="s">
        <v>18</v>
      </c>
      <c r="BT14" s="48" t="s">
        <v>18</v>
      </c>
      <c r="BU14" s="48" t="s">
        <v>18</v>
      </c>
      <c r="BV14" s="48" t="s">
        <v>18</v>
      </c>
      <c r="BW14" s="48" t="s">
        <v>18</v>
      </c>
      <c r="BX14" s="48" t="s">
        <v>18</v>
      </c>
    </row>
    <row r="15" spans="1:76" hidden="1" outlineLevel="1">
      <c r="B15" s="82" t="s">
        <v>19</v>
      </c>
      <c r="C15" s="50" t="s">
        <v>18</v>
      </c>
      <c r="D15" s="50" t="s">
        <v>18</v>
      </c>
      <c r="E15" s="50" t="s">
        <v>18</v>
      </c>
      <c r="F15" s="50" t="s">
        <v>18</v>
      </c>
      <c r="G15" s="50" t="s">
        <v>18</v>
      </c>
      <c r="H15" s="50" t="s">
        <v>18</v>
      </c>
      <c r="I15" s="50" t="s">
        <v>18</v>
      </c>
      <c r="J15" s="50" t="s">
        <v>18</v>
      </c>
      <c r="K15" s="50" t="s">
        <v>18</v>
      </c>
      <c r="L15" s="50" t="s">
        <v>18</v>
      </c>
      <c r="M15" s="50" t="s">
        <v>18</v>
      </c>
      <c r="N15" s="50" t="s">
        <v>18</v>
      </c>
      <c r="O15" s="50" t="s">
        <v>18</v>
      </c>
      <c r="P15" s="50" t="s">
        <v>18</v>
      </c>
      <c r="Q15" s="50" t="s">
        <v>18</v>
      </c>
      <c r="R15" s="50" t="s">
        <v>18</v>
      </c>
      <c r="S15" s="50" t="s">
        <v>18</v>
      </c>
      <c r="T15" s="50" t="s">
        <v>18</v>
      </c>
      <c r="U15" s="50" t="s">
        <v>18</v>
      </c>
      <c r="V15" s="50" t="s">
        <v>18</v>
      </c>
      <c r="W15" s="50" t="s">
        <v>18</v>
      </c>
      <c r="X15" s="50" t="s">
        <v>18</v>
      </c>
      <c r="Y15" s="50" t="s">
        <v>18</v>
      </c>
      <c r="Z15" s="48" t="s">
        <v>18</v>
      </c>
      <c r="AA15" s="48" t="s">
        <v>18</v>
      </c>
      <c r="AB15" s="48" t="s">
        <v>18</v>
      </c>
      <c r="AC15" s="50">
        <v>0.70052428109940157</v>
      </c>
      <c r="AD15" s="50">
        <v>0.70052428109940157</v>
      </c>
      <c r="AE15" s="50">
        <v>0.70052428109940157</v>
      </c>
      <c r="AF15" s="50">
        <v>0.497</v>
      </c>
      <c r="AG15" s="50">
        <v>0.24749681275345115</v>
      </c>
      <c r="AH15" s="50">
        <v>0.1323142739090841</v>
      </c>
      <c r="AI15" s="50" t="s">
        <v>18</v>
      </c>
      <c r="AJ15" s="50" t="s">
        <v>18</v>
      </c>
      <c r="AK15" s="50" t="s">
        <v>18</v>
      </c>
      <c r="AL15" s="48" t="s">
        <v>18</v>
      </c>
      <c r="AM15" s="48" t="s">
        <v>18</v>
      </c>
      <c r="AN15" s="48" t="s">
        <v>18</v>
      </c>
      <c r="AO15" s="48" t="s">
        <v>18</v>
      </c>
      <c r="AP15" s="48" t="s">
        <v>18</v>
      </c>
      <c r="AQ15" s="48" t="s">
        <v>18</v>
      </c>
      <c r="AR15" s="48" t="s">
        <v>18</v>
      </c>
      <c r="AS15" s="48" t="s">
        <v>18</v>
      </c>
      <c r="AT15" s="48" t="s">
        <v>18</v>
      </c>
      <c r="AU15" s="48" t="s">
        <v>18</v>
      </c>
      <c r="AV15" s="48" t="s">
        <v>18</v>
      </c>
      <c r="AW15" s="48" t="s">
        <v>18</v>
      </c>
      <c r="AX15" s="48" t="s">
        <v>18</v>
      </c>
      <c r="AY15" s="48" t="s">
        <v>18</v>
      </c>
      <c r="AZ15" s="48" t="s">
        <v>18</v>
      </c>
      <c r="BA15" s="48" t="s">
        <v>18</v>
      </c>
      <c r="BB15" s="48" t="s">
        <v>18</v>
      </c>
      <c r="BC15" s="48" t="s">
        <v>18</v>
      </c>
      <c r="BD15" s="48" t="s">
        <v>18</v>
      </c>
      <c r="BE15" s="48" t="s">
        <v>18</v>
      </c>
      <c r="BF15" s="48" t="s">
        <v>18</v>
      </c>
      <c r="BG15" s="48" t="s">
        <v>18</v>
      </c>
      <c r="BH15" s="48" t="s">
        <v>18</v>
      </c>
      <c r="BI15" s="48" t="s">
        <v>18</v>
      </c>
      <c r="BJ15" s="48" t="s">
        <v>18</v>
      </c>
      <c r="BK15" s="48" t="s">
        <v>18</v>
      </c>
      <c r="BL15" s="48" t="s">
        <v>18</v>
      </c>
      <c r="BM15" s="48" t="s">
        <v>18</v>
      </c>
      <c r="BN15" s="48" t="s">
        <v>18</v>
      </c>
      <c r="BO15" s="48" t="s">
        <v>18</v>
      </c>
      <c r="BP15" s="48" t="s">
        <v>18</v>
      </c>
      <c r="BQ15" s="48" t="s">
        <v>18</v>
      </c>
      <c r="BR15" s="48" t="s">
        <v>18</v>
      </c>
      <c r="BS15" s="48" t="s">
        <v>18</v>
      </c>
      <c r="BT15" s="48" t="s">
        <v>18</v>
      </c>
      <c r="BU15" s="48" t="s">
        <v>18</v>
      </c>
      <c r="BV15" s="48" t="s">
        <v>18</v>
      </c>
      <c r="BW15" s="48" t="s">
        <v>18</v>
      </c>
      <c r="BX15" s="48" t="s">
        <v>18</v>
      </c>
    </row>
    <row r="16" spans="1:76" hidden="1" outlineLevel="1">
      <c r="B16" s="82" t="s">
        <v>5</v>
      </c>
      <c r="C16" s="50" t="s">
        <v>18</v>
      </c>
      <c r="D16" s="50" t="s">
        <v>18</v>
      </c>
      <c r="E16" s="50" t="s">
        <v>18</v>
      </c>
      <c r="F16" s="50" t="s">
        <v>18</v>
      </c>
      <c r="G16" s="50">
        <v>1</v>
      </c>
      <c r="H16" s="50">
        <v>0.86</v>
      </c>
      <c r="I16" s="50">
        <v>0.42</v>
      </c>
      <c r="J16" s="50">
        <v>0</v>
      </c>
      <c r="K16" s="50">
        <v>0</v>
      </c>
      <c r="L16" s="50">
        <v>0</v>
      </c>
      <c r="M16" s="50">
        <v>0</v>
      </c>
      <c r="N16" s="50">
        <v>0</v>
      </c>
      <c r="O16" s="50">
        <v>0</v>
      </c>
      <c r="P16" s="50" t="s">
        <v>18</v>
      </c>
      <c r="Q16" s="50" t="s">
        <v>18</v>
      </c>
      <c r="R16" s="50" t="s">
        <v>18</v>
      </c>
      <c r="S16" s="50" t="s">
        <v>18</v>
      </c>
      <c r="T16" s="50" t="s">
        <v>18</v>
      </c>
      <c r="U16" s="50" t="s">
        <v>18</v>
      </c>
      <c r="V16" s="50" t="s">
        <v>18</v>
      </c>
      <c r="W16" s="50" t="s">
        <v>18</v>
      </c>
      <c r="X16" s="50" t="s">
        <v>18</v>
      </c>
      <c r="Y16" s="50" t="s">
        <v>18</v>
      </c>
      <c r="Z16" s="48" t="s">
        <v>18</v>
      </c>
      <c r="AA16" s="48" t="s">
        <v>18</v>
      </c>
      <c r="AB16" s="48" t="s">
        <v>18</v>
      </c>
      <c r="AC16" s="50" t="s">
        <v>18</v>
      </c>
      <c r="AD16" s="50" t="s">
        <v>18</v>
      </c>
      <c r="AE16" s="50" t="s">
        <v>18</v>
      </c>
      <c r="AF16" s="50" t="s">
        <v>18</v>
      </c>
      <c r="AG16" s="50" t="s">
        <v>18</v>
      </c>
      <c r="AH16" s="50" t="s">
        <v>18</v>
      </c>
      <c r="AI16" s="50" t="s">
        <v>18</v>
      </c>
      <c r="AJ16" s="50" t="s">
        <v>18</v>
      </c>
      <c r="AK16" s="50" t="s">
        <v>18</v>
      </c>
      <c r="AL16" s="48" t="s">
        <v>18</v>
      </c>
      <c r="AM16" s="48" t="s">
        <v>18</v>
      </c>
      <c r="AN16" s="48" t="s">
        <v>18</v>
      </c>
      <c r="AO16" s="48" t="s">
        <v>18</v>
      </c>
      <c r="AP16" s="48" t="s">
        <v>18</v>
      </c>
      <c r="AQ16" s="48" t="s">
        <v>18</v>
      </c>
      <c r="AR16" s="48" t="s">
        <v>18</v>
      </c>
      <c r="AS16" s="48" t="s">
        <v>18</v>
      </c>
      <c r="AT16" s="48" t="s">
        <v>18</v>
      </c>
      <c r="AU16" s="48" t="s">
        <v>18</v>
      </c>
      <c r="AV16" s="48" t="s">
        <v>18</v>
      </c>
      <c r="AW16" s="48" t="s">
        <v>18</v>
      </c>
      <c r="AX16" s="48" t="s">
        <v>18</v>
      </c>
      <c r="AY16" s="48" t="s">
        <v>18</v>
      </c>
      <c r="AZ16" s="48" t="s">
        <v>18</v>
      </c>
      <c r="BA16" s="48" t="s">
        <v>18</v>
      </c>
      <c r="BB16" s="48" t="s">
        <v>18</v>
      </c>
      <c r="BC16" s="48" t="s">
        <v>18</v>
      </c>
      <c r="BD16" s="48" t="s">
        <v>18</v>
      </c>
      <c r="BE16" s="48" t="s">
        <v>18</v>
      </c>
      <c r="BF16" s="48" t="s">
        <v>18</v>
      </c>
      <c r="BG16" s="48" t="s">
        <v>18</v>
      </c>
      <c r="BH16" s="48" t="s">
        <v>18</v>
      </c>
      <c r="BI16" s="48" t="s">
        <v>18</v>
      </c>
      <c r="BJ16" s="48" t="s">
        <v>18</v>
      </c>
      <c r="BK16" s="48" t="s">
        <v>18</v>
      </c>
      <c r="BL16" s="48" t="s">
        <v>18</v>
      </c>
      <c r="BM16" s="48" t="s">
        <v>18</v>
      </c>
      <c r="BN16" s="48" t="s">
        <v>18</v>
      </c>
      <c r="BO16" s="48" t="s">
        <v>18</v>
      </c>
      <c r="BP16" s="48" t="s">
        <v>18</v>
      </c>
      <c r="BQ16" s="48" t="s">
        <v>18</v>
      </c>
      <c r="BR16" s="48" t="s">
        <v>18</v>
      </c>
      <c r="BS16" s="48" t="s">
        <v>18</v>
      </c>
      <c r="BT16" s="48" t="s">
        <v>18</v>
      </c>
      <c r="BU16" s="48" t="s">
        <v>18</v>
      </c>
      <c r="BV16" s="48" t="s">
        <v>18</v>
      </c>
      <c r="BW16" s="48" t="s">
        <v>18</v>
      </c>
      <c r="BX16" s="48" t="s">
        <v>18</v>
      </c>
    </row>
    <row r="17" spans="1:76" hidden="1" outlineLevel="1">
      <c r="A17" t="s">
        <v>48</v>
      </c>
      <c r="B17" s="82" t="s">
        <v>48</v>
      </c>
      <c r="C17" s="50" t="s">
        <v>18</v>
      </c>
      <c r="D17" s="50" t="s">
        <v>18</v>
      </c>
      <c r="E17" s="50" t="s">
        <v>18</v>
      </c>
      <c r="F17" s="50" t="s">
        <v>18</v>
      </c>
      <c r="G17" s="50" t="s">
        <v>18</v>
      </c>
      <c r="H17" s="50" t="s">
        <v>18</v>
      </c>
      <c r="I17" s="50" t="s">
        <v>18</v>
      </c>
      <c r="J17" s="50" t="s">
        <v>18</v>
      </c>
      <c r="K17" s="50" t="s">
        <v>18</v>
      </c>
      <c r="L17" s="50" t="s">
        <v>18</v>
      </c>
      <c r="M17" s="50" t="s">
        <v>18</v>
      </c>
      <c r="N17" s="50" t="s">
        <v>18</v>
      </c>
      <c r="O17" s="50" t="s">
        <v>18</v>
      </c>
      <c r="P17" s="50" t="s">
        <v>18</v>
      </c>
      <c r="Q17" s="50" t="s">
        <v>18</v>
      </c>
      <c r="R17" s="50" t="s">
        <v>18</v>
      </c>
      <c r="S17" s="50" t="s">
        <v>18</v>
      </c>
      <c r="T17" s="50" t="s">
        <v>18</v>
      </c>
      <c r="U17" s="50" t="s">
        <v>18</v>
      </c>
      <c r="V17" s="50" t="s">
        <v>18</v>
      </c>
      <c r="W17" s="50" t="s">
        <v>18</v>
      </c>
      <c r="X17" s="50" t="s">
        <v>18</v>
      </c>
      <c r="Y17" s="50" t="s">
        <v>18</v>
      </c>
      <c r="Z17" s="50" t="s">
        <v>18</v>
      </c>
      <c r="AA17" s="50" t="s">
        <v>18</v>
      </c>
      <c r="AB17" s="50" t="s">
        <v>18</v>
      </c>
      <c r="AC17" s="50" t="s">
        <v>18</v>
      </c>
      <c r="AD17" s="50" t="s">
        <v>18</v>
      </c>
      <c r="AE17" s="50" t="s">
        <v>18</v>
      </c>
      <c r="AF17" s="50" t="s">
        <v>18</v>
      </c>
      <c r="AG17" s="50" t="s">
        <v>18</v>
      </c>
      <c r="AH17" s="50" t="s">
        <v>18</v>
      </c>
      <c r="AI17" s="50" t="s">
        <v>18</v>
      </c>
      <c r="AJ17" s="50" t="s">
        <v>18</v>
      </c>
      <c r="AK17" s="50" t="s">
        <v>18</v>
      </c>
      <c r="AL17" s="48" t="s">
        <v>18</v>
      </c>
      <c r="AM17" s="48" t="s">
        <v>18</v>
      </c>
      <c r="AN17" s="48" t="s">
        <v>18</v>
      </c>
      <c r="AO17" s="48" t="s">
        <v>18</v>
      </c>
      <c r="AP17" s="48" t="s">
        <v>18</v>
      </c>
      <c r="AQ17" s="48" t="s">
        <v>18</v>
      </c>
      <c r="AR17" s="48" t="s">
        <v>18</v>
      </c>
      <c r="AS17" s="48" t="s">
        <v>18</v>
      </c>
      <c r="AT17" s="48" t="s">
        <v>18</v>
      </c>
      <c r="AU17" s="48" t="s">
        <v>18</v>
      </c>
      <c r="AV17" s="48" t="s">
        <v>18</v>
      </c>
      <c r="AW17" s="48" t="s">
        <v>18</v>
      </c>
      <c r="AX17" s="48">
        <v>0</v>
      </c>
      <c r="AY17" s="48">
        <v>0</v>
      </c>
      <c r="AZ17" s="48">
        <v>5.5555131264916471E-2</v>
      </c>
      <c r="BA17" s="48">
        <v>5.5555131264916471E-2</v>
      </c>
      <c r="BB17" s="48">
        <v>0</v>
      </c>
      <c r="BC17" s="48">
        <v>0</v>
      </c>
      <c r="BD17" s="48">
        <v>5.5555131264916471E-2</v>
      </c>
      <c r="BE17" s="48">
        <v>0</v>
      </c>
      <c r="BF17" s="48">
        <v>5.5555555555555539E-2</v>
      </c>
      <c r="BG17" s="48">
        <v>0.1317395347911931</v>
      </c>
      <c r="BH17" s="48">
        <v>0.13068376552755223</v>
      </c>
      <c r="BI17" s="48">
        <v>0.13068376552755223</v>
      </c>
      <c r="BJ17" s="48">
        <v>8.3502842279592746E-2</v>
      </c>
      <c r="BK17" s="48">
        <v>8.3502842279592746E-2</v>
      </c>
      <c r="BL17" s="48">
        <v>8.3502842279592746E-2</v>
      </c>
      <c r="BM17" s="48">
        <v>8.350284987638816E-2</v>
      </c>
      <c r="BN17" s="48">
        <v>8.350284987638816E-2</v>
      </c>
      <c r="BO17" s="48">
        <v>8.350284987638816E-2</v>
      </c>
      <c r="BP17" s="48">
        <v>0.13173954198815718</v>
      </c>
      <c r="BQ17" s="48">
        <v>0.13173954198815718</v>
      </c>
      <c r="BR17" s="48">
        <v>4.7555237191408778E-2</v>
      </c>
      <c r="BS17" s="48">
        <v>4.7555237191408778E-2</v>
      </c>
      <c r="BT17" s="48">
        <v>0.144710084624253</v>
      </c>
      <c r="BU17" s="48">
        <v>0.23777615326966789</v>
      </c>
      <c r="BV17" s="48">
        <v>0.19022092425010312</v>
      </c>
      <c r="BW17" s="48">
        <v>0.19022092425010312</v>
      </c>
      <c r="BX17" s="48">
        <v>0.19022092425010312</v>
      </c>
    </row>
    <row r="18" spans="1:76" hidden="1" outlineLevel="1">
      <c r="A18" t="s">
        <v>49</v>
      </c>
      <c r="B18" s="82" t="s">
        <v>49</v>
      </c>
      <c r="C18" s="50" t="s">
        <v>18</v>
      </c>
      <c r="D18" s="50" t="s">
        <v>18</v>
      </c>
      <c r="E18" s="50" t="s">
        <v>18</v>
      </c>
      <c r="F18" s="50" t="s">
        <v>18</v>
      </c>
      <c r="G18" s="50" t="s">
        <v>18</v>
      </c>
      <c r="H18" s="50" t="s">
        <v>18</v>
      </c>
      <c r="I18" s="50" t="s">
        <v>18</v>
      </c>
      <c r="J18" s="50" t="s">
        <v>18</v>
      </c>
      <c r="K18" s="50" t="s">
        <v>18</v>
      </c>
      <c r="L18" s="50" t="s">
        <v>18</v>
      </c>
      <c r="M18" s="50" t="s">
        <v>18</v>
      </c>
      <c r="N18" s="50" t="s">
        <v>18</v>
      </c>
      <c r="O18" s="50" t="s">
        <v>18</v>
      </c>
      <c r="P18" s="50" t="s">
        <v>18</v>
      </c>
      <c r="Q18" s="50" t="s">
        <v>18</v>
      </c>
      <c r="R18" s="50" t="s">
        <v>18</v>
      </c>
      <c r="S18" s="50" t="s">
        <v>18</v>
      </c>
      <c r="T18" s="50" t="s">
        <v>18</v>
      </c>
      <c r="U18" s="50" t="s">
        <v>18</v>
      </c>
      <c r="V18" s="50" t="s">
        <v>18</v>
      </c>
      <c r="W18" s="50" t="s">
        <v>18</v>
      </c>
      <c r="X18" s="50" t="s">
        <v>18</v>
      </c>
      <c r="Y18" s="50" t="s">
        <v>18</v>
      </c>
      <c r="Z18" s="50" t="s">
        <v>18</v>
      </c>
      <c r="AA18" s="50" t="s">
        <v>18</v>
      </c>
      <c r="AB18" s="50" t="s">
        <v>18</v>
      </c>
      <c r="AC18" s="50" t="s">
        <v>18</v>
      </c>
      <c r="AD18" s="50" t="s">
        <v>18</v>
      </c>
      <c r="AE18" s="50" t="s">
        <v>18</v>
      </c>
      <c r="AF18" s="50" t="s">
        <v>18</v>
      </c>
      <c r="AG18" s="50" t="s">
        <v>18</v>
      </c>
      <c r="AH18" s="50" t="s">
        <v>18</v>
      </c>
      <c r="AI18" s="50" t="s">
        <v>18</v>
      </c>
      <c r="AJ18" s="50" t="s">
        <v>18</v>
      </c>
      <c r="AK18" s="50" t="s">
        <v>18</v>
      </c>
      <c r="AL18" s="48" t="s">
        <v>18</v>
      </c>
      <c r="AM18" s="48" t="s">
        <v>18</v>
      </c>
      <c r="AN18" s="48" t="s">
        <v>18</v>
      </c>
      <c r="AO18" s="48" t="s">
        <v>18</v>
      </c>
      <c r="AP18" s="48" t="s">
        <v>18</v>
      </c>
      <c r="AQ18" s="48" t="s">
        <v>18</v>
      </c>
      <c r="AR18" s="48" t="s">
        <v>18</v>
      </c>
      <c r="AS18" s="48" t="s">
        <v>18</v>
      </c>
      <c r="AT18" s="48" t="s">
        <v>18</v>
      </c>
      <c r="AU18" s="48" t="s">
        <v>18</v>
      </c>
      <c r="AV18" s="48" t="s">
        <v>18</v>
      </c>
      <c r="AW18" s="48" t="s">
        <v>18</v>
      </c>
      <c r="AX18" s="48">
        <v>0</v>
      </c>
      <c r="AY18" s="48">
        <v>0</v>
      </c>
      <c r="AZ18" s="48">
        <v>0</v>
      </c>
      <c r="BA18" s="48">
        <v>0</v>
      </c>
      <c r="BB18" s="48">
        <v>0</v>
      </c>
      <c r="BC18" s="48">
        <v>2.6786461383984602E-2</v>
      </c>
      <c r="BD18" s="48">
        <v>4.810223342537584E-2</v>
      </c>
      <c r="BE18" s="48">
        <v>0.10073421067884956</v>
      </c>
      <c r="BF18" s="48">
        <v>0.10073421067884956</v>
      </c>
      <c r="BG18" s="48">
        <v>0.10073421067884959</v>
      </c>
      <c r="BH18" s="48">
        <v>0</v>
      </c>
      <c r="BI18" s="48">
        <v>0</v>
      </c>
      <c r="BJ18" s="48">
        <v>0</v>
      </c>
      <c r="BK18" s="48">
        <v>0</v>
      </c>
      <c r="BL18" s="48">
        <v>0</v>
      </c>
      <c r="BM18" s="48">
        <v>5.2631578947368397E-2</v>
      </c>
      <c r="BN18" s="48">
        <v>5.2631578947368397E-2</v>
      </c>
      <c r="BO18" s="48">
        <v>0</v>
      </c>
      <c r="BP18" s="48">
        <v>0</v>
      </c>
      <c r="BQ18" s="48">
        <v>0</v>
      </c>
      <c r="BR18" s="48">
        <v>0</v>
      </c>
      <c r="BS18" s="48">
        <v>0</v>
      </c>
      <c r="BT18" s="48">
        <v>0</v>
      </c>
      <c r="BU18" s="48">
        <v>0</v>
      </c>
      <c r="BV18" s="48">
        <v>0</v>
      </c>
      <c r="BW18" s="48">
        <v>0</v>
      </c>
      <c r="BX18" s="48">
        <v>0</v>
      </c>
    </row>
    <row r="19" spans="1:76" collapsed="1">
      <c r="B19" s="81" t="str">
        <f>IF('Sumário | Summary'!P1=1,"Escritórios Classe A","Class A Offices")</f>
        <v>Escritórios Classe A</v>
      </c>
      <c r="C19" s="41">
        <v>9.9000000000000005E-2</v>
      </c>
      <c r="D19" s="41">
        <v>1.89E-2</v>
      </c>
      <c r="E19" s="41">
        <v>0</v>
      </c>
      <c r="F19" s="41">
        <v>0</v>
      </c>
      <c r="G19" s="41">
        <v>0</v>
      </c>
      <c r="H19" s="41">
        <v>0</v>
      </c>
      <c r="I19" s="41">
        <v>2.1000000000000001E-2</v>
      </c>
      <c r="J19" s="41">
        <v>0</v>
      </c>
      <c r="K19" s="41">
        <v>0</v>
      </c>
      <c r="L19" s="41">
        <v>0.121</v>
      </c>
      <c r="M19" s="41">
        <v>1.9E-2</v>
      </c>
      <c r="N19" s="41">
        <v>2.9000000000000001E-2</v>
      </c>
      <c r="O19" s="41">
        <v>5.0000000000000001E-3</v>
      </c>
      <c r="P19" s="41">
        <v>0</v>
      </c>
      <c r="Q19" s="41">
        <v>0</v>
      </c>
      <c r="R19" s="41">
        <v>3.7999999999999999E-2</v>
      </c>
      <c r="S19" s="41">
        <v>3.7999999999999999E-2</v>
      </c>
      <c r="T19" s="41">
        <v>0</v>
      </c>
      <c r="U19" s="41">
        <v>0</v>
      </c>
      <c r="V19" s="41">
        <v>0</v>
      </c>
      <c r="W19" s="41">
        <v>0</v>
      </c>
      <c r="X19" s="41">
        <v>0</v>
      </c>
      <c r="Y19" s="41">
        <v>0</v>
      </c>
      <c r="Z19" s="49">
        <v>1.0999999999999999E-2</v>
      </c>
      <c r="AA19" s="49">
        <v>2.1000000000000001E-2</v>
      </c>
      <c r="AB19" s="49">
        <v>2.1000000000000001E-2</v>
      </c>
      <c r="AC19" s="41">
        <v>2.1000000000000001E-2</v>
      </c>
      <c r="AD19" s="41">
        <v>5.8000000000000003E-2</v>
      </c>
      <c r="AE19" s="41">
        <v>4.2999999999999997E-2</v>
      </c>
      <c r="AF19" s="41">
        <v>7.0000000000000007E-2</v>
      </c>
      <c r="AG19" s="41">
        <v>5.8000000000000003E-2</v>
      </c>
      <c r="AH19" s="41">
        <v>6.4000000000000001E-2</v>
      </c>
      <c r="AI19" s="41">
        <v>6.4000000000000001E-2</v>
      </c>
      <c r="AJ19" s="41">
        <v>8.5000000000000006E-2</v>
      </c>
      <c r="AK19" s="41">
        <v>8.5000000000000006E-2</v>
      </c>
      <c r="AL19" s="49">
        <v>9.06E-2</v>
      </c>
      <c r="AM19" s="49">
        <v>4.9220845161454418E-2</v>
      </c>
      <c r="AN19" s="49">
        <v>0.11507961471808781</v>
      </c>
      <c r="AO19" s="49">
        <v>0.13028865884485796</v>
      </c>
      <c r="AP19" s="49">
        <v>0.11095624418262873</v>
      </c>
      <c r="AQ19" s="49">
        <v>0.17640808014854104</v>
      </c>
      <c r="AR19" s="49">
        <v>0.17646941225230761</v>
      </c>
      <c r="AS19" s="49">
        <v>0.15155086879345137</v>
      </c>
      <c r="AT19" s="49">
        <v>0.15172750525229795</v>
      </c>
      <c r="AU19" s="49">
        <v>0.15950274460057989</v>
      </c>
      <c r="AV19" s="49">
        <v>0.45076911736944214</v>
      </c>
      <c r="AW19" s="49">
        <v>0.28931268241539887</v>
      </c>
      <c r="AX19" s="49">
        <v>0.30026061308335411</v>
      </c>
      <c r="AY19" s="49">
        <v>0.30026061308335411</v>
      </c>
      <c r="AZ19" s="49">
        <v>0.32299475383624726</v>
      </c>
      <c r="BA19" s="49">
        <v>0.32299475383624715</v>
      </c>
      <c r="BB19" s="49">
        <v>0.32867828902447044</v>
      </c>
      <c r="BC19" s="49">
        <v>0.32872702909391038</v>
      </c>
      <c r="BD19" s="49">
        <v>0.33441056428213362</v>
      </c>
      <c r="BE19" s="49">
        <v>0.31926897430995937</v>
      </c>
      <c r="BF19" s="49">
        <v>0.13827034852059089</v>
      </c>
      <c r="BG19" s="49">
        <v>0.13827034852059089</v>
      </c>
      <c r="BH19" s="49">
        <v>0.14395367109330129</v>
      </c>
      <c r="BI19" s="49">
        <v>0.13827014429948672</v>
      </c>
      <c r="BJ19" s="49">
        <v>0.13827014429948672</v>
      </c>
      <c r="BK19" s="49">
        <v>0.13827014429948672</v>
      </c>
      <c r="BL19" s="49">
        <v>0.13827014429948684</v>
      </c>
      <c r="BM19" s="49">
        <v>0.13827014429948678</v>
      </c>
      <c r="BN19" s="49">
        <v>0.13527929220898421</v>
      </c>
      <c r="BO19" s="49">
        <v>0.1352792922089843</v>
      </c>
      <c r="BP19" s="49">
        <v>0.13527929220898433</v>
      </c>
      <c r="BQ19" s="49">
        <v>0.13527929220898419</v>
      </c>
      <c r="BR19" s="49">
        <v>0.13527929220898433</v>
      </c>
      <c r="BS19" s="49">
        <v>7.9667247880644859E-2</v>
      </c>
      <c r="BT19" s="49">
        <v>6.8200488302941134E-2</v>
      </c>
      <c r="BU19" s="49">
        <v>2.8444137772438281E-2</v>
      </c>
      <c r="BV19" s="49">
        <v>0</v>
      </c>
      <c r="BW19" s="49">
        <v>0</v>
      </c>
      <c r="BX19" s="49">
        <v>8.5397603685316542E-2</v>
      </c>
    </row>
    <row r="20" spans="1:76" hidden="1" outlineLevel="1">
      <c r="A20" t="s">
        <v>6</v>
      </c>
      <c r="B20" s="82" t="s">
        <v>6</v>
      </c>
      <c r="C20" s="50">
        <v>0.22600000000000001</v>
      </c>
      <c r="D20" s="50">
        <v>0</v>
      </c>
      <c r="E20" s="50">
        <v>0</v>
      </c>
      <c r="F20" s="50">
        <v>0</v>
      </c>
      <c r="G20" s="50">
        <v>0</v>
      </c>
      <c r="H20" s="50">
        <v>0</v>
      </c>
      <c r="I20" s="50">
        <v>0</v>
      </c>
      <c r="J20" s="50">
        <v>0</v>
      </c>
      <c r="K20" s="50">
        <v>0</v>
      </c>
      <c r="L20" s="50">
        <v>0</v>
      </c>
      <c r="M20" s="50">
        <v>0</v>
      </c>
      <c r="N20" s="50">
        <v>0</v>
      </c>
      <c r="O20" s="50">
        <v>0</v>
      </c>
      <c r="P20" s="50">
        <v>0</v>
      </c>
      <c r="Q20" s="50">
        <v>0</v>
      </c>
      <c r="R20" s="50">
        <v>0</v>
      </c>
      <c r="S20" s="50">
        <v>0.114</v>
      </c>
      <c r="T20" s="50">
        <v>0</v>
      </c>
      <c r="U20" s="50">
        <v>0</v>
      </c>
      <c r="V20" s="50">
        <v>0</v>
      </c>
      <c r="W20" s="50">
        <v>0</v>
      </c>
      <c r="X20" s="50">
        <v>0</v>
      </c>
      <c r="Y20" s="50">
        <v>0</v>
      </c>
      <c r="Z20" s="48">
        <v>0</v>
      </c>
      <c r="AA20" s="48">
        <v>0</v>
      </c>
      <c r="AB20" s="48">
        <v>0</v>
      </c>
      <c r="AC20" s="50">
        <v>0</v>
      </c>
      <c r="AD20" s="50">
        <v>0</v>
      </c>
      <c r="AE20" s="50">
        <v>0</v>
      </c>
      <c r="AF20" s="50">
        <v>0</v>
      </c>
      <c r="AG20" s="50">
        <v>0</v>
      </c>
      <c r="AH20" s="50">
        <v>0</v>
      </c>
      <c r="AI20" s="50">
        <v>0</v>
      </c>
      <c r="AJ20" s="50">
        <v>0.1392921645915452</v>
      </c>
      <c r="AK20" s="50">
        <v>0.13900000000000001</v>
      </c>
      <c r="AL20" s="48">
        <v>0.13900000000000001</v>
      </c>
      <c r="AM20" s="48">
        <v>0</v>
      </c>
      <c r="AN20" s="48">
        <v>0</v>
      </c>
      <c r="AO20" s="48">
        <v>0</v>
      </c>
      <c r="AP20" s="48">
        <v>0</v>
      </c>
      <c r="AQ20" s="48">
        <v>0</v>
      </c>
      <c r="AR20" s="48">
        <v>0</v>
      </c>
      <c r="AS20" s="48">
        <v>0</v>
      </c>
      <c r="AT20" s="48">
        <v>0</v>
      </c>
      <c r="AU20" s="48">
        <v>0</v>
      </c>
      <c r="AV20" s="48">
        <v>0</v>
      </c>
      <c r="AW20" s="48">
        <v>0</v>
      </c>
      <c r="AX20" s="48">
        <v>0</v>
      </c>
      <c r="AY20" s="48">
        <v>0</v>
      </c>
      <c r="AZ20" s="48">
        <v>0</v>
      </c>
      <c r="BA20" s="48">
        <v>0</v>
      </c>
      <c r="BB20" s="48">
        <v>0</v>
      </c>
      <c r="BC20" s="48">
        <v>0</v>
      </c>
      <c r="BD20" s="48">
        <v>0</v>
      </c>
      <c r="BE20" s="48">
        <v>0</v>
      </c>
      <c r="BF20" s="48">
        <v>0</v>
      </c>
      <c r="BG20" s="48">
        <v>0</v>
      </c>
      <c r="BH20" s="48">
        <v>0</v>
      </c>
      <c r="BI20" s="48">
        <v>0</v>
      </c>
      <c r="BJ20" s="48">
        <v>0</v>
      </c>
      <c r="BK20" s="48">
        <v>0</v>
      </c>
      <c r="BL20" s="48">
        <v>0</v>
      </c>
      <c r="BM20" s="48">
        <v>0</v>
      </c>
      <c r="BN20" s="48">
        <v>0</v>
      </c>
      <c r="BO20" s="48">
        <v>0</v>
      </c>
      <c r="BP20" s="48">
        <v>0</v>
      </c>
      <c r="BQ20" s="48">
        <v>0</v>
      </c>
      <c r="BR20" s="48">
        <v>0</v>
      </c>
      <c r="BS20" s="48">
        <v>0</v>
      </c>
      <c r="BT20" s="48">
        <v>0</v>
      </c>
      <c r="BU20" s="48">
        <v>0</v>
      </c>
      <c r="BV20" s="48">
        <v>0</v>
      </c>
      <c r="BW20" s="48">
        <v>0</v>
      </c>
      <c r="BX20" s="48">
        <v>0.28131890133266602</v>
      </c>
    </row>
    <row r="21" spans="1:76" hidden="1" outlineLevel="1">
      <c r="A21" t="s">
        <v>7</v>
      </c>
      <c r="B21" s="82" t="s">
        <v>7</v>
      </c>
      <c r="C21" s="50">
        <v>8.6999999999999994E-2</v>
      </c>
      <c r="D21" s="50">
        <v>0</v>
      </c>
      <c r="E21" s="50">
        <v>0</v>
      </c>
      <c r="F21" s="50">
        <v>0</v>
      </c>
      <c r="G21" s="50">
        <v>0</v>
      </c>
      <c r="H21" s="50">
        <v>0</v>
      </c>
      <c r="I21" s="50">
        <v>0</v>
      </c>
      <c r="J21" s="50">
        <v>0</v>
      </c>
      <c r="K21" s="50">
        <v>0</v>
      </c>
      <c r="L21" s="50">
        <v>0</v>
      </c>
      <c r="M21" s="50">
        <v>0</v>
      </c>
      <c r="N21" s="50">
        <v>0</v>
      </c>
      <c r="O21" s="50">
        <v>0</v>
      </c>
      <c r="P21" s="50">
        <v>0</v>
      </c>
      <c r="Q21" s="50">
        <v>0</v>
      </c>
      <c r="R21" s="50">
        <v>0</v>
      </c>
      <c r="S21" s="50">
        <v>0</v>
      </c>
      <c r="T21" s="50">
        <v>0</v>
      </c>
      <c r="U21" s="50">
        <v>0</v>
      </c>
      <c r="V21" s="50">
        <v>0</v>
      </c>
      <c r="W21" s="50">
        <v>0</v>
      </c>
      <c r="X21" s="50">
        <v>0</v>
      </c>
      <c r="Y21" s="50">
        <v>0</v>
      </c>
      <c r="Z21" s="48">
        <v>0</v>
      </c>
      <c r="AA21" s="48">
        <v>0</v>
      </c>
      <c r="AB21" s="48">
        <v>0</v>
      </c>
      <c r="AC21" s="50">
        <v>0</v>
      </c>
      <c r="AD21" s="50">
        <v>0</v>
      </c>
      <c r="AE21" s="50">
        <v>0</v>
      </c>
      <c r="AF21" s="50">
        <v>0</v>
      </c>
      <c r="AG21" s="50">
        <v>0</v>
      </c>
      <c r="AH21" s="50">
        <v>0</v>
      </c>
      <c r="AI21" s="50">
        <v>0</v>
      </c>
      <c r="AJ21" s="50">
        <v>0</v>
      </c>
      <c r="AK21" s="50">
        <v>0</v>
      </c>
      <c r="AL21" s="48">
        <v>0</v>
      </c>
      <c r="AM21" s="48">
        <v>0</v>
      </c>
      <c r="AN21" s="48">
        <v>0</v>
      </c>
      <c r="AO21" s="48">
        <v>0</v>
      </c>
      <c r="AP21" s="48">
        <v>0</v>
      </c>
      <c r="AQ21" s="48">
        <v>0</v>
      </c>
      <c r="AR21" s="48">
        <v>0</v>
      </c>
      <c r="AS21" s="48">
        <v>0</v>
      </c>
      <c r="AT21" s="48">
        <v>0</v>
      </c>
      <c r="AU21" s="48">
        <v>0</v>
      </c>
      <c r="AV21" s="48">
        <v>0</v>
      </c>
      <c r="AW21" s="48">
        <v>0</v>
      </c>
      <c r="AX21" s="48">
        <v>0</v>
      </c>
      <c r="AY21" s="48">
        <v>0</v>
      </c>
      <c r="AZ21" s="48">
        <v>0</v>
      </c>
      <c r="BA21" s="48">
        <v>0</v>
      </c>
      <c r="BB21" s="48">
        <v>0</v>
      </c>
      <c r="BC21" s="48">
        <v>0</v>
      </c>
      <c r="BD21" s="48">
        <v>0</v>
      </c>
      <c r="BE21" s="48">
        <v>0</v>
      </c>
      <c r="BF21" s="48">
        <v>0</v>
      </c>
      <c r="BG21" s="48">
        <v>0</v>
      </c>
      <c r="BH21" s="48">
        <v>0</v>
      </c>
      <c r="BI21" s="48">
        <v>0</v>
      </c>
      <c r="BJ21" s="48">
        <v>0</v>
      </c>
      <c r="BK21" s="48">
        <v>0</v>
      </c>
      <c r="BL21" s="48">
        <v>0</v>
      </c>
      <c r="BM21" s="48">
        <v>0</v>
      </c>
      <c r="BN21" s="48">
        <v>0</v>
      </c>
      <c r="BO21" s="48">
        <v>0</v>
      </c>
      <c r="BP21" s="48">
        <v>0</v>
      </c>
      <c r="BQ21" s="48">
        <v>0</v>
      </c>
      <c r="BR21" s="48">
        <v>0</v>
      </c>
      <c r="BS21" s="48">
        <v>0</v>
      </c>
      <c r="BT21" s="48">
        <v>0</v>
      </c>
      <c r="BU21" s="48">
        <v>0</v>
      </c>
      <c r="BV21" s="48">
        <v>0</v>
      </c>
      <c r="BW21" s="48">
        <v>0</v>
      </c>
      <c r="BX21" s="48">
        <v>0</v>
      </c>
    </row>
    <row r="22" spans="1:76" hidden="1" outlineLevel="1">
      <c r="B22" s="82" t="s">
        <v>29</v>
      </c>
      <c r="C22" s="50">
        <v>0</v>
      </c>
      <c r="D22" s="50">
        <v>0</v>
      </c>
      <c r="E22" s="50">
        <v>0</v>
      </c>
      <c r="F22" s="50">
        <v>0</v>
      </c>
      <c r="G22" s="50">
        <v>0</v>
      </c>
      <c r="H22" s="50">
        <v>0</v>
      </c>
      <c r="I22" s="50">
        <v>0</v>
      </c>
      <c r="J22" s="50">
        <v>0</v>
      </c>
      <c r="K22" s="50">
        <v>0</v>
      </c>
      <c r="L22" s="50">
        <v>0.23499999999999999</v>
      </c>
      <c r="M22" s="50">
        <v>0</v>
      </c>
      <c r="N22" s="50">
        <v>0</v>
      </c>
      <c r="O22" s="50">
        <v>0</v>
      </c>
      <c r="P22" s="50">
        <v>0</v>
      </c>
      <c r="Q22" s="50">
        <v>0</v>
      </c>
      <c r="R22" s="50">
        <v>0</v>
      </c>
      <c r="S22" s="50">
        <v>0</v>
      </c>
      <c r="T22" s="50">
        <v>0</v>
      </c>
      <c r="U22" s="50">
        <v>0</v>
      </c>
      <c r="V22" s="50">
        <v>0</v>
      </c>
      <c r="W22" s="50">
        <v>0</v>
      </c>
      <c r="X22" s="50">
        <v>0</v>
      </c>
      <c r="Y22" s="50">
        <v>0</v>
      </c>
      <c r="Z22" s="48">
        <v>0</v>
      </c>
      <c r="AA22" s="48">
        <v>0</v>
      </c>
      <c r="AB22" s="48">
        <v>0</v>
      </c>
      <c r="AC22" s="50">
        <v>0</v>
      </c>
      <c r="AD22" s="50">
        <v>0</v>
      </c>
      <c r="AE22" s="50">
        <v>0</v>
      </c>
      <c r="AF22" s="50">
        <v>0</v>
      </c>
      <c r="AG22" s="50">
        <v>0</v>
      </c>
      <c r="AH22" s="50">
        <v>0</v>
      </c>
      <c r="AI22" s="50">
        <v>0</v>
      </c>
      <c r="AJ22" s="50">
        <v>0</v>
      </c>
      <c r="AK22" s="50">
        <v>0</v>
      </c>
      <c r="AL22" s="48">
        <v>0</v>
      </c>
      <c r="AM22" s="48">
        <v>0</v>
      </c>
      <c r="AN22" s="48">
        <v>0</v>
      </c>
      <c r="AO22" s="48">
        <v>0</v>
      </c>
      <c r="AP22" s="48">
        <v>0</v>
      </c>
      <c r="AQ22" s="48">
        <v>0</v>
      </c>
      <c r="AR22" s="48">
        <v>0</v>
      </c>
      <c r="AS22" s="48">
        <v>0</v>
      </c>
      <c r="AT22" s="48">
        <v>0</v>
      </c>
      <c r="AU22" s="48">
        <v>0</v>
      </c>
      <c r="AV22" s="48">
        <v>0</v>
      </c>
      <c r="AW22" s="48">
        <v>0</v>
      </c>
      <c r="AX22" s="48" t="s">
        <v>18</v>
      </c>
      <c r="AY22" s="48" t="s">
        <v>18</v>
      </c>
      <c r="AZ22" s="48" t="s">
        <v>18</v>
      </c>
      <c r="BA22" s="48" t="s">
        <v>18</v>
      </c>
      <c r="BB22" s="48" t="s">
        <v>18</v>
      </c>
      <c r="BC22" s="48" t="s">
        <v>18</v>
      </c>
      <c r="BD22" s="48" t="s">
        <v>18</v>
      </c>
      <c r="BE22" s="48" t="s">
        <v>18</v>
      </c>
      <c r="BF22" s="48" t="s">
        <v>18</v>
      </c>
      <c r="BG22" s="48" t="s">
        <v>18</v>
      </c>
      <c r="BH22" s="48" t="s">
        <v>18</v>
      </c>
      <c r="BI22" s="48" t="s">
        <v>18</v>
      </c>
      <c r="BJ22" s="48" t="s">
        <v>18</v>
      </c>
      <c r="BK22" s="48" t="s">
        <v>18</v>
      </c>
      <c r="BL22" s="48" t="s">
        <v>18</v>
      </c>
      <c r="BM22" s="48" t="s">
        <v>18</v>
      </c>
      <c r="BN22" s="48" t="s">
        <v>18</v>
      </c>
      <c r="BO22" s="48" t="s">
        <v>18</v>
      </c>
      <c r="BP22" s="48" t="s">
        <v>18</v>
      </c>
      <c r="BQ22" s="48" t="s">
        <v>18</v>
      </c>
      <c r="BR22" s="48" t="s">
        <v>18</v>
      </c>
      <c r="BS22" s="48" t="s">
        <v>18</v>
      </c>
      <c r="BT22" s="48" t="s">
        <v>18</v>
      </c>
      <c r="BU22" s="48" t="s">
        <v>18</v>
      </c>
      <c r="BV22" s="48" t="s">
        <v>18</v>
      </c>
      <c r="BW22" s="48" t="s">
        <v>18</v>
      </c>
      <c r="BX22" s="48" t="s">
        <v>18</v>
      </c>
    </row>
    <row r="23" spans="1:76" hidden="1" outlineLevel="1">
      <c r="A23" t="s">
        <v>322</v>
      </c>
      <c r="B23" s="82" t="s">
        <v>9</v>
      </c>
      <c r="C23" s="50">
        <v>0</v>
      </c>
      <c r="D23" s="50">
        <v>7.2499999999999995E-2</v>
      </c>
      <c r="E23" s="50">
        <v>0</v>
      </c>
      <c r="F23" s="50">
        <v>0</v>
      </c>
      <c r="G23" s="50">
        <v>0</v>
      </c>
      <c r="H23" s="50">
        <v>0</v>
      </c>
      <c r="I23" s="50">
        <v>0</v>
      </c>
      <c r="J23" s="50">
        <v>0</v>
      </c>
      <c r="K23" s="50">
        <v>0</v>
      </c>
      <c r="L23" s="50">
        <v>0</v>
      </c>
      <c r="M23" s="50">
        <v>0.13</v>
      </c>
      <c r="N23" s="50">
        <v>0.13</v>
      </c>
      <c r="O23" s="50">
        <v>3.5999999999999997E-2</v>
      </c>
      <c r="P23" s="50">
        <v>0</v>
      </c>
      <c r="Q23" s="50">
        <v>0</v>
      </c>
      <c r="R23" s="50">
        <v>0</v>
      </c>
      <c r="S23" s="50">
        <v>0</v>
      </c>
      <c r="T23" s="50">
        <v>0</v>
      </c>
      <c r="U23" s="50">
        <v>0</v>
      </c>
      <c r="V23" s="50">
        <v>0</v>
      </c>
      <c r="W23" s="50">
        <v>0</v>
      </c>
      <c r="X23" s="50">
        <v>0</v>
      </c>
      <c r="Y23" s="50">
        <v>0</v>
      </c>
      <c r="Z23" s="48">
        <v>0</v>
      </c>
      <c r="AA23" s="48">
        <v>0</v>
      </c>
      <c r="AB23" s="48">
        <v>0</v>
      </c>
      <c r="AC23" s="50">
        <v>0</v>
      </c>
      <c r="AD23" s="50">
        <v>0.26017468556598128</v>
      </c>
      <c r="AE23" s="50">
        <v>0.154</v>
      </c>
      <c r="AF23" s="50">
        <v>0.14799999999999999</v>
      </c>
      <c r="AG23" s="50">
        <v>0.14754433068549011</v>
      </c>
      <c r="AH23" s="50">
        <v>0.18443041335686261</v>
      </c>
      <c r="AI23" s="50">
        <v>0.18443041335686261</v>
      </c>
      <c r="AJ23" s="50">
        <v>0</v>
      </c>
      <c r="AK23" s="50">
        <v>0</v>
      </c>
      <c r="AL23" s="48">
        <v>3.5999999999999997E-2</v>
      </c>
      <c r="AM23" s="48">
        <v>0.16179596525669199</v>
      </c>
      <c r="AN23" s="48">
        <v>0.41833489843231875</v>
      </c>
      <c r="AO23" s="48">
        <v>0.38198082958433865</v>
      </c>
      <c r="AP23" s="48">
        <v>0.34562676073635856</v>
      </c>
      <c r="AQ23" s="48">
        <v>0.63645931152019919</v>
      </c>
      <c r="AR23" s="48">
        <v>0.63645931152019919</v>
      </c>
      <c r="AS23" s="48">
        <v>0.52739710497625902</v>
      </c>
      <c r="AT23" s="48">
        <v>0.52739710497625902</v>
      </c>
      <c r="AU23" s="48">
        <v>0.52739710497625902</v>
      </c>
      <c r="AV23" s="48">
        <v>0.53846153846153855</v>
      </c>
      <c r="AW23" s="48">
        <v>0.53846153846153855</v>
      </c>
      <c r="AX23" s="48">
        <v>0.50000000000000022</v>
      </c>
      <c r="AY23" s="48">
        <v>0.50000000000000022</v>
      </c>
      <c r="AZ23" s="48">
        <v>0.65384615384615397</v>
      </c>
      <c r="BA23" s="48">
        <v>0.65384615384615397</v>
      </c>
      <c r="BB23" s="48">
        <v>0.69230769230769229</v>
      </c>
      <c r="BC23" s="48">
        <v>0.69230769230769229</v>
      </c>
      <c r="BD23" s="48">
        <v>0.73076923076923106</v>
      </c>
      <c r="BE23" s="48">
        <v>0.73076923076923106</v>
      </c>
      <c r="BF23" s="48">
        <v>0.73076923076923106</v>
      </c>
      <c r="BG23" s="48">
        <v>0.73076923076923106</v>
      </c>
      <c r="BH23" s="48">
        <v>0.76923076923076961</v>
      </c>
      <c r="BI23" s="48">
        <v>0.73076923076923106</v>
      </c>
      <c r="BJ23" s="48">
        <v>0.73076923076923106</v>
      </c>
      <c r="BK23" s="48">
        <v>0.73076923076923106</v>
      </c>
      <c r="BL23" s="48">
        <v>0.73076923076923106</v>
      </c>
      <c r="BM23" s="48">
        <v>0.73076923076923106</v>
      </c>
      <c r="BN23" s="48">
        <v>0.84615384615384648</v>
      </c>
      <c r="BO23" s="48">
        <v>0.84615384615384648</v>
      </c>
      <c r="BP23" s="48">
        <v>0.84615384615384648</v>
      </c>
      <c r="BQ23" s="48">
        <v>0.84615384615384637</v>
      </c>
      <c r="BR23" s="48">
        <v>0.84615384615384637</v>
      </c>
      <c r="BS23" s="48">
        <v>0.8571428571428571</v>
      </c>
      <c r="BT23" s="48">
        <v>1</v>
      </c>
      <c r="BU23" s="48">
        <v>1</v>
      </c>
      <c r="BV23" s="48" t="s">
        <v>18</v>
      </c>
      <c r="BW23" s="48" t="s">
        <v>18</v>
      </c>
      <c r="BX23" s="48" t="s">
        <v>18</v>
      </c>
    </row>
    <row r="24" spans="1:76" hidden="1" outlineLevel="1">
      <c r="A24" t="s">
        <v>10</v>
      </c>
      <c r="B24" s="82" t="s">
        <v>10</v>
      </c>
      <c r="C24" s="50">
        <v>0</v>
      </c>
      <c r="D24" s="50">
        <v>0</v>
      </c>
      <c r="E24" s="50">
        <v>0</v>
      </c>
      <c r="F24" s="50">
        <v>0</v>
      </c>
      <c r="G24" s="50">
        <v>0</v>
      </c>
      <c r="H24" s="50">
        <v>0</v>
      </c>
      <c r="I24" s="50">
        <v>0</v>
      </c>
      <c r="J24" s="50">
        <v>0</v>
      </c>
      <c r="K24" s="50">
        <v>0</v>
      </c>
      <c r="L24" s="50">
        <v>1</v>
      </c>
      <c r="M24" s="50">
        <v>0</v>
      </c>
      <c r="N24" s="50">
        <v>0</v>
      </c>
      <c r="O24" s="50">
        <v>0</v>
      </c>
      <c r="P24" s="50">
        <v>0</v>
      </c>
      <c r="Q24" s="50">
        <v>0</v>
      </c>
      <c r="R24" s="50">
        <v>0</v>
      </c>
      <c r="S24" s="50">
        <v>0</v>
      </c>
      <c r="T24" s="50">
        <v>0</v>
      </c>
      <c r="U24" s="50">
        <v>0</v>
      </c>
      <c r="V24" s="50">
        <v>0</v>
      </c>
      <c r="W24" s="50">
        <v>0</v>
      </c>
      <c r="X24" s="50">
        <v>0</v>
      </c>
      <c r="Y24" s="50">
        <v>0</v>
      </c>
      <c r="Z24" s="48">
        <v>0</v>
      </c>
      <c r="AA24" s="48">
        <v>0</v>
      </c>
      <c r="AB24" s="48">
        <v>0</v>
      </c>
      <c r="AC24" s="50">
        <v>0</v>
      </c>
      <c r="AD24" s="50">
        <v>0</v>
      </c>
      <c r="AE24" s="50">
        <v>0</v>
      </c>
      <c r="AF24" s="50">
        <v>0</v>
      </c>
      <c r="AG24" s="50">
        <v>0</v>
      </c>
      <c r="AH24" s="50">
        <v>0</v>
      </c>
      <c r="AI24" s="50">
        <v>0</v>
      </c>
      <c r="AJ24" s="50">
        <v>0</v>
      </c>
      <c r="AK24" s="50">
        <v>0</v>
      </c>
      <c r="AL24" s="48">
        <v>0</v>
      </c>
      <c r="AM24" s="48">
        <v>0</v>
      </c>
      <c r="AN24" s="48">
        <v>0</v>
      </c>
      <c r="AO24" s="48">
        <v>0</v>
      </c>
      <c r="AP24" s="48">
        <v>0</v>
      </c>
      <c r="AQ24" s="48">
        <v>0</v>
      </c>
      <c r="AR24" s="48">
        <v>0</v>
      </c>
      <c r="AS24" s="48">
        <v>0</v>
      </c>
      <c r="AT24" s="48">
        <v>0</v>
      </c>
      <c r="AU24" s="48">
        <v>0</v>
      </c>
      <c r="AV24" s="48">
        <v>0</v>
      </c>
      <c r="AW24" s="48">
        <v>0</v>
      </c>
      <c r="AX24" s="48">
        <v>0</v>
      </c>
      <c r="AY24" s="48">
        <v>0</v>
      </c>
      <c r="AZ24" s="48">
        <v>0</v>
      </c>
      <c r="BA24" s="48">
        <v>0</v>
      </c>
      <c r="BB24" s="48">
        <v>0</v>
      </c>
      <c r="BC24" s="48">
        <v>0</v>
      </c>
      <c r="BD24" s="48">
        <v>0</v>
      </c>
      <c r="BE24" s="48">
        <v>0</v>
      </c>
      <c r="BF24" s="48">
        <v>0</v>
      </c>
      <c r="BG24" s="48">
        <v>0</v>
      </c>
      <c r="BH24" s="48">
        <v>0</v>
      </c>
      <c r="BI24" s="48">
        <v>0</v>
      </c>
      <c r="BJ24" s="48">
        <v>0</v>
      </c>
      <c r="BK24" s="48">
        <v>0</v>
      </c>
      <c r="BL24" s="48">
        <v>0</v>
      </c>
      <c r="BM24" s="48">
        <v>0</v>
      </c>
      <c r="BN24" s="48">
        <v>0</v>
      </c>
      <c r="BO24" s="48">
        <v>0</v>
      </c>
      <c r="BP24" s="48">
        <v>0</v>
      </c>
      <c r="BQ24" s="48">
        <v>0</v>
      </c>
      <c r="BR24" s="48">
        <v>0</v>
      </c>
      <c r="BS24" s="48">
        <v>0</v>
      </c>
      <c r="BT24" s="48">
        <v>0</v>
      </c>
      <c r="BU24" s="48">
        <v>0</v>
      </c>
      <c r="BV24" s="48">
        <v>0</v>
      </c>
      <c r="BW24" s="48">
        <v>0</v>
      </c>
      <c r="BX24" s="48">
        <v>0</v>
      </c>
    </row>
    <row r="25" spans="1:76" hidden="1" outlineLevel="1">
      <c r="B25" s="82" t="s">
        <v>11</v>
      </c>
      <c r="C25" s="50" t="s">
        <v>18</v>
      </c>
      <c r="D25" s="50">
        <v>0</v>
      </c>
      <c r="E25" s="50">
        <v>0</v>
      </c>
      <c r="F25" s="50">
        <v>0</v>
      </c>
      <c r="G25" s="50">
        <v>0</v>
      </c>
      <c r="H25" s="50">
        <v>0</v>
      </c>
      <c r="I25" s="50">
        <v>0.2</v>
      </c>
      <c r="J25" s="50">
        <v>0</v>
      </c>
      <c r="K25" s="50">
        <v>0</v>
      </c>
      <c r="L25" s="50">
        <v>0</v>
      </c>
      <c r="M25" s="50">
        <v>0</v>
      </c>
      <c r="N25" s="50">
        <v>0.1</v>
      </c>
      <c r="O25" s="50">
        <v>0</v>
      </c>
      <c r="P25" s="50">
        <v>0</v>
      </c>
      <c r="Q25" s="50">
        <v>0</v>
      </c>
      <c r="R25" s="50">
        <v>0</v>
      </c>
      <c r="S25" s="50">
        <v>0</v>
      </c>
      <c r="T25" s="50">
        <v>0</v>
      </c>
      <c r="U25" s="50">
        <v>0</v>
      </c>
      <c r="V25" s="50">
        <v>0</v>
      </c>
      <c r="W25" s="50">
        <v>0</v>
      </c>
      <c r="X25" s="50">
        <v>0</v>
      </c>
      <c r="Y25" s="50">
        <v>0</v>
      </c>
      <c r="Z25" s="48">
        <v>0.1</v>
      </c>
      <c r="AA25" s="48">
        <v>0.2</v>
      </c>
      <c r="AB25" s="48">
        <v>0.2</v>
      </c>
      <c r="AC25" s="50">
        <v>0.2</v>
      </c>
      <c r="AD25" s="50">
        <v>0.2</v>
      </c>
      <c r="AE25" s="50">
        <v>0.2</v>
      </c>
      <c r="AF25" s="50">
        <v>0.4</v>
      </c>
      <c r="AG25" s="50">
        <v>0.3</v>
      </c>
      <c r="AH25" s="50">
        <v>0.3</v>
      </c>
      <c r="AI25" s="50">
        <v>0.3</v>
      </c>
      <c r="AJ25" s="50">
        <v>0.3</v>
      </c>
      <c r="AK25" s="50">
        <v>0.3</v>
      </c>
      <c r="AL25" s="48">
        <v>0.3</v>
      </c>
      <c r="AM25" s="48">
        <v>0.3</v>
      </c>
      <c r="AN25" s="48">
        <v>0.4</v>
      </c>
      <c r="AO25" s="48">
        <v>0.4</v>
      </c>
      <c r="AP25" s="48">
        <v>0.3</v>
      </c>
      <c r="AQ25" s="48">
        <v>0.3</v>
      </c>
      <c r="AR25" s="48">
        <v>0.3</v>
      </c>
      <c r="AS25" s="48">
        <v>0.3</v>
      </c>
      <c r="AT25" s="48">
        <v>0.3</v>
      </c>
      <c r="AU25" s="48">
        <v>0.4</v>
      </c>
      <c r="AV25" s="48">
        <v>0.5</v>
      </c>
      <c r="AW25" s="48">
        <v>0.5</v>
      </c>
      <c r="AX25" s="48">
        <v>0.5</v>
      </c>
      <c r="AY25" s="48">
        <v>0.5</v>
      </c>
      <c r="AZ25" s="48">
        <v>0.5</v>
      </c>
      <c r="BA25" s="48">
        <v>0.5</v>
      </c>
      <c r="BB25" s="48">
        <v>0.5</v>
      </c>
      <c r="BC25" s="48">
        <v>0.5</v>
      </c>
      <c r="BD25" s="48">
        <v>0.5</v>
      </c>
      <c r="BE25" s="48">
        <v>0.3</v>
      </c>
      <c r="BF25" s="48">
        <v>0.4</v>
      </c>
      <c r="BG25" s="48">
        <v>0.4</v>
      </c>
      <c r="BH25" s="48">
        <v>0.4</v>
      </c>
      <c r="BI25" s="48">
        <v>0.4</v>
      </c>
      <c r="BJ25" s="48">
        <v>0.4</v>
      </c>
      <c r="BK25" s="48">
        <v>0.4</v>
      </c>
      <c r="BL25" s="48">
        <v>0.4</v>
      </c>
      <c r="BM25" s="48">
        <v>0.4</v>
      </c>
      <c r="BN25" s="48">
        <v>0</v>
      </c>
      <c r="BO25" s="48">
        <v>0</v>
      </c>
      <c r="BP25" s="48" t="s">
        <v>18</v>
      </c>
      <c r="BQ25" s="48" t="s">
        <v>18</v>
      </c>
      <c r="BR25" s="48" t="s">
        <v>18</v>
      </c>
      <c r="BS25" s="48" t="s">
        <v>18</v>
      </c>
      <c r="BT25" s="48" t="s">
        <v>18</v>
      </c>
      <c r="BU25" s="48" t="s">
        <v>18</v>
      </c>
      <c r="BV25" s="48" t="s">
        <v>18</v>
      </c>
      <c r="BW25" s="48" t="s">
        <v>18</v>
      </c>
      <c r="BX25" s="48" t="s">
        <v>18</v>
      </c>
    </row>
    <row r="26" spans="1:76" hidden="1" outlineLevel="1">
      <c r="B26" s="82" t="s">
        <v>8</v>
      </c>
      <c r="C26" s="50">
        <v>0</v>
      </c>
      <c r="D26" s="50">
        <v>0</v>
      </c>
      <c r="E26" s="50">
        <v>0</v>
      </c>
      <c r="F26" s="50">
        <v>0</v>
      </c>
      <c r="G26" s="50">
        <v>0</v>
      </c>
      <c r="H26" s="50">
        <v>0</v>
      </c>
      <c r="I26" s="50">
        <v>0</v>
      </c>
      <c r="J26" s="50">
        <v>0</v>
      </c>
      <c r="K26" s="50">
        <v>0</v>
      </c>
      <c r="L26" s="50">
        <v>1</v>
      </c>
      <c r="M26" s="50">
        <v>0</v>
      </c>
      <c r="N26" s="50">
        <v>0</v>
      </c>
      <c r="O26" s="50">
        <v>0</v>
      </c>
      <c r="P26" s="50">
        <v>0</v>
      </c>
      <c r="Q26" s="50">
        <v>0</v>
      </c>
      <c r="R26" s="50">
        <v>0.114</v>
      </c>
      <c r="S26" s="50">
        <v>0</v>
      </c>
      <c r="T26" s="50">
        <v>0</v>
      </c>
      <c r="U26" s="50">
        <v>0</v>
      </c>
      <c r="V26" s="50">
        <v>0</v>
      </c>
      <c r="W26" s="50">
        <v>0</v>
      </c>
      <c r="X26" s="50">
        <v>0</v>
      </c>
      <c r="Y26" s="50">
        <v>0</v>
      </c>
      <c r="Z26" s="48">
        <v>0</v>
      </c>
      <c r="AA26" s="48">
        <v>0</v>
      </c>
      <c r="AB26" s="48">
        <v>0</v>
      </c>
      <c r="AC26" s="50">
        <v>0</v>
      </c>
      <c r="AD26" s="50">
        <v>0</v>
      </c>
      <c r="AE26" s="50">
        <v>0</v>
      </c>
      <c r="AF26" s="50" t="s">
        <v>18</v>
      </c>
      <c r="AG26" s="50" t="s">
        <v>18</v>
      </c>
      <c r="AH26" s="50" t="s">
        <v>18</v>
      </c>
      <c r="AI26" s="50" t="s">
        <v>18</v>
      </c>
      <c r="AJ26" s="50" t="s">
        <v>18</v>
      </c>
      <c r="AK26" s="50" t="s">
        <v>18</v>
      </c>
      <c r="AL26" s="48" t="s">
        <v>18</v>
      </c>
      <c r="AM26" s="48" t="s">
        <v>18</v>
      </c>
      <c r="AN26" s="48" t="s">
        <v>18</v>
      </c>
      <c r="AO26" s="48" t="s">
        <v>18</v>
      </c>
      <c r="AP26" s="48" t="s">
        <v>18</v>
      </c>
      <c r="AQ26" s="48" t="s">
        <v>18</v>
      </c>
      <c r="AR26" s="48" t="s">
        <v>18</v>
      </c>
      <c r="AS26" s="48" t="s">
        <v>18</v>
      </c>
      <c r="AT26" s="48" t="s">
        <v>18</v>
      </c>
      <c r="AU26" s="48" t="s">
        <v>18</v>
      </c>
      <c r="AV26" s="48" t="s">
        <v>18</v>
      </c>
      <c r="AW26" s="48" t="s">
        <v>18</v>
      </c>
      <c r="AX26" s="48" t="s">
        <v>18</v>
      </c>
      <c r="AY26" s="48" t="s">
        <v>18</v>
      </c>
      <c r="AZ26" s="48" t="s">
        <v>18</v>
      </c>
      <c r="BA26" s="48" t="s">
        <v>18</v>
      </c>
      <c r="BB26" s="48" t="s">
        <v>18</v>
      </c>
      <c r="BC26" s="48" t="s">
        <v>18</v>
      </c>
      <c r="BD26" s="48" t="s">
        <v>18</v>
      </c>
      <c r="BE26" s="48" t="s">
        <v>18</v>
      </c>
      <c r="BF26" s="48" t="s">
        <v>18</v>
      </c>
      <c r="BG26" s="48" t="s">
        <v>18</v>
      </c>
      <c r="BH26" s="48" t="s">
        <v>18</v>
      </c>
      <c r="BI26" s="48" t="s">
        <v>18</v>
      </c>
      <c r="BJ26" s="48" t="s">
        <v>18</v>
      </c>
      <c r="BK26" s="48" t="s">
        <v>18</v>
      </c>
      <c r="BL26" s="48" t="s">
        <v>18</v>
      </c>
      <c r="BM26" s="48" t="s">
        <v>18</v>
      </c>
      <c r="BN26" s="48" t="s">
        <v>18</v>
      </c>
      <c r="BO26" s="48" t="s">
        <v>18</v>
      </c>
      <c r="BP26" s="48" t="s">
        <v>18</v>
      </c>
      <c r="BQ26" s="48" t="s">
        <v>18</v>
      </c>
      <c r="BR26" s="48" t="s">
        <v>18</v>
      </c>
      <c r="BS26" s="48" t="s">
        <v>18</v>
      </c>
      <c r="BT26" s="48" t="s">
        <v>18</v>
      </c>
      <c r="BU26" s="48" t="s">
        <v>18</v>
      </c>
      <c r="BV26" s="48" t="s">
        <v>18</v>
      </c>
      <c r="BW26" s="48" t="s">
        <v>18</v>
      </c>
      <c r="BX26" s="48" t="s">
        <v>18</v>
      </c>
    </row>
    <row r="27" spans="1:76" hidden="1" outlineLevel="1">
      <c r="A27" t="s">
        <v>45</v>
      </c>
      <c r="B27" s="82" t="s">
        <v>45</v>
      </c>
      <c r="C27" s="50" t="s">
        <v>18</v>
      </c>
      <c r="D27" s="50" t="s">
        <v>18</v>
      </c>
      <c r="E27" s="50" t="s">
        <v>18</v>
      </c>
      <c r="F27" s="50" t="s">
        <v>18</v>
      </c>
      <c r="G27" s="50" t="s">
        <v>18</v>
      </c>
      <c r="H27" s="50" t="s">
        <v>18</v>
      </c>
      <c r="I27" s="50" t="s">
        <v>18</v>
      </c>
      <c r="J27" s="50" t="s">
        <v>18</v>
      </c>
      <c r="K27" s="50" t="s">
        <v>18</v>
      </c>
      <c r="L27" s="50" t="s">
        <v>18</v>
      </c>
      <c r="M27" s="50" t="s">
        <v>18</v>
      </c>
      <c r="N27" s="50" t="s">
        <v>18</v>
      </c>
      <c r="O27" s="50" t="s">
        <v>18</v>
      </c>
      <c r="P27" s="50" t="s">
        <v>18</v>
      </c>
      <c r="Q27" s="50" t="s">
        <v>18</v>
      </c>
      <c r="R27" s="50" t="s">
        <v>18</v>
      </c>
      <c r="S27" s="50" t="s">
        <v>18</v>
      </c>
      <c r="T27" s="50" t="s">
        <v>18</v>
      </c>
      <c r="U27" s="50" t="s">
        <v>18</v>
      </c>
      <c r="V27" s="50" t="s">
        <v>18</v>
      </c>
      <c r="W27" s="50" t="s">
        <v>18</v>
      </c>
      <c r="X27" s="50" t="s">
        <v>18</v>
      </c>
      <c r="Y27" s="50" t="s">
        <v>18</v>
      </c>
      <c r="Z27" s="50" t="s">
        <v>18</v>
      </c>
      <c r="AA27" s="50" t="s">
        <v>18</v>
      </c>
      <c r="AB27" s="50" t="s">
        <v>18</v>
      </c>
      <c r="AC27" s="50" t="s">
        <v>18</v>
      </c>
      <c r="AD27" s="50" t="s">
        <v>18</v>
      </c>
      <c r="AE27" s="50" t="s">
        <v>18</v>
      </c>
      <c r="AF27" s="50" t="s">
        <v>18</v>
      </c>
      <c r="AG27" s="50" t="s">
        <v>18</v>
      </c>
      <c r="AH27" s="50" t="s">
        <v>18</v>
      </c>
      <c r="AI27" s="50" t="s">
        <v>18</v>
      </c>
      <c r="AJ27" s="50" t="s">
        <v>18</v>
      </c>
      <c r="AK27" s="50" t="s">
        <v>18</v>
      </c>
      <c r="AL27" s="48" t="s">
        <v>18</v>
      </c>
      <c r="AM27" s="48" t="s">
        <v>18</v>
      </c>
      <c r="AN27" s="48" t="s">
        <v>18</v>
      </c>
      <c r="AO27" s="48" t="s">
        <v>18</v>
      </c>
      <c r="AP27" s="48" t="s">
        <v>18</v>
      </c>
      <c r="AQ27" s="48" t="s">
        <v>18</v>
      </c>
      <c r="AR27" s="48" t="s">
        <v>18</v>
      </c>
      <c r="AS27" s="48" t="s">
        <v>18</v>
      </c>
      <c r="AT27" s="48" t="s">
        <v>18</v>
      </c>
      <c r="AU27" s="48" t="s">
        <v>18</v>
      </c>
      <c r="AV27" s="48">
        <v>1</v>
      </c>
      <c r="AW27" s="48">
        <v>0.52474921887847392</v>
      </c>
      <c r="AX27" s="48">
        <v>0.52474921887847392</v>
      </c>
      <c r="AY27" s="48">
        <v>0.52474921887847392</v>
      </c>
      <c r="AZ27" s="48">
        <v>0.52474921887847392</v>
      </c>
      <c r="BA27" s="48">
        <v>0.52474921887847392</v>
      </c>
      <c r="BB27" s="48">
        <v>0.52474921887847392</v>
      </c>
      <c r="BC27" s="48">
        <v>0.52488488735405359</v>
      </c>
      <c r="BD27" s="48">
        <v>0.52488488735405359</v>
      </c>
      <c r="BE27" s="48">
        <v>0.52488488735405359</v>
      </c>
      <c r="BF27" s="48">
        <v>0</v>
      </c>
      <c r="BG27" s="48">
        <v>0</v>
      </c>
      <c r="BH27" s="48">
        <v>0</v>
      </c>
      <c r="BI27" s="48">
        <v>0</v>
      </c>
      <c r="BJ27" s="48">
        <v>0</v>
      </c>
      <c r="BK27" s="48">
        <v>0</v>
      </c>
      <c r="BL27" s="48">
        <v>0</v>
      </c>
      <c r="BM27" s="48">
        <v>0</v>
      </c>
      <c r="BN27" s="48">
        <v>0</v>
      </c>
      <c r="BO27" s="48">
        <v>0</v>
      </c>
      <c r="BP27" s="48">
        <v>0</v>
      </c>
      <c r="BQ27" s="48">
        <v>0</v>
      </c>
      <c r="BR27" s="48">
        <v>0</v>
      </c>
      <c r="BS27" s="48">
        <v>0</v>
      </c>
      <c r="BT27" s="48">
        <v>0</v>
      </c>
      <c r="BU27" s="48">
        <v>0</v>
      </c>
      <c r="BV27" s="48">
        <v>0</v>
      </c>
      <c r="BW27" s="48">
        <v>0</v>
      </c>
      <c r="BX27" s="48">
        <v>0</v>
      </c>
    </row>
    <row r="28" spans="1:76" collapsed="1">
      <c r="B28" s="80" t="s">
        <v>15</v>
      </c>
      <c r="C28" s="41">
        <v>0.04</v>
      </c>
      <c r="D28" s="41">
        <v>3.1E-2</v>
      </c>
      <c r="E28" s="41">
        <v>2.98E-2</v>
      </c>
      <c r="F28" s="41">
        <v>2.87E-2</v>
      </c>
      <c r="G28" s="41">
        <v>8.3000000000000001E-3</v>
      </c>
      <c r="H28" s="41">
        <v>3.0000000000000001E-3</v>
      </c>
      <c r="I28" s="41">
        <v>3.5000000000000003E-2</v>
      </c>
      <c r="J28" s="41">
        <v>7.0999999999999994E-2</v>
      </c>
      <c r="K28" s="41">
        <v>6.4000000000000001E-2</v>
      </c>
      <c r="L28" s="41">
        <v>4.4999999999999998E-2</v>
      </c>
      <c r="M28" s="41">
        <v>1.4999999999999999E-2</v>
      </c>
      <c r="N28" s="41">
        <v>1.2999999999999999E-2</v>
      </c>
      <c r="O28" s="41">
        <v>1.4E-2</v>
      </c>
      <c r="P28" s="41">
        <v>2.1000000000000001E-2</v>
      </c>
      <c r="Q28" s="41">
        <v>6.0000000000000001E-3</v>
      </c>
      <c r="R28" s="41">
        <v>4.0000000000000001E-3</v>
      </c>
      <c r="S28" s="41">
        <v>5.0000000000000001E-3</v>
      </c>
      <c r="T28" s="41">
        <v>0.03</v>
      </c>
      <c r="U28" s="41">
        <v>1.7000000000000001E-2</v>
      </c>
      <c r="V28" s="41">
        <v>1.4E-2</v>
      </c>
      <c r="W28" s="41">
        <v>2.3E-2</v>
      </c>
      <c r="X28" s="41">
        <v>3.1E-2</v>
      </c>
      <c r="Y28" s="41">
        <v>1.2E-2</v>
      </c>
      <c r="Z28" s="49">
        <v>0.03</v>
      </c>
      <c r="AA28" s="49">
        <v>3.3000000000000002E-2</v>
      </c>
      <c r="AB28" s="49">
        <v>4.4999999999999998E-2</v>
      </c>
      <c r="AC28" s="41">
        <v>5.0999999999999997E-2</v>
      </c>
      <c r="AD28" s="41">
        <v>4.2999999999999997E-2</v>
      </c>
      <c r="AE28" s="41">
        <v>4.1000000000000002E-2</v>
      </c>
      <c r="AF28" s="41">
        <v>4.2000000000000003E-2</v>
      </c>
      <c r="AG28" s="41">
        <v>4.7E-2</v>
      </c>
      <c r="AH28" s="41">
        <v>4.2999999999999997E-2</v>
      </c>
      <c r="AI28" s="41">
        <v>5.8000000000000003E-2</v>
      </c>
      <c r="AJ28" s="41">
        <v>9.8000000000000004E-2</v>
      </c>
      <c r="AK28" s="41">
        <v>9.4E-2</v>
      </c>
      <c r="AL28" s="49">
        <v>7.2999999999999995E-2</v>
      </c>
      <c r="AM28" s="49">
        <v>8.0130468780342079E-2</v>
      </c>
      <c r="AN28" s="49">
        <v>8.1070931577748154E-2</v>
      </c>
      <c r="AO28" s="49">
        <v>6.7021776096013799E-2</v>
      </c>
      <c r="AP28" s="49">
        <v>6.2087345766736343E-2</v>
      </c>
      <c r="AQ28" s="49">
        <v>7.0894505541990421E-2</v>
      </c>
      <c r="AR28" s="49">
        <v>6.4421418102482128E-2</v>
      </c>
      <c r="AS28" s="49">
        <v>5.4329327272280709E-2</v>
      </c>
      <c r="AT28" s="49">
        <v>5.83151046185909E-2</v>
      </c>
      <c r="AU28" s="49">
        <v>5.8650971977450374E-2</v>
      </c>
      <c r="AV28" s="49">
        <v>5.2537366109621182E-2</v>
      </c>
      <c r="AW28" s="49">
        <v>4.743566952957861E-2</v>
      </c>
      <c r="AX28" s="49">
        <v>4.8986948122133132E-2</v>
      </c>
      <c r="AY28" s="49">
        <v>5.3084609131880678E-2</v>
      </c>
      <c r="AZ28" s="49">
        <v>6.4441036186573916E-2</v>
      </c>
      <c r="BA28" s="49">
        <v>7.4447092541827659E-2</v>
      </c>
      <c r="BB28" s="49">
        <v>6.1416160352096905E-2</v>
      </c>
      <c r="BC28" s="49">
        <v>8.2061012389375118E-2</v>
      </c>
      <c r="BD28" s="49">
        <v>9.2818796027425335E-2</v>
      </c>
      <c r="BE28" s="49">
        <v>8.1643095175420413E-2</v>
      </c>
      <c r="BF28" s="49">
        <v>7.6983981981993188E-2</v>
      </c>
      <c r="BG28" s="49">
        <v>7.6965582915132738E-2</v>
      </c>
      <c r="BH28" s="49">
        <v>7.3164838207461169E-2</v>
      </c>
      <c r="BI28" s="49">
        <v>6.5662922616573832E-2</v>
      </c>
      <c r="BJ28" s="49">
        <v>4.8476034545381533E-2</v>
      </c>
      <c r="BK28" s="49">
        <v>5.0568286238192539E-2</v>
      </c>
      <c r="BL28" s="49">
        <v>5.8114861487325697E-2</v>
      </c>
      <c r="BM28" s="49">
        <v>4.5863890346786555E-2</v>
      </c>
      <c r="BN28" s="49">
        <v>4.233295370313829E-2</v>
      </c>
      <c r="BO28" s="49">
        <v>5.1436382751305944E-2</v>
      </c>
      <c r="BP28" s="49">
        <v>4.0178798182121056E-2</v>
      </c>
      <c r="BQ28" s="49">
        <v>6.599273246748219E-2</v>
      </c>
      <c r="BR28" s="49">
        <v>5.1775944687671882E-2</v>
      </c>
      <c r="BS28" s="49">
        <v>4.8282017788265262E-2</v>
      </c>
      <c r="BT28" s="49">
        <v>5.6439972275131638E-2</v>
      </c>
      <c r="BU28" s="49">
        <v>5.6523909470342665E-2</v>
      </c>
      <c r="BV28" s="49">
        <v>4.0414055793533278E-2</v>
      </c>
      <c r="BW28" s="49">
        <v>2.6833323074272983E-2</v>
      </c>
      <c r="BX28" s="49">
        <v>3.8477671543129255E-2</v>
      </c>
    </row>
    <row r="29" spans="1:76" hidden="1" outlineLevel="1">
      <c r="A29" t="s">
        <v>12</v>
      </c>
      <c r="B29" s="82" t="s">
        <v>12</v>
      </c>
      <c r="C29" s="50">
        <v>0.05</v>
      </c>
      <c r="D29" s="50">
        <v>2.4799999999999999E-2</v>
      </c>
      <c r="E29" s="50">
        <v>2.3300000000000001E-2</v>
      </c>
      <c r="F29" s="50">
        <v>1.52E-2</v>
      </c>
      <c r="G29" s="50">
        <v>1.9400000000000001E-2</v>
      </c>
      <c r="H29" s="50">
        <v>1.9099999999999999E-2</v>
      </c>
      <c r="I29" s="50">
        <v>2.0500000000000001E-2</v>
      </c>
      <c r="J29" s="50">
        <v>3.7100000000000001E-2</v>
      </c>
      <c r="K29" s="50">
        <v>3.32E-2</v>
      </c>
      <c r="L29" s="50">
        <v>3.3000000000000002E-2</v>
      </c>
      <c r="M29" s="50">
        <v>2.3E-2</v>
      </c>
      <c r="N29" s="50">
        <v>2.3E-2</v>
      </c>
      <c r="O29" s="50">
        <v>2.4E-2</v>
      </c>
      <c r="P29" s="50">
        <v>2.5000000000000001E-2</v>
      </c>
      <c r="Q29" s="50">
        <v>2.9000000000000001E-2</v>
      </c>
      <c r="R29" s="50">
        <v>0.02</v>
      </c>
      <c r="S29" s="50">
        <v>2.5000000000000001E-2</v>
      </c>
      <c r="T29" s="50">
        <v>2.1999999999999999E-2</v>
      </c>
      <c r="U29" s="50">
        <v>1.2E-2</v>
      </c>
      <c r="V29" s="50">
        <v>5.0000000000000001E-3</v>
      </c>
      <c r="W29" s="50">
        <v>7.0000000000000001E-3</v>
      </c>
      <c r="X29" s="50">
        <v>1.6E-2</v>
      </c>
      <c r="Y29" s="50">
        <v>1.7999999999999999E-2</v>
      </c>
      <c r="Z29" s="48">
        <v>8.3965054220348778E-3</v>
      </c>
      <c r="AA29" s="48">
        <v>1.7132950334840399E-2</v>
      </c>
      <c r="AB29" s="48">
        <v>1.5699999999999999E-2</v>
      </c>
      <c r="AC29" s="50">
        <v>2.2839275396798423E-2</v>
      </c>
      <c r="AD29" s="50">
        <v>1.55823675356014E-2</v>
      </c>
      <c r="AE29" s="50">
        <v>2.4E-2</v>
      </c>
      <c r="AF29" s="50">
        <v>4.6803638224880137E-2</v>
      </c>
      <c r="AG29" s="50">
        <v>3.5500289907875231E-2</v>
      </c>
      <c r="AH29" s="50">
        <v>5.1999999999999998E-2</v>
      </c>
      <c r="AI29" s="50">
        <v>8.9038567813321409E-2</v>
      </c>
      <c r="AJ29" s="50">
        <v>8.3055583611083061E-2</v>
      </c>
      <c r="AK29" s="50">
        <v>7.9000000000000001E-2</v>
      </c>
      <c r="AL29" s="48">
        <v>7.3999999999999996E-2</v>
      </c>
      <c r="AM29" s="48">
        <v>7.8827313318231451E-2</v>
      </c>
      <c r="AN29" s="48">
        <v>7.6883418392024047E-2</v>
      </c>
      <c r="AO29" s="48">
        <v>7.1596704520530172E-2</v>
      </c>
      <c r="AP29" s="48">
        <v>6.5977267839027381E-2</v>
      </c>
      <c r="AQ29" s="48">
        <v>6.292358820467521E-2</v>
      </c>
      <c r="AR29" s="48">
        <v>6.8486028726189474E-2</v>
      </c>
      <c r="AS29" s="48">
        <v>6.6065840556840158E-2</v>
      </c>
      <c r="AT29" s="48">
        <v>5.1088297658196627E-2</v>
      </c>
      <c r="AU29" s="48">
        <v>5.4690867051433646E-2</v>
      </c>
      <c r="AV29" s="48">
        <v>6.3916726383515782E-2</v>
      </c>
      <c r="AW29" s="48">
        <v>5.8140999553205577E-2</v>
      </c>
      <c r="AX29" s="48">
        <v>7.2487969068721222E-2</v>
      </c>
      <c r="AY29" s="48">
        <v>8.4136663357044283E-2</v>
      </c>
      <c r="AZ29" s="48">
        <v>0.10301728173185749</v>
      </c>
      <c r="BA29" s="48">
        <v>0.15357635569805134</v>
      </c>
      <c r="BB29" s="48">
        <v>0.15808730751057748</v>
      </c>
      <c r="BC29" s="48">
        <v>0.18661104518803287</v>
      </c>
      <c r="BD29" s="48">
        <v>0.18934938843667445</v>
      </c>
      <c r="BE29" s="48">
        <v>0.18044977287858935</v>
      </c>
      <c r="BF29" s="48">
        <v>0.17434942291403971</v>
      </c>
      <c r="BG29" s="48">
        <v>0.19207966218435388</v>
      </c>
      <c r="BH29" s="48">
        <v>0.19798819077609303</v>
      </c>
      <c r="BI29" s="48">
        <v>0.18279225384727935</v>
      </c>
      <c r="BJ29" s="48">
        <v>0.13231847106128772</v>
      </c>
      <c r="BK29" s="48">
        <v>0.13738843414281429</v>
      </c>
      <c r="BL29" s="48">
        <v>0.15131056045542646</v>
      </c>
      <c r="BM29" s="48">
        <v>0.13129336713361384</v>
      </c>
      <c r="BN29" s="48">
        <v>0.10408656230069346</v>
      </c>
      <c r="BO29" s="48">
        <v>0.15174455801158046</v>
      </c>
      <c r="BP29" s="48">
        <v>0.11259238134392428</v>
      </c>
      <c r="BQ29" s="48">
        <v>0.11528987383086908</v>
      </c>
      <c r="BR29" s="48">
        <v>8.7686087758396286E-2</v>
      </c>
      <c r="BS29" s="48">
        <v>8.6233697205800305E-2</v>
      </c>
      <c r="BT29" s="48">
        <v>8.9793983366369692E-2</v>
      </c>
      <c r="BU29" s="48">
        <v>9.6830117632210277E-2</v>
      </c>
      <c r="BV29" s="48" t="s">
        <v>18</v>
      </c>
      <c r="BW29" s="48" t="s">
        <v>18</v>
      </c>
      <c r="BX29" s="48" t="s">
        <v>18</v>
      </c>
    </row>
    <row r="30" spans="1:76" hidden="1" outlineLevel="1">
      <c r="A30" t="s">
        <v>30</v>
      </c>
      <c r="B30" s="23" t="s">
        <v>30</v>
      </c>
      <c r="C30" s="50">
        <v>8.0000000000000002E-3</v>
      </c>
      <c r="D30" s="50">
        <v>3.3999999999999998E-3</v>
      </c>
      <c r="E30" s="50">
        <v>1.8E-3</v>
      </c>
      <c r="F30" s="50">
        <v>1.8E-3</v>
      </c>
      <c r="G30" s="50">
        <v>6.7000000000000002E-3</v>
      </c>
      <c r="H30" s="50">
        <v>1.1999999999999999E-3</v>
      </c>
      <c r="I30" s="50">
        <v>3.6799999999999999E-2</v>
      </c>
      <c r="J30" s="50">
        <v>7.9600000000000004E-2</v>
      </c>
      <c r="K30" s="50">
        <v>7.1800000000000003E-2</v>
      </c>
      <c r="L30" s="50">
        <v>4.8000000000000001E-2</v>
      </c>
      <c r="M30" s="50">
        <v>8.0000000000000002E-3</v>
      </c>
      <c r="N30" s="50">
        <v>0.01</v>
      </c>
      <c r="O30" s="50">
        <v>1.2E-2</v>
      </c>
      <c r="P30" s="50">
        <v>2.5999999999999999E-2</v>
      </c>
      <c r="Q30" s="50">
        <v>0</v>
      </c>
      <c r="R30" s="50">
        <v>0</v>
      </c>
      <c r="S30" s="50">
        <v>0</v>
      </c>
      <c r="T30" s="50">
        <v>5.0000000000000001E-3</v>
      </c>
      <c r="U30" s="50">
        <v>6.0000000000000001E-3</v>
      </c>
      <c r="V30" s="50">
        <v>8.0000000000000002E-3</v>
      </c>
      <c r="W30" s="50">
        <v>2.1000000000000001E-2</v>
      </c>
      <c r="X30" s="50">
        <v>0.03</v>
      </c>
      <c r="Y30" s="50">
        <v>2E-3</v>
      </c>
      <c r="Z30" s="48">
        <v>1.3718989367783241E-3</v>
      </c>
      <c r="AA30" s="48">
        <v>9.0316680004572988E-3</v>
      </c>
      <c r="AB30" s="48">
        <v>1.2699999999999999E-2</v>
      </c>
      <c r="AC30" s="50">
        <v>1.8298209019636053E-2</v>
      </c>
      <c r="AD30" s="50">
        <v>2.0683739825727455E-2</v>
      </c>
      <c r="AE30" s="50">
        <v>0.02</v>
      </c>
      <c r="AF30" s="50">
        <v>1.8183603800632216E-2</v>
      </c>
      <c r="AG30" s="50">
        <v>1.5720050264647508E-2</v>
      </c>
      <c r="AH30" s="50">
        <v>1.5720050264647508E-2</v>
      </c>
      <c r="AI30" s="50">
        <v>1.6526776740847095E-2</v>
      </c>
      <c r="AJ30" s="50">
        <v>1.7018282087001478E-2</v>
      </c>
      <c r="AK30" s="50">
        <v>1.7000000000000001E-2</v>
      </c>
      <c r="AL30" s="48">
        <v>1.2999999999999999E-2</v>
      </c>
      <c r="AM30" s="48">
        <v>1.4015810558299589E-2</v>
      </c>
      <c r="AN30" s="48">
        <v>1.5285869145352573E-2</v>
      </c>
      <c r="AO30" s="48">
        <v>1.031061020760337E-2</v>
      </c>
      <c r="AP30" s="48">
        <v>1.3405174826241338E-2</v>
      </c>
      <c r="AQ30" s="48">
        <v>2.080485435091229E-2</v>
      </c>
      <c r="AR30" s="48">
        <v>1.7158681329053231E-2</v>
      </c>
      <c r="AS30" s="48">
        <v>1.239111802496036E-2</v>
      </c>
      <c r="AT30" s="48">
        <v>8.3357540918012028E-3</v>
      </c>
      <c r="AU30" s="48">
        <v>1.0529517004409433E-2</v>
      </c>
      <c r="AV30" s="48">
        <v>1.2038526505520277E-2</v>
      </c>
      <c r="AW30" s="48">
        <v>1.1038400652428634E-2</v>
      </c>
      <c r="AX30" s="48">
        <v>9.7715942718668604E-3</v>
      </c>
      <c r="AY30" s="48">
        <v>1.3898016338111382E-2</v>
      </c>
      <c r="AZ30" s="48">
        <v>1.7816960981054699E-2</v>
      </c>
      <c r="BA30" s="48">
        <v>1.9833248076080945E-2</v>
      </c>
      <c r="BB30" s="48">
        <v>2.1709340773021446E-2</v>
      </c>
      <c r="BC30" s="48">
        <v>9.0508694868119521E-2</v>
      </c>
      <c r="BD30" s="48">
        <v>8.9166813574802689E-2</v>
      </c>
      <c r="BE30" s="48">
        <v>8.2358072663435145E-2</v>
      </c>
      <c r="BF30" s="48">
        <v>7.8460643636198923E-2</v>
      </c>
      <c r="BG30" s="48">
        <v>7.8200085052603438E-2</v>
      </c>
      <c r="BH30" s="48">
        <v>7.3953980925357085E-2</v>
      </c>
      <c r="BI30" s="48">
        <v>5.4411155236261076E-2</v>
      </c>
      <c r="BJ30" s="48">
        <v>3.2552190500239463E-2</v>
      </c>
      <c r="BK30" s="48">
        <v>3.6406123412131328E-2</v>
      </c>
      <c r="BL30" s="48">
        <v>5.5045955005441335E-2</v>
      </c>
      <c r="BM30" s="48">
        <v>1.9561167514495464E-2</v>
      </c>
      <c r="BN30" s="48">
        <v>2.0631242598229578E-2</v>
      </c>
      <c r="BO30" s="48">
        <v>3.0443004071776854E-2</v>
      </c>
      <c r="BP30" s="48">
        <v>2.2660591899248579E-2</v>
      </c>
      <c r="BQ30" s="48">
        <v>0.12156706755794852</v>
      </c>
      <c r="BR30" s="48">
        <v>8.2981478990345942E-2</v>
      </c>
      <c r="BS30" s="48">
        <v>1.9982140148316913E-2</v>
      </c>
      <c r="BT30" s="48">
        <v>2.5260790503528516E-2</v>
      </c>
      <c r="BU30" s="48">
        <v>1.7213498141959025E-2</v>
      </c>
      <c r="BV30" s="48">
        <v>1.2749405975028889E-2</v>
      </c>
      <c r="BW30" s="48">
        <v>1.5550791641766416E-2</v>
      </c>
      <c r="BX30" s="48">
        <v>2.6201971717660942E-2</v>
      </c>
    </row>
    <row r="31" spans="1:76" hidden="1" outlineLevel="1">
      <c r="B31" s="23" t="s">
        <v>31</v>
      </c>
      <c r="C31" s="50" t="s">
        <v>18</v>
      </c>
      <c r="D31" s="50" t="s">
        <v>18</v>
      </c>
      <c r="E31" s="50" t="s">
        <v>18</v>
      </c>
      <c r="F31" s="50" t="s">
        <v>18</v>
      </c>
      <c r="G31" s="50" t="s">
        <v>18</v>
      </c>
      <c r="H31" s="50" t="s">
        <v>18</v>
      </c>
      <c r="I31" s="50" t="s">
        <v>18</v>
      </c>
      <c r="J31" s="50" t="s">
        <v>18</v>
      </c>
      <c r="K31" s="50" t="s">
        <v>18</v>
      </c>
      <c r="L31" s="50" t="s">
        <v>18</v>
      </c>
      <c r="M31" s="50" t="s">
        <v>18</v>
      </c>
      <c r="N31" s="50" t="s">
        <v>18</v>
      </c>
      <c r="O31" s="50" t="s">
        <v>18</v>
      </c>
      <c r="P31" s="50" t="s">
        <v>18</v>
      </c>
      <c r="Q31" s="50" t="s">
        <v>18</v>
      </c>
      <c r="R31" s="50" t="s">
        <v>18</v>
      </c>
      <c r="S31" s="50" t="s">
        <v>18</v>
      </c>
      <c r="T31" s="50">
        <v>4.5999999999999999E-2</v>
      </c>
      <c r="U31" s="50">
        <v>3.7999999999999999E-2</v>
      </c>
      <c r="V31" s="50">
        <v>1.6E-2</v>
      </c>
      <c r="W31" s="50">
        <v>2.7E-2</v>
      </c>
      <c r="X31" s="50">
        <v>0.04</v>
      </c>
      <c r="Y31" s="50">
        <v>2.3E-2</v>
      </c>
      <c r="Z31" s="48">
        <v>1.29E-2</v>
      </c>
      <c r="AA31" s="48">
        <v>1.47E-2</v>
      </c>
      <c r="AB31" s="48">
        <v>2.24E-2</v>
      </c>
      <c r="AC31" s="50">
        <v>3.4478362490261351E-2</v>
      </c>
      <c r="AD31" s="50">
        <v>2.7088841268348297E-2</v>
      </c>
      <c r="AE31" s="50">
        <v>4.1000000000000002E-2</v>
      </c>
      <c r="AF31" s="50">
        <v>3.8945511303091832E-2</v>
      </c>
      <c r="AG31" s="50">
        <v>4.0258154010133385E-2</v>
      </c>
      <c r="AH31" s="50">
        <v>1.4E-2</v>
      </c>
      <c r="AI31" s="50">
        <v>6.7998728064744884E-2</v>
      </c>
      <c r="AJ31" s="50">
        <v>6.6214923289922442E-2</v>
      </c>
      <c r="AK31" s="50">
        <v>0.06</v>
      </c>
      <c r="AL31" s="48">
        <v>4.1000000000000002E-2</v>
      </c>
      <c r="AM31" s="48">
        <v>6.5210882362872979E-2</v>
      </c>
      <c r="AN31" s="48">
        <v>4.5571301538703972E-2</v>
      </c>
      <c r="AO31" s="48">
        <v>5.3021409034117124E-2</v>
      </c>
      <c r="AP31" s="48">
        <v>8.0793214844497464E-3</v>
      </c>
      <c r="AQ31" s="48">
        <v>2.5109781574149118E-2</v>
      </c>
      <c r="AR31" s="48">
        <v>1.4657012644302858E-2</v>
      </c>
      <c r="AS31" s="48">
        <v>1.5725924065290782E-2</v>
      </c>
      <c r="AT31" s="48">
        <v>1.1428036630400439E-2</v>
      </c>
      <c r="AU31" s="48">
        <v>1.0951837878299739E-2</v>
      </c>
      <c r="AV31" s="48">
        <v>1.5627856675689139E-2</v>
      </c>
      <c r="AW31" s="48">
        <v>1.6659794884043396E-2</v>
      </c>
      <c r="AX31" s="48">
        <v>2.8911081523707825E-2</v>
      </c>
      <c r="AY31" s="48">
        <v>3.0761100411786552E-2</v>
      </c>
      <c r="AZ31" s="48">
        <v>6.6208804012333977E-2</v>
      </c>
      <c r="BA31" s="48">
        <v>4.1161722041734961E-2</v>
      </c>
      <c r="BB31" s="48">
        <v>1.4852956240501253E-2</v>
      </c>
      <c r="BC31" s="48">
        <v>2.1507635233197136E-2</v>
      </c>
      <c r="BD31" s="48" t="s">
        <v>18</v>
      </c>
      <c r="BE31" s="48" t="s">
        <v>18</v>
      </c>
      <c r="BF31" s="48" t="s">
        <v>18</v>
      </c>
      <c r="BG31" s="48" t="s">
        <v>18</v>
      </c>
      <c r="BH31" s="48" t="s">
        <v>18</v>
      </c>
      <c r="BI31" s="48" t="s">
        <v>18</v>
      </c>
      <c r="BJ31" s="48" t="s">
        <v>18</v>
      </c>
      <c r="BK31" s="48" t="s">
        <v>18</v>
      </c>
      <c r="BL31" s="48" t="s">
        <v>18</v>
      </c>
      <c r="BM31" s="48" t="s">
        <v>18</v>
      </c>
      <c r="BN31" s="48" t="s">
        <v>18</v>
      </c>
      <c r="BO31" s="48" t="s">
        <v>18</v>
      </c>
      <c r="BP31" s="48" t="s">
        <v>18</v>
      </c>
      <c r="BQ31" s="48" t="s">
        <v>18</v>
      </c>
      <c r="BR31" s="48" t="s">
        <v>18</v>
      </c>
      <c r="BS31" s="48" t="s">
        <v>18</v>
      </c>
      <c r="BT31" s="48" t="s">
        <v>18</v>
      </c>
      <c r="BU31" s="48" t="s">
        <v>18</v>
      </c>
      <c r="BV31" s="48" t="s">
        <v>18</v>
      </c>
      <c r="BW31" s="48" t="s">
        <v>18</v>
      </c>
      <c r="BX31" s="48" t="s">
        <v>18</v>
      </c>
    </row>
    <row r="32" spans="1:76" hidden="1" outlineLevel="1">
      <c r="A32" t="s">
        <v>16</v>
      </c>
      <c r="B32" s="38" t="s">
        <v>16</v>
      </c>
      <c r="C32" s="50" t="s">
        <v>18</v>
      </c>
      <c r="D32" s="50" t="s">
        <v>18</v>
      </c>
      <c r="E32" s="50" t="s">
        <v>18</v>
      </c>
      <c r="F32" s="50" t="s">
        <v>18</v>
      </c>
      <c r="G32" s="50" t="s">
        <v>18</v>
      </c>
      <c r="H32" s="50" t="s">
        <v>18</v>
      </c>
      <c r="I32" s="50" t="s">
        <v>18</v>
      </c>
      <c r="J32" s="50" t="s">
        <v>18</v>
      </c>
      <c r="K32" s="50" t="s">
        <v>18</v>
      </c>
      <c r="L32" s="50" t="s">
        <v>18</v>
      </c>
      <c r="M32" s="50" t="s">
        <v>18</v>
      </c>
      <c r="N32" s="50" t="s">
        <v>18</v>
      </c>
      <c r="O32" s="50" t="s">
        <v>18</v>
      </c>
      <c r="P32" s="50" t="s">
        <v>18</v>
      </c>
      <c r="Q32" s="50" t="s">
        <v>18</v>
      </c>
      <c r="R32" s="50" t="s">
        <v>18</v>
      </c>
      <c r="S32" s="50" t="s">
        <v>18</v>
      </c>
      <c r="T32" s="50" t="s">
        <v>18</v>
      </c>
      <c r="U32" s="50" t="s">
        <v>18</v>
      </c>
      <c r="V32" s="50" t="s">
        <v>18</v>
      </c>
      <c r="W32" s="50" t="s">
        <v>18</v>
      </c>
      <c r="X32" s="50" t="s">
        <v>18</v>
      </c>
      <c r="Y32" s="50" t="s">
        <v>18</v>
      </c>
      <c r="Z32" s="48">
        <v>6.688873483535529E-2</v>
      </c>
      <c r="AA32" s="48">
        <v>6.3190737316511328E-2</v>
      </c>
      <c r="AB32" s="48">
        <v>8.3900000000000002E-2</v>
      </c>
      <c r="AC32" s="50">
        <v>9.7293376252436864E-2</v>
      </c>
      <c r="AD32" s="50">
        <v>7.3516441508406319E-2</v>
      </c>
      <c r="AE32" s="50">
        <v>5.8000000000000003E-2</v>
      </c>
      <c r="AF32" s="50">
        <v>6.5095209144575283E-2</v>
      </c>
      <c r="AG32" s="50">
        <v>8.1841645573809602E-2</v>
      </c>
      <c r="AH32" s="50">
        <v>8.1000000000000003E-2</v>
      </c>
      <c r="AI32" s="50">
        <v>0.10911092351481308</v>
      </c>
      <c r="AJ32" s="50">
        <v>0.17290968384817465</v>
      </c>
      <c r="AK32" s="50">
        <v>0.16300000000000001</v>
      </c>
      <c r="AL32" s="48">
        <v>9.5000000000000001E-2</v>
      </c>
      <c r="AM32" s="48">
        <v>9.2559929075039959E-2</v>
      </c>
      <c r="AN32" s="48">
        <v>0.10859957440098023</v>
      </c>
      <c r="AO32" s="48">
        <v>9.9814570784838658E-2</v>
      </c>
      <c r="AP32" s="48">
        <v>0.10329544692428577</v>
      </c>
      <c r="AQ32" s="48">
        <v>0.10256077845743168</v>
      </c>
      <c r="AR32" s="48">
        <v>0.10850382789770122</v>
      </c>
      <c r="AS32" s="48">
        <v>8.8033827922632008E-2</v>
      </c>
      <c r="AT32" s="48">
        <v>0.11402718540927653</v>
      </c>
      <c r="AU32" s="48">
        <v>0.12223300948868104</v>
      </c>
      <c r="AV32" s="48">
        <v>8.7214950059089399E-2</v>
      </c>
      <c r="AW32" s="48">
        <v>7.8248693274607151E-2</v>
      </c>
      <c r="AX32" s="48">
        <v>8.2839901369520227E-2</v>
      </c>
      <c r="AY32" s="48">
        <v>8.8165158452069056E-2</v>
      </c>
      <c r="AZ32" s="48">
        <v>9.3178511829446697E-2</v>
      </c>
      <c r="BA32" s="48">
        <v>0.11325731284984328</v>
      </c>
      <c r="BB32" s="48">
        <v>7.3950595918688133E-2</v>
      </c>
      <c r="BC32" s="48">
        <v>5.2697160736423138E-2</v>
      </c>
      <c r="BD32" s="48">
        <v>4.9162927407079046E-2</v>
      </c>
      <c r="BE32" s="48">
        <v>4.8490507893605567E-2</v>
      </c>
      <c r="BF32" s="48">
        <v>3.3173765673789733E-2</v>
      </c>
      <c r="BG32" s="48">
        <v>3.5064154198857181E-2</v>
      </c>
      <c r="BH32" s="48">
        <v>3.5654963327285863E-2</v>
      </c>
      <c r="BI32" s="48">
        <v>3.3231671776238599E-2</v>
      </c>
      <c r="BJ32" s="48">
        <v>2.2917452026796868E-2</v>
      </c>
      <c r="BK32" s="48">
        <v>2.8705953597517132E-2</v>
      </c>
      <c r="BL32" s="48">
        <v>3.2060784981643393E-2</v>
      </c>
      <c r="BM32" s="48">
        <v>3.9405397221906814E-2</v>
      </c>
      <c r="BN32" s="48">
        <v>3.9394950985958146E-2</v>
      </c>
      <c r="BO32" s="48">
        <v>3.8853260663865866E-2</v>
      </c>
      <c r="BP32" s="48">
        <v>4.3905075508118542E-2</v>
      </c>
      <c r="BQ32" s="48">
        <v>5.4330570379622259E-2</v>
      </c>
      <c r="BR32" s="48">
        <v>4.6082055940350468E-2</v>
      </c>
      <c r="BS32" s="48">
        <v>6.3803035464214064E-2</v>
      </c>
      <c r="BT32" s="48">
        <v>7.8962794746603046E-2</v>
      </c>
      <c r="BU32" s="48">
        <v>8.0617690473486964E-2</v>
      </c>
      <c r="BV32" s="48">
        <v>7.5838678507234553E-2</v>
      </c>
      <c r="BW32" s="48">
        <v>6.7537640513228109E-2</v>
      </c>
      <c r="BX32" s="48">
        <v>6.6701184663714469E-2</v>
      </c>
    </row>
    <row r="33" spans="1:76" hidden="1" outlineLevel="1">
      <c r="A33" t="s">
        <v>17</v>
      </c>
      <c r="B33" s="38" t="s">
        <v>17</v>
      </c>
      <c r="C33" s="50" t="s">
        <v>18</v>
      </c>
      <c r="D33" s="50" t="s">
        <v>18</v>
      </c>
      <c r="E33" s="50" t="s">
        <v>18</v>
      </c>
      <c r="F33" s="50" t="s">
        <v>18</v>
      </c>
      <c r="G33" s="50" t="s">
        <v>18</v>
      </c>
      <c r="H33" s="50" t="s">
        <v>18</v>
      </c>
      <c r="I33" s="50" t="s">
        <v>18</v>
      </c>
      <c r="J33" s="50" t="s">
        <v>18</v>
      </c>
      <c r="K33" s="50" t="s">
        <v>18</v>
      </c>
      <c r="L33" s="50" t="s">
        <v>18</v>
      </c>
      <c r="M33" s="50" t="s">
        <v>18</v>
      </c>
      <c r="N33" s="50" t="s">
        <v>18</v>
      </c>
      <c r="O33" s="50" t="s">
        <v>18</v>
      </c>
      <c r="P33" s="50" t="s">
        <v>18</v>
      </c>
      <c r="Q33" s="50" t="s">
        <v>18</v>
      </c>
      <c r="R33" s="50" t="s">
        <v>18</v>
      </c>
      <c r="S33" s="50" t="s">
        <v>18</v>
      </c>
      <c r="T33" s="50" t="s">
        <v>18</v>
      </c>
      <c r="U33" s="50" t="s">
        <v>18</v>
      </c>
      <c r="V33" s="50" t="s">
        <v>18</v>
      </c>
      <c r="W33" s="50" t="s">
        <v>18</v>
      </c>
      <c r="X33" s="50" t="s">
        <v>18</v>
      </c>
      <c r="Y33" s="50" t="s">
        <v>18</v>
      </c>
      <c r="Z33" s="48">
        <v>7.164669994453661E-2</v>
      </c>
      <c r="AA33" s="48">
        <v>6.9679700499168051E-2</v>
      </c>
      <c r="AB33" s="48">
        <v>8.6699999999999999E-2</v>
      </c>
      <c r="AC33" s="50">
        <v>8.2403644199558118E-2</v>
      </c>
      <c r="AD33" s="50">
        <v>8.2073497068696724E-2</v>
      </c>
      <c r="AE33" s="50">
        <v>0.08</v>
      </c>
      <c r="AF33" s="50">
        <v>7.725786678120912E-2</v>
      </c>
      <c r="AG33" s="50">
        <v>8.0895152528218661E-2</v>
      </c>
      <c r="AH33" s="50">
        <v>8.3000000000000004E-2</v>
      </c>
      <c r="AI33" s="50">
        <v>9.0422542895332664E-2</v>
      </c>
      <c r="AJ33" s="50">
        <v>8.6422784188558796E-2</v>
      </c>
      <c r="AK33" s="50">
        <v>8.1000000000000003E-2</v>
      </c>
      <c r="AL33" s="48">
        <v>6.6000000000000003E-2</v>
      </c>
      <c r="AM33" s="48">
        <v>7.2512070204422852E-2</v>
      </c>
      <c r="AN33" s="48">
        <v>7.4115065371976221E-2</v>
      </c>
      <c r="AO33" s="48">
        <v>4.7603690332932207E-2</v>
      </c>
      <c r="AP33" s="48">
        <v>3.6722823906939428E-2</v>
      </c>
      <c r="AQ33" s="48">
        <v>4.0419121606936184E-2</v>
      </c>
      <c r="AR33" s="48">
        <v>3.3840702526014434E-2</v>
      </c>
      <c r="AS33" s="48">
        <v>3.7062326485731829E-2</v>
      </c>
      <c r="AT33" s="48">
        <v>3.3374696600967244E-2</v>
      </c>
      <c r="AU33" s="48">
        <v>5.3096213672861881E-2</v>
      </c>
      <c r="AV33" s="48">
        <v>7.9790064464599075E-2</v>
      </c>
      <c r="AW33" s="48">
        <v>5.4121640840498746E-2</v>
      </c>
      <c r="AX33" s="48">
        <v>4.7494863495863508E-2</v>
      </c>
      <c r="AY33" s="48">
        <v>4.8471843177898113E-2</v>
      </c>
      <c r="AZ33" s="48">
        <v>7.6313087459221149E-2</v>
      </c>
      <c r="BA33" s="48">
        <v>7.9232516881673584E-2</v>
      </c>
      <c r="BB33" s="48">
        <v>7.9900797154948022E-2</v>
      </c>
      <c r="BC33" s="48">
        <v>9.6027506928270182E-2</v>
      </c>
      <c r="BD33" s="48">
        <v>9.9286424222161801E-2</v>
      </c>
      <c r="BE33" s="48">
        <v>5.7365822419268055E-2</v>
      </c>
      <c r="BF33" s="48">
        <v>5.4083972519292985E-2</v>
      </c>
      <c r="BG33" s="48">
        <v>5.2589694175005385E-2</v>
      </c>
      <c r="BH33" s="48">
        <v>5.9334393718442728E-2</v>
      </c>
      <c r="BI33" s="48">
        <v>5.1317011132680689E-2</v>
      </c>
      <c r="BJ33" s="48">
        <v>3.4943429988255628E-2</v>
      </c>
      <c r="BK33" s="48">
        <v>3.7256996912294317E-2</v>
      </c>
      <c r="BL33" s="48">
        <v>3.7813874755491167E-2</v>
      </c>
      <c r="BM33" s="48">
        <v>3.5934016973802815E-2</v>
      </c>
      <c r="BN33" s="48">
        <v>3.3853694004519687E-2</v>
      </c>
      <c r="BO33" s="48">
        <v>4.8949264428210994E-2</v>
      </c>
      <c r="BP33" s="48">
        <v>4.4713760093015843E-2</v>
      </c>
      <c r="BQ33" s="48">
        <v>3.0536627247264417E-2</v>
      </c>
      <c r="BR33" s="48">
        <v>2.1453206458735496E-2</v>
      </c>
      <c r="BS33" s="48">
        <v>2.1187183736819177E-2</v>
      </c>
      <c r="BT33" s="48">
        <v>1.9665273704511776E-2</v>
      </c>
      <c r="BU33" s="48">
        <v>2.573404121022458E-2</v>
      </c>
      <c r="BV33" s="48">
        <v>2.764153067993275E-2</v>
      </c>
      <c r="BW33" s="48">
        <v>2.6491474540650258E-2</v>
      </c>
      <c r="BX33" s="48">
        <v>2.7826374030836595E-2</v>
      </c>
    </row>
    <row r="34" spans="1:76" hidden="1" outlineLevel="1">
      <c r="A34" t="s">
        <v>20</v>
      </c>
      <c r="B34" s="38" t="s">
        <v>20</v>
      </c>
      <c r="C34" s="50" t="s">
        <v>18</v>
      </c>
      <c r="D34" s="50" t="s">
        <v>18</v>
      </c>
      <c r="E34" s="50" t="s">
        <v>18</v>
      </c>
      <c r="F34" s="50" t="s">
        <v>18</v>
      </c>
      <c r="G34" s="50" t="s">
        <v>18</v>
      </c>
      <c r="H34" s="50" t="s">
        <v>18</v>
      </c>
      <c r="I34" s="50" t="s">
        <v>18</v>
      </c>
      <c r="J34" s="50" t="s">
        <v>18</v>
      </c>
      <c r="K34" s="50" t="s">
        <v>18</v>
      </c>
      <c r="L34" s="50" t="s">
        <v>18</v>
      </c>
      <c r="M34" s="50" t="s">
        <v>18</v>
      </c>
      <c r="N34" s="50" t="s">
        <v>18</v>
      </c>
      <c r="O34" s="50" t="s">
        <v>18</v>
      </c>
      <c r="P34" s="50" t="s">
        <v>18</v>
      </c>
      <c r="Q34" s="50" t="s">
        <v>18</v>
      </c>
      <c r="R34" s="50" t="s">
        <v>18</v>
      </c>
      <c r="S34" s="50" t="s">
        <v>18</v>
      </c>
      <c r="T34" s="50" t="s">
        <v>18</v>
      </c>
      <c r="U34" s="50" t="s">
        <v>18</v>
      </c>
      <c r="V34" s="50" t="s">
        <v>18</v>
      </c>
      <c r="W34" s="50" t="s">
        <v>18</v>
      </c>
      <c r="X34" s="50" t="s">
        <v>18</v>
      </c>
      <c r="Y34" s="50" t="s">
        <v>18</v>
      </c>
      <c r="Z34" s="48" t="s">
        <v>18</v>
      </c>
      <c r="AA34" s="48" t="s">
        <v>18</v>
      </c>
      <c r="AB34" s="48" t="s">
        <v>18</v>
      </c>
      <c r="AC34" s="50" t="s">
        <v>18</v>
      </c>
      <c r="AD34" s="50" t="s">
        <v>18</v>
      </c>
      <c r="AE34" s="50" t="s">
        <v>18</v>
      </c>
      <c r="AF34" s="50">
        <v>3.1E-2</v>
      </c>
      <c r="AG34" s="50">
        <v>4.438804886242935E-2</v>
      </c>
      <c r="AH34" s="50">
        <v>2.1999999999999999E-2</v>
      </c>
      <c r="AI34" s="50">
        <v>9.7801878570736925E-3</v>
      </c>
      <c r="AJ34" s="50">
        <v>5.4168170335618911E-3</v>
      </c>
      <c r="AK34" s="50">
        <v>0</v>
      </c>
      <c r="AL34" s="48">
        <v>0</v>
      </c>
      <c r="AM34" s="48">
        <v>4.4313074272530506E-2</v>
      </c>
      <c r="AN34" s="48">
        <v>4.4331898665476092E-2</v>
      </c>
      <c r="AO34" s="48">
        <v>8.7897223788329423E-3</v>
      </c>
      <c r="AP34" s="48">
        <v>5.7144026171807539E-3</v>
      </c>
      <c r="AQ34" s="48">
        <v>1.4785955265873717E-2</v>
      </c>
      <c r="AR34" s="48">
        <v>3.0010680748986771E-3</v>
      </c>
      <c r="AS34" s="48">
        <v>6.74203496818315E-3</v>
      </c>
      <c r="AT34" s="48">
        <v>8.928072338182446E-3</v>
      </c>
      <c r="AU34" s="48">
        <v>5.8362449443753548E-3</v>
      </c>
      <c r="AV34" s="48">
        <v>8.8759808968663593E-3</v>
      </c>
      <c r="AW34" s="48">
        <v>1.6903272003675248E-2</v>
      </c>
      <c r="AX34" s="48">
        <v>6.6124323571637774E-3</v>
      </c>
      <c r="AY34" s="48">
        <v>1.0643993412175951E-2</v>
      </c>
      <c r="AZ34" s="48">
        <v>3.794000854688543E-2</v>
      </c>
      <c r="BA34" s="48">
        <v>3.9133211372159242E-2</v>
      </c>
      <c r="BB34" s="48">
        <v>2.9241426663330742E-2</v>
      </c>
      <c r="BC34" s="48">
        <v>4.3181036579739658E-2</v>
      </c>
      <c r="BD34" s="48">
        <v>6.0227097071056515E-2</v>
      </c>
      <c r="BE34" s="48">
        <v>3.9473573843095487E-2</v>
      </c>
      <c r="BF34" s="48">
        <v>3.6487479274546826E-2</v>
      </c>
      <c r="BG34" s="48">
        <v>3.3468911721339138E-2</v>
      </c>
      <c r="BH34" s="48">
        <v>3.981799184947199E-2</v>
      </c>
      <c r="BI34" s="48">
        <v>5.3461877628141752E-2</v>
      </c>
      <c r="BJ34" s="48">
        <v>3.3741563324784604E-2</v>
      </c>
      <c r="BK34" s="48">
        <v>2.1498939604376609E-2</v>
      </c>
      <c r="BL34" s="48">
        <v>2.4897213789796386E-2</v>
      </c>
      <c r="BM34" s="48">
        <v>2.0141010140205674E-2</v>
      </c>
      <c r="BN34" s="48">
        <v>7.7729483572740619E-3</v>
      </c>
      <c r="BO34" s="48">
        <v>1.0213948323360332E-2</v>
      </c>
      <c r="BP34" s="48">
        <v>2.1715238228188931E-2</v>
      </c>
      <c r="BQ34" s="48">
        <v>2.5695369513763843E-2</v>
      </c>
      <c r="BR34" s="48">
        <v>2.9209581338929883E-2</v>
      </c>
      <c r="BS34" s="48">
        <v>5.7252293711842123E-2</v>
      </c>
      <c r="BT34" s="48">
        <v>6.970139353888212E-2</v>
      </c>
      <c r="BU34" s="48">
        <v>7.0090612758030302E-2</v>
      </c>
      <c r="BV34" s="48">
        <v>4.9504386307370439E-2</v>
      </c>
      <c r="BW34" s="48">
        <v>1.7370534330554799E-2</v>
      </c>
      <c r="BX34" s="48">
        <v>3.8896880962014289E-2</v>
      </c>
    </row>
    <row r="35" spans="1:76" hidden="1" outlineLevel="1">
      <c r="A35" t="s">
        <v>23</v>
      </c>
      <c r="B35" s="38" t="s">
        <v>23</v>
      </c>
      <c r="C35" s="50" t="s">
        <v>18</v>
      </c>
      <c r="D35" s="50" t="s">
        <v>18</v>
      </c>
      <c r="E35" s="50" t="s">
        <v>18</v>
      </c>
      <c r="F35" s="50" t="s">
        <v>18</v>
      </c>
      <c r="G35" s="50" t="s">
        <v>18</v>
      </c>
      <c r="H35" s="50" t="s">
        <v>18</v>
      </c>
      <c r="I35" s="50" t="s">
        <v>18</v>
      </c>
      <c r="J35" s="50" t="s">
        <v>18</v>
      </c>
      <c r="K35" s="50" t="s">
        <v>18</v>
      </c>
      <c r="L35" s="50" t="s">
        <v>18</v>
      </c>
      <c r="M35" s="50" t="s">
        <v>18</v>
      </c>
      <c r="N35" s="50" t="s">
        <v>18</v>
      </c>
      <c r="O35" s="50" t="s">
        <v>18</v>
      </c>
      <c r="P35" s="50" t="s">
        <v>18</v>
      </c>
      <c r="Q35" s="50" t="s">
        <v>18</v>
      </c>
      <c r="R35" s="50" t="s">
        <v>18</v>
      </c>
      <c r="S35" s="50" t="s">
        <v>18</v>
      </c>
      <c r="T35" s="50" t="s">
        <v>18</v>
      </c>
      <c r="U35" s="50" t="s">
        <v>18</v>
      </c>
      <c r="V35" s="50" t="s">
        <v>18</v>
      </c>
      <c r="W35" s="50" t="s">
        <v>18</v>
      </c>
      <c r="X35" s="50" t="s">
        <v>18</v>
      </c>
      <c r="Y35" s="50" t="s">
        <v>18</v>
      </c>
      <c r="Z35" s="48" t="s">
        <v>18</v>
      </c>
      <c r="AA35" s="48" t="s">
        <v>18</v>
      </c>
      <c r="AB35" s="48" t="s">
        <v>18</v>
      </c>
      <c r="AC35" s="50" t="s">
        <v>18</v>
      </c>
      <c r="AD35" s="50" t="s">
        <v>18</v>
      </c>
      <c r="AE35" s="50" t="s">
        <v>18</v>
      </c>
      <c r="AF35" s="50" t="s">
        <v>18</v>
      </c>
      <c r="AG35" s="50" t="s">
        <v>18</v>
      </c>
      <c r="AH35" s="50" t="s">
        <v>18</v>
      </c>
      <c r="AI35" s="50" t="s">
        <v>18</v>
      </c>
      <c r="AJ35" s="50">
        <v>0.33776376060674324</v>
      </c>
      <c r="AK35" s="50">
        <v>0.33500000000000002</v>
      </c>
      <c r="AL35" s="48">
        <v>0.32900000000000001</v>
      </c>
      <c r="AM35" s="48">
        <v>0.32736189556135176</v>
      </c>
      <c r="AN35" s="48">
        <v>0.28065903941368991</v>
      </c>
      <c r="AO35" s="48">
        <v>0.25346872173580615</v>
      </c>
      <c r="AP35" s="48">
        <v>0.24126901767592565</v>
      </c>
      <c r="AQ35" s="48">
        <v>0.26233377488485943</v>
      </c>
      <c r="AR35" s="48">
        <v>0.22229134993737973</v>
      </c>
      <c r="AS35" s="48">
        <v>0.18303177277308511</v>
      </c>
      <c r="AT35" s="48">
        <v>0.18439736976891219</v>
      </c>
      <c r="AU35" s="48">
        <v>0.15498124175113073</v>
      </c>
      <c r="AV35" s="48">
        <v>0.14524507452396504</v>
      </c>
      <c r="AW35" s="48">
        <v>0.13081842460594925</v>
      </c>
      <c r="AX35" s="48">
        <v>0.13161177500534518</v>
      </c>
      <c r="AY35" s="48">
        <v>0.13220299561406043</v>
      </c>
      <c r="AZ35" s="48">
        <v>0.12389520840436168</v>
      </c>
      <c r="BA35" s="48">
        <v>0.15624981941948424</v>
      </c>
      <c r="BB35" s="48">
        <v>0.15348260359543031</v>
      </c>
      <c r="BC35" s="48">
        <v>0.1544357075578002</v>
      </c>
      <c r="BD35" s="48">
        <v>0.1760613078074347</v>
      </c>
      <c r="BE35" s="48">
        <v>0.22320618538829146</v>
      </c>
      <c r="BF35" s="48">
        <v>0.17255130412840769</v>
      </c>
      <c r="BG35" s="48">
        <v>0.16114824649095941</v>
      </c>
      <c r="BH35" s="48">
        <v>0.1246695376560938</v>
      </c>
      <c r="BI35" s="48">
        <v>0.12294378986013919</v>
      </c>
      <c r="BJ35" s="48">
        <v>0.12632028434448792</v>
      </c>
      <c r="BK35" s="48">
        <v>0.1272121113184978</v>
      </c>
      <c r="BL35" s="48">
        <v>0.11690942958677729</v>
      </c>
      <c r="BM35" s="48">
        <v>0.11600740683788811</v>
      </c>
      <c r="BN35" s="48">
        <v>0.11432228175827851</v>
      </c>
      <c r="BO35" s="48">
        <v>0.12290455157421652</v>
      </c>
      <c r="BP35" s="48" t="s">
        <v>18</v>
      </c>
      <c r="BQ35" s="48" t="s">
        <v>18</v>
      </c>
      <c r="BR35" s="48" t="s">
        <v>18</v>
      </c>
      <c r="BS35" s="48" t="s">
        <v>18</v>
      </c>
      <c r="BT35" s="48" t="s">
        <v>18</v>
      </c>
      <c r="BU35" s="48" t="s">
        <v>18</v>
      </c>
      <c r="BV35" s="48" t="s">
        <v>18</v>
      </c>
      <c r="BW35" s="48" t="s">
        <v>18</v>
      </c>
      <c r="BX35" s="48" t="s">
        <v>18</v>
      </c>
    </row>
    <row r="36" spans="1:76" hidden="1" outlineLevel="1">
      <c r="B36" s="82" t="s">
        <v>13</v>
      </c>
      <c r="C36" s="50" t="s">
        <v>18</v>
      </c>
      <c r="D36" s="50" t="s">
        <v>18</v>
      </c>
      <c r="E36" s="50" t="s">
        <v>18</v>
      </c>
      <c r="F36" s="50" t="s">
        <v>18</v>
      </c>
      <c r="G36" s="50" t="s">
        <v>18</v>
      </c>
      <c r="H36" s="50" t="s">
        <v>18</v>
      </c>
      <c r="I36" s="50" t="s">
        <v>18</v>
      </c>
      <c r="J36" s="50" t="s">
        <v>18</v>
      </c>
      <c r="K36" s="50" t="s">
        <v>18</v>
      </c>
      <c r="L36" s="50" t="s">
        <v>18</v>
      </c>
      <c r="M36" s="50" t="s">
        <v>18</v>
      </c>
      <c r="N36" s="50" t="s">
        <v>18</v>
      </c>
      <c r="O36" s="50" t="s">
        <v>18</v>
      </c>
      <c r="P36" s="50" t="s">
        <v>18</v>
      </c>
      <c r="Q36" s="50" t="s">
        <v>18</v>
      </c>
      <c r="R36" s="50" t="s">
        <v>18</v>
      </c>
      <c r="S36" s="50" t="s">
        <v>18</v>
      </c>
      <c r="T36" s="50">
        <v>0.122</v>
      </c>
      <c r="U36" s="50">
        <v>3.7999999999999999E-2</v>
      </c>
      <c r="V36" s="50">
        <v>5.1999999999999998E-2</v>
      </c>
      <c r="W36" s="50">
        <v>4.2000000000000003E-2</v>
      </c>
      <c r="X36" s="50">
        <v>0.04</v>
      </c>
      <c r="Y36" s="50">
        <v>4.2000000000000003E-2</v>
      </c>
      <c r="Z36" s="48">
        <v>3.7100000000000001E-2</v>
      </c>
      <c r="AA36" s="48">
        <v>3.6499999999999998E-2</v>
      </c>
      <c r="AB36" s="48">
        <v>7.3200000000000001E-2</v>
      </c>
      <c r="AC36" s="50">
        <v>4.2693942792668756E-2</v>
      </c>
      <c r="AD36" s="50">
        <v>4.1671830999055096E-2</v>
      </c>
      <c r="AE36" s="50">
        <v>4.4999999999999998E-2</v>
      </c>
      <c r="AF36" s="50">
        <v>5.2178748538993715E-2</v>
      </c>
      <c r="AG36" s="50">
        <v>4.8556052664195791E-2</v>
      </c>
      <c r="AH36" s="50">
        <v>5.7000000000000002E-2</v>
      </c>
      <c r="AI36" s="50">
        <v>5.6075093808865176E-2</v>
      </c>
      <c r="AJ36" s="50">
        <v>5.2404964779066268E-2</v>
      </c>
      <c r="AK36" s="50">
        <v>5.3999999999999999E-2</v>
      </c>
      <c r="AL36" s="48">
        <v>5.8999999999999997E-2</v>
      </c>
      <c r="AM36" s="48">
        <v>5.0582207265452817E-2</v>
      </c>
      <c r="AN36" s="48">
        <v>0.10903451532225369</v>
      </c>
      <c r="AO36" s="48">
        <v>5.5130988187088628E-2</v>
      </c>
      <c r="AP36" s="48">
        <v>3.8286386818360149E-2</v>
      </c>
      <c r="AQ36" s="48" t="s">
        <v>18</v>
      </c>
      <c r="AR36" s="48" t="s">
        <v>18</v>
      </c>
      <c r="AS36" s="48" t="s">
        <v>18</v>
      </c>
      <c r="AT36" s="48" t="s">
        <v>18</v>
      </c>
      <c r="AU36" s="48" t="s">
        <v>18</v>
      </c>
      <c r="AV36" s="48" t="s">
        <v>18</v>
      </c>
      <c r="AW36" s="48" t="s">
        <v>18</v>
      </c>
      <c r="AX36" s="48" t="s">
        <v>18</v>
      </c>
      <c r="AY36" s="48" t="s">
        <v>18</v>
      </c>
      <c r="AZ36" s="48" t="s">
        <v>18</v>
      </c>
      <c r="BA36" s="48" t="s">
        <v>18</v>
      </c>
      <c r="BB36" s="48" t="s">
        <v>18</v>
      </c>
      <c r="BC36" s="48" t="s">
        <v>18</v>
      </c>
      <c r="BD36" s="48" t="s">
        <v>18</v>
      </c>
      <c r="BE36" s="48" t="s">
        <v>18</v>
      </c>
      <c r="BF36" s="48" t="s">
        <v>18</v>
      </c>
      <c r="BG36" s="48" t="s">
        <v>18</v>
      </c>
      <c r="BH36" s="48" t="s">
        <v>18</v>
      </c>
      <c r="BI36" s="48" t="s">
        <v>18</v>
      </c>
      <c r="BJ36" s="48" t="s">
        <v>18</v>
      </c>
      <c r="BK36" s="48" t="s">
        <v>18</v>
      </c>
      <c r="BL36" s="48" t="s">
        <v>18</v>
      </c>
      <c r="BM36" s="48" t="s">
        <v>18</v>
      </c>
      <c r="BN36" s="48" t="s">
        <v>18</v>
      </c>
      <c r="BO36" s="48" t="s">
        <v>18</v>
      </c>
      <c r="BP36" s="48" t="s">
        <v>18</v>
      </c>
      <c r="BQ36" s="48" t="s">
        <v>18</v>
      </c>
      <c r="BR36" s="48" t="s">
        <v>18</v>
      </c>
      <c r="BS36" s="48" t="s">
        <v>18</v>
      </c>
      <c r="BT36" s="48" t="s">
        <v>18</v>
      </c>
      <c r="BU36" s="48" t="s">
        <v>18</v>
      </c>
      <c r="BV36" s="48" t="s">
        <v>18</v>
      </c>
      <c r="BW36" s="48" t="s">
        <v>18</v>
      </c>
      <c r="BX36" s="48" t="s">
        <v>18</v>
      </c>
    </row>
    <row r="37" spans="1:76" collapsed="1">
      <c r="B37" s="80" t="str">
        <f>IF('Sumário | Summary'!P1=1,"Galpões Logísticos","Distribution Centers")</f>
        <v>Galpões Logísticos</v>
      </c>
      <c r="C37" s="41">
        <v>0</v>
      </c>
      <c r="D37" s="41">
        <v>0</v>
      </c>
      <c r="E37" s="41">
        <v>0</v>
      </c>
      <c r="F37" s="41">
        <v>0</v>
      </c>
      <c r="G37" s="41">
        <v>0</v>
      </c>
      <c r="H37" s="41">
        <v>0.36199999999999999</v>
      </c>
      <c r="I37" s="41">
        <v>0</v>
      </c>
      <c r="J37" s="41">
        <v>0</v>
      </c>
      <c r="K37" s="41">
        <v>0</v>
      </c>
      <c r="L37" s="41">
        <v>0</v>
      </c>
      <c r="M37" s="41">
        <v>0</v>
      </c>
      <c r="N37" s="41">
        <v>0</v>
      </c>
      <c r="O37" s="41">
        <v>0</v>
      </c>
      <c r="P37" s="41">
        <v>0</v>
      </c>
      <c r="Q37" s="41">
        <v>0</v>
      </c>
      <c r="R37" s="41">
        <v>0</v>
      </c>
      <c r="S37" s="41">
        <v>0</v>
      </c>
      <c r="T37" s="41">
        <v>0</v>
      </c>
      <c r="U37" s="41">
        <v>0</v>
      </c>
      <c r="V37" s="41">
        <v>0</v>
      </c>
      <c r="W37" s="41">
        <v>0</v>
      </c>
      <c r="X37" s="41">
        <v>0.15</v>
      </c>
      <c r="Y37" s="41">
        <v>0.15</v>
      </c>
      <c r="Z37" s="49">
        <v>0.29299999999999998</v>
      </c>
      <c r="AA37" s="49">
        <v>7.9000000000000001E-2</v>
      </c>
      <c r="AB37" s="49">
        <v>0.17199999999999999</v>
      </c>
      <c r="AC37" s="41">
        <v>0.13900000000000001</v>
      </c>
      <c r="AD37" s="41">
        <v>0.11600000000000001</v>
      </c>
      <c r="AE37" s="41">
        <v>0.13900000000000001</v>
      </c>
      <c r="AF37" s="41">
        <v>0.113</v>
      </c>
      <c r="AG37" s="41">
        <v>0.113</v>
      </c>
      <c r="AH37" s="41">
        <v>0.105</v>
      </c>
      <c r="AI37" s="41">
        <v>0.154</v>
      </c>
      <c r="AJ37" s="41">
        <v>0.19800000000000001</v>
      </c>
      <c r="AK37" s="41">
        <v>0.184</v>
      </c>
      <c r="AL37" s="49">
        <v>0.184</v>
      </c>
      <c r="AM37" s="49">
        <v>0.31943269684893216</v>
      </c>
      <c r="AN37" s="49">
        <v>0.32158656080612547</v>
      </c>
      <c r="AO37" s="49">
        <v>1</v>
      </c>
      <c r="AP37" s="49">
        <v>1</v>
      </c>
      <c r="AQ37" s="49">
        <v>1</v>
      </c>
      <c r="AR37" s="49" t="s">
        <v>18</v>
      </c>
      <c r="AS37" s="49" t="s">
        <v>18</v>
      </c>
      <c r="AT37" s="49" t="s">
        <v>18</v>
      </c>
      <c r="AU37" s="49" t="s">
        <v>18</v>
      </c>
      <c r="AV37" s="49" t="s">
        <v>18</v>
      </c>
      <c r="AW37" s="49" t="s">
        <v>18</v>
      </c>
      <c r="AX37" s="49" t="s">
        <v>18</v>
      </c>
      <c r="AY37" s="49" t="s">
        <v>18</v>
      </c>
      <c r="AZ37" s="49" t="s">
        <v>18</v>
      </c>
      <c r="BA37" s="49" t="s">
        <v>18</v>
      </c>
      <c r="BB37" s="49" t="s">
        <v>18</v>
      </c>
      <c r="BC37" s="49" t="s">
        <v>18</v>
      </c>
      <c r="BD37" s="49" t="s">
        <v>18</v>
      </c>
      <c r="BE37" s="49" t="s">
        <v>18</v>
      </c>
      <c r="BF37" s="49" t="s">
        <v>18</v>
      </c>
      <c r="BG37" s="49" t="s">
        <v>18</v>
      </c>
      <c r="BH37" s="49" t="s">
        <v>18</v>
      </c>
      <c r="BI37" s="49" t="s">
        <v>18</v>
      </c>
      <c r="BJ37" s="49" t="s">
        <v>18</v>
      </c>
      <c r="BK37" s="49" t="s">
        <v>18</v>
      </c>
      <c r="BL37" s="49" t="s">
        <v>18</v>
      </c>
      <c r="BM37" s="49" t="s">
        <v>18</v>
      </c>
      <c r="BN37" s="49">
        <v>0.50211295666435518</v>
      </c>
      <c r="BO37" s="49">
        <v>0.50211295666435518</v>
      </c>
      <c r="BP37" s="49">
        <v>0.33573776266111899</v>
      </c>
      <c r="BQ37" s="49">
        <v>0.28028596902552583</v>
      </c>
      <c r="BR37" s="49">
        <v>0.16637519400323617</v>
      </c>
      <c r="BS37" s="49">
        <v>0</v>
      </c>
      <c r="BT37" s="49">
        <v>-1.3488175805575536E-7</v>
      </c>
      <c r="BU37" s="49">
        <v>-1.3488175805575536E-7</v>
      </c>
      <c r="BV37" s="49">
        <v>0</v>
      </c>
      <c r="BW37" s="49">
        <v>0</v>
      </c>
      <c r="BX37" s="49">
        <f>BX38</f>
        <v>0</v>
      </c>
    </row>
    <row r="38" spans="1:76" hidden="1" outlineLevel="1">
      <c r="A38" t="s">
        <v>314</v>
      </c>
      <c r="B38" s="38" t="s">
        <v>314</v>
      </c>
      <c r="C38" s="50" t="s">
        <v>18</v>
      </c>
      <c r="D38" s="50" t="s">
        <v>18</v>
      </c>
      <c r="E38" s="50" t="s">
        <v>18</v>
      </c>
      <c r="F38" s="50" t="s">
        <v>18</v>
      </c>
      <c r="G38" s="50" t="s">
        <v>18</v>
      </c>
      <c r="H38" s="50" t="s">
        <v>18</v>
      </c>
      <c r="I38" s="50" t="s">
        <v>18</v>
      </c>
      <c r="J38" s="50" t="s">
        <v>18</v>
      </c>
      <c r="K38" s="50" t="s">
        <v>18</v>
      </c>
      <c r="L38" s="50" t="s">
        <v>18</v>
      </c>
      <c r="M38" s="50" t="s">
        <v>18</v>
      </c>
      <c r="N38" s="50" t="s">
        <v>18</v>
      </c>
      <c r="O38" s="50" t="s">
        <v>18</v>
      </c>
      <c r="P38" s="50" t="s">
        <v>18</v>
      </c>
      <c r="Q38" s="50" t="s">
        <v>18</v>
      </c>
      <c r="R38" s="50" t="s">
        <v>18</v>
      </c>
      <c r="S38" s="50" t="s">
        <v>18</v>
      </c>
      <c r="T38" s="50" t="s">
        <v>18</v>
      </c>
      <c r="U38" s="50" t="s">
        <v>18</v>
      </c>
      <c r="V38" s="50" t="s">
        <v>18</v>
      </c>
      <c r="W38" s="50" t="s">
        <v>18</v>
      </c>
      <c r="X38" s="50" t="s">
        <v>18</v>
      </c>
      <c r="Y38" s="50" t="s">
        <v>18</v>
      </c>
      <c r="Z38" s="50" t="s">
        <v>18</v>
      </c>
      <c r="AA38" s="50" t="s">
        <v>18</v>
      </c>
      <c r="AB38" s="50" t="s">
        <v>18</v>
      </c>
      <c r="AC38" s="50" t="s">
        <v>18</v>
      </c>
      <c r="AD38" s="50" t="s">
        <v>18</v>
      </c>
      <c r="AE38" s="50" t="s">
        <v>18</v>
      </c>
      <c r="AF38" s="50" t="s">
        <v>18</v>
      </c>
      <c r="AG38" s="50" t="s">
        <v>18</v>
      </c>
      <c r="AH38" s="50" t="s">
        <v>18</v>
      </c>
      <c r="AI38" s="50" t="s">
        <v>18</v>
      </c>
      <c r="AJ38" s="50" t="s">
        <v>18</v>
      </c>
      <c r="AK38" s="50" t="s">
        <v>18</v>
      </c>
      <c r="AL38" s="48" t="s">
        <v>18</v>
      </c>
      <c r="AM38" s="48" t="s">
        <v>18</v>
      </c>
      <c r="AN38" s="48" t="s">
        <v>18</v>
      </c>
      <c r="AO38" s="48" t="s">
        <v>18</v>
      </c>
      <c r="AP38" s="48" t="s">
        <v>18</v>
      </c>
      <c r="AQ38" s="48" t="s">
        <v>18</v>
      </c>
      <c r="AR38" s="48" t="s">
        <v>18</v>
      </c>
      <c r="AS38" s="48" t="s">
        <v>18</v>
      </c>
      <c r="AT38" s="48" t="s">
        <v>18</v>
      </c>
      <c r="AU38" s="48" t="s">
        <v>18</v>
      </c>
      <c r="AV38" s="48" t="s">
        <v>18</v>
      </c>
      <c r="AW38" s="48" t="s">
        <v>18</v>
      </c>
      <c r="AX38" s="48" t="s">
        <v>18</v>
      </c>
      <c r="AY38" s="48" t="s">
        <v>18</v>
      </c>
      <c r="AZ38" s="48" t="s">
        <v>18</v>
      </c>
      <c r="BA38" s="48" t="s">
        <v>18</v>
      </c>
      <c r="BB38" s="48" t="s">
        <v>18</v>
      </c>
      <c r="BC38" s="48" t="s">
        <v>18</v>
      </c>
      <c r="BD38" s="48" t="s">
        <v>18</v>
      </c>
      <c r="BE38" s="48" t="s">
        <v>18</v>
      </c>
      <c r="BF38" s="48" t="s">
        <v>18</v>
      </c>
      <c r="BG38" s="48" t="s">
        <v>18</v>
      </c>
      <c r="BH38" s="48" t="s">
        <v>18</v>
      </c>
      <c r="BI38" s="48" t="s">
        <v>18</v>
      </c>
      <c r="BJ38" s="48" t="s">
        <v>18</v>
      </c>
      <c r="BK38" s="48" t="s">
        <v>18</v>
      </c>
      <c r="BL38" s="48" t="s">
        <v>18</v>
      </c>
      <c r="BM38" s="48" t="s">
        <v>18</v>
      </c>
      <c r="BN38" s="48">
        <v>0.50211295666435518</v>
      </c>
      <c r="BO38" s="48">
        <v>0.50211295666435518</v>
      </c>
      <c r="BP38" s="48">
        <v>0.33573776266111899</v>
      </c>
      <c r="BQ38" s="48">
        <v>0.28028596902552583</v>
      </c>
      <c r="BR38" s="48">
        <v>0.16637519400323617</v>
      </c>
      <c r="BS38" s="48">
        <v>0</v>
      </c>
      <c r="BT38" s="48">
        <v>-1.3488175805575536E-7</v>
      </c>
      <c r="BU38" s="48">
        <v>-1.3488175805575536E-7</v>
      </c>
      <c r="BV38" s="48">
        <v>0</v>
      </c>
      <c r="BW38" s="48">
        <v>0</v>
      </c>
      <c r="BX38" s="48">
        <v>0</v>
      </c>
    </row>
    <row r="39" spans="1:76" hidden="1" outlineLevel="1">
      <c r="B39" s="38" t="s">
        <v>32</v>
      </c>
      <c r="C39" s="50" t="s">
        <v>18</v>
      </c>
      <c r="D39" s="50">
        <v>0</v>
      </c>
      <c r="E39" s="50">
        <v>0</v>
      </c>
      <c r="F39" s="50">
        <v>0</v>
      </c>
      <c r="G39" s="50">
        <v>0</v>
      </c>
      <c r="H39" s="50">
        <v>0.36199999999999999</v>
      </c>
      <c r="I39" s="50">
        <v>0</v>
      </c>
      <c r="J39" s="50">
        <v>0</v>
      </c>
      <c r="K39" s="50">
        <v>0</v>
      </c>
      <c r="L39" s="50">
        <v>0</v>
      </c>
      <c r="M39" s="50">
        <v>0</v>
      </c>
      <c r="N39" s="50">
        <v>0</v>
      </c>
      <c r="O39" s="50">
        <v>0</v>
      </c>
      <c r="P39" s="50">
        <v>0</v>
      </c>
      <c r="Q39" s="50">
        <v>0</v>
      </c>
      <c r="R39" s="50">
        <v>0</v>
      </c>
      <c r="S39" s="50">
        <v>0</v>
      </c>
      <c r="T39" s="50">
        <v>0</v>
      </c>
      <c r="U39" s="50">
        <v>0</v>
      </c>
      <c r="V39" s="50">
        <v>0</v>
      </c>
      <c r="W39" s="50">
        <v>0</v>
      </c>
      <c r="X39" s="50">
        <v>0</v>
      </c>
      <c r="Y39" s="50">
        <v>0</v>
      </c>
      <c r="Z39" s="50">
        <v>0.31877672873052287</v>
      </c>
      <c r="AA39" s="50">
        <v>0</v>
      </c>
      <c r="AB39" s="50">
        <v>0</v>
      </c>
      <c r="AC39" s="50">
        <v>0</v>
      </c>
      <c r="AD39" s="50">
        <v>0</v>
      </c>
      <c r="AE39" s="50">
        <v>0</v>
      </c>
      <c r="AF39" s="50">
        <v>0.36244654253895431</v>
      </c>
      <c r="AG39" s="50">
        <v>0.36244654253895431</v>
      </c>
      <c r="AH39" s="50">
        <v>0.36244654253895431</v>
      </c>
      <c r="AI39" s="50">
        <v>0</v>
      </c>
      <c r="AJ39" s="50">
        <v>0.31877672873052287</v>
      </c>
      <c r="AK39" s="50">
        <v>0.46800000000000003</v>
      </c>
      <c r="AL39" s="48">
        <v>0.46800000000000003</v>
      </c>
      <c r="AM39" s="48">
        <v>0.46794750293317811</v>
      </c>
      <c r="AN39" s="48">
        <v>0.46795295072967408</v>
      </c>
      <c r="AO39" s="48">
        <v>1</v>
      </c>
      <c r="AP39" s="48">
        <v>1</v>
      </c>
      <c r="AQ39" s="48">
        <v>1</v>
      </c>
      <c r="AR39" s="48" t="s">
        <v>18</v>
      </c>
      <c r="AS39" s="48" t="s">
        <v>18</v>
      </c>
      <c r="AT39" s="48" t="s">
        <v>18</v>
      </c>
      <c r="AU39" s="48" t="s">
        <v>18</v>
      </c>
      <c r="AV39" s="48" t="s">
        <v>18</v>
      </c>
      <c r="AW39" s="48" t="s">
        <v>18</v>
      </c>
      <c r="AX39" s="48" t="s">
        <v>18</v>
      </c>
      <c r="AY39" s="48" t="s">
        <v>18</v>
      </c>
      <c r="AZ39" s="48" t="s">
        <v>18</v>
      </c>
      <c r="BA39" s="48" t="s">
        <v>18</v>
      </c>
      <c r="BB39" s="48" t="s">
        <v>18</v>
      </c>
      <c r="BC39" s="48" t="s">
        <v>18</v>
      </c>
      <c r="BD39" s="48" t="s">
        <v>18</v>
      </c>
      <c r="BE39" s="48" t="s">
        <v>18</v>
      </c>
      <c r="BF39" s="48" t="s">
        <v>18</v>
      </c>
      <c r="BG39" s="48" t="s">
        <v>18</v>
      </c>
      <c r="BH39" s="48" t="s">
        <v>18</v>
      </c>
      <c r="BI39" s="48" t="s">
        <v>18</v>
      </c>
      <c r="BJ39" s="48" t="s">
        <v>18</v>
      </c>
      <c r="BK39" s="48" t="s">
        <v>18</v>
      </c>
      <c r="BL39" s="48" t="s">
        <v>18</v>
      </c>
      <c r="BM39" s="48" t="s">
        <v>18</v>
      </c>
      <c r="BN39" s="48" t="s">
        <v>18</v>
      </c>
      <c r="BO39" s="48" t="s">
        <v>18</v>
      </c>
      <c r="BP39" s="48" t="s">
        <v>18</v>
      </c>
      <c r="BQ39" s="48" t="s">
        <v>18</v>
      </c>
      <c r="BR39" s="48" t="s">
        <v>18</v>
      </c>
      <c r="BS39" s="48" t="s">
        <v>18</v>
      </c>
      <c r="BT39" s="48" t="s">
        <v>18</v>
      </c>
      <c r="BU39" s="48" t="s">
        <v>18</v>
      </c>
      <c r="BV39" s="48" t="s">
        <v>18</v>
      </c>
      <c r="BW39" s="48" t="s">
        <v>18</v>
      </c>
      <c r="BX39" s="48" t="s">
        <v>18</v>
      </c>
    </row>
    <row r="40" spans="1:76" hidden="1" outlineLevel="1">
      <c r="A40" s="15"/>
      <c r="B40" s="38" t="s">
        <v>34</v>
      </c>
      <c r="C40" s="50" t="s">
        <v>18</v>
      </c>
      <c r="D40" s="50" t="s">
        <v>18</v>
      </c>
      <c r="E40" s="50" t="s">
        <v>18</v>
      </c>
      <c r="F40" s="50" t="s">
        <v>18</v>
      </c>
      <c r="G40" s="50" t="s">
        <v>18</v>
      </c>
      <c r="H40" s="50" t="s">
        <v>18</v>
      </c>
      <c r="I40" s="50" t="s">
        <v>18</v>
      </c>
      <c r="J40" s="50" t="s">
        <v>18</v>
      </c>
      <c r="K40" s="50" t="s">
        <v>18</v>
      </c>
      <c r="L40" s="50" t="s">
        <v>18</v>
      </c>
      <c r="M40" s="50" t="s">
        <v>18</v>
      </c>
      <c r="N40" s="50" t="s">
        <v>18</v>
      </c>
      <c r="O40" s="50" t="s">
        <v>18</v>
      </c>
      <c r="P40" s="50" t="s">
        <v>18</v>
      </c>
      <c r="Q40" s="50" t="s">
        <v>18</v>
      </c>
      <c r="R40" s="50" t="s">
        <v>18</v>
      </c>
      <c r="S40" s="50">
        <v>0</v>
      </c>
      <c r="T40" s="50">
        <v>0</v>
      </c>
      <c r="U40" s="50">
        <v>0</v>
      </c>
      <c r="V40" s="50">
        <v>0</v>
      </c>
      <c r="W40" s="50">
        <v>0</v>
      </c>
      <c r="X40" s="50">
        <v>0</v>
      </c>
      <c r="Y40" s="50">
        <v>0</v>
      </c>
      <c r="Z40" s="50">
        <v>0</v>
      </c>
      <c r="AA40" s="50">
        <v>0</v>
      </c>
      <c r="AB40" s="50">
        <v>0</v>
      </c>
      <c r="AC40" s="50">
        <v>0</v>
      </c>
      <c r="AD40" s="50">
        <v>0</v>
      </c>
      <c r="AE40" s="50">
        <v>0</v>
      </c>
      <c r="AF40" s="50">
        <v>0</v>
      </c>
      <c r="AG40" s="50">
        <v>0</v>
      </c>
      <c r="AH40" s="50">
        <v>0</v>
      </c>
      <c r="AI40" s="50">
        <v>0</v>
      </c>
      <c r="AJ40" s="50">
        <v>0</v>
      </c>
      <c r="AK40" s="50">
        <v>0</v>
      </c>
      <c r="AL40" s="48">
        <v>0</v>
      </c>
      <c r="AM40" s="48">
        <v>0</v>
      </c>
      <c r="AN40" s="48">
        <v>8.1327470444028049E-2</v>
      </c>
      <c r="AO40" s="48" t="s">
        <v>18</v>
      </c>
      <c r="AP40" s="48" t="s">
        <v>18</v>
      </c>
      <c r="AQ40" s="48" t="s">
        <v>18</v>
      </c>
      <c r="AR40" s="48" t="s">
        <v>18</v>
      </c>
      <c r="AS40" s="48" t="s">
        <v>18</v>
      </c>
      <c r="AT40" s="48" t="s">
        <v>18</v>
      </c>
      <c r="AU40" s="48" t="s">
        <v>18</v>
      </c>
      <c r="AV40" s="48" t="s">
        <v>18</v>
      </c>
      <c r="AW40" s="48" t="s">
        <v>18</v>
      </c>
      <c r="AX40" s="48" t="s">
        <v>18</v>
      </c>
      <c r="AY40" s="48" t="s">
        <v>18</v>
      </c>
      <c r="AZ40" s="48" t="s">
        <v>18</v>
      </c>
      <c r="BA40" s="48" t="s">
        <v>18</v>
      </c>
      <c r="BB40" s="48" t="s">
        <v>18</v>
      </c>
      <c r="BC40" s="48" t="s">
        <v>18</v>
      </c>
      <c r="BD40" s="48" t="s">
        <v>18</v>
      </c>
      <c r="BE40" s="48" t="s">
        <v>18</v>
      </c>
      <c r="BF40" s="48" t="s">
        <v>18</v>
      </c>
      <c r="BG40" s="48" t="s">
        <v>18</v>
      </c>
      <c r="BH40" s="48" t="s">
        <v>18</v>
      </c>
      <c r="BI40" s="48" t="s">
        <v>18</v>
      </c>
      <c r="BJ40" s="48" t="s">
        <v>18</v>
      </c>
      <c r="BK40" s="48" t="s">
        <v>18</v>
      </c>
      <c r="BL40" s="48" t="s">
        <v>18</v>
      </c>
      <c r="BM40" s="48" t="s">
        <v>18</v>
      </c>
      <c r="BN40" s="48" t="s">
        <v>18</v>
      </c>
      <c r="BO40" s="48" t="s">
        <v>18</v>
      </c>
      <c r="BP40" s="48" t="s">
        <v>18</v>
      </c>
      <c r="BQ40" s="48" t="s">
        <v>18</v>
      </c>
      <c r="BR40" s="48" t="s">
        <v>18</v>
      </c>
      <c r="BS40" s="48" t="s">
        <v>18</v>
      </c>
      <c r="BT40" s="48" t="s">
        <v>18</v>
      </c>
      <c r="BU40" s="48" t="s">
        <v>18</v>
      </c>
      <c r="BV40" s="48" t="s">
        <v>18</v>
      </c>
      <c r="BW40" s="48" t="s">
        <v>18</v>
      </c>
      <c r="BX40" s="48" t="s">
        <v>18</v>
      </c>
    </row>
    <row r="41" spans="1:76" hidden="1" outlineLevel="1">
      <c r="B41" s="38" t="s">
        <v>36</v>
      </c>
      <c r="C41" s="50" t="s">
        <v>18</v>
      </c>
      <c r="D41" s="50" t="s">
        <v>18</v>
      </c>
      <c r="E41" s="50" t="s">
        <v>18</v>
      </c>
      <c r="F41" s="50" t="s">
        <v>18</v>
      </c>
      <c r="G41" s="50" t="s">
        <v>18</v>
      </c>
      <c r="H41" s="50" t="s">
        <v>18</v>
      </c>
      <c r="I41" s="50" t="s">
        <v>18</v>
      </c>
      <c r="J41" s="50" t="s">
        <v>18</v>
      </c>
      <c r="K41" s="50" t="s">
        <v>18</v>
      </c>
      <c r="L41" s="50" t="s">
        <v>18</v>
      </c>
      <c r="M41" s="50" t="s">
        <v>18</v>
      </c>
      <c r="N41" s="50" t="s">
        <v>18</v>
      </c>
      <c r="O41" s="50" t="s">
        <v>18</v>
      </c>
      <c r="P41" s="50" t="s">
        <v>18</v>
      </c>
      <c r="Q41" s="50" t="s">
        <v>18</v>
      </c>
      <c r="R41" s="50" t="s">
        <v>18</v>
      </c>
      <c r="S41" s="50" t="s">
        <v>18</v>
      </c>
      <c r="T41" s="50" t="s">
        <v>18</v>
      </c>
      <c r="U41" s="50" t="s">
        <v>18</v>
      </c>
      <c r="V41" s="50" t="s">
        <v>18</v>
      </c>
      <c r="W41" s="50">
        <v>0</v>
      </c>
      <c r="X41" s="50">
        <v>0</v>
      </c>
      <c r="Y41" s="50">
        <v>0</v>
      </c>
      <c r="Z41" s="50">
        <v>0</v>
      </c>
      <c r="AA41" s="50">
        <v>0</v>
      </c>
      <c r="AB41" s="50">
        <v>0</v>
      </c>
      <c r="AC41" s="50">
        <v>0</v>
      </c>
      <c r="AD41" s="50">
        <v>0</v>
      </c>
      <c r="AE41" s="50">
        <v>0</v>
      </c>
      <c r="AF41" s="50">
        <v>0</v>
      </c>
      <c r="AG41" s="50">
        <v>0</v>
      </c>
      <c r="AH41" s="50">
        <v>0</v>
      </c>
      <c r="AI41" s="50">
        <v>0</v>
      </c>
      <c r="AJ41" s="50">
        <v>0</v>
      </c>
      <c r="AK41" s="50">
        <v>0</v>
      </c>
      <c r="AL41" s="48">
        <v>0</v>
      </c>
      <c r="AM41" s="48">
        <v>0</v>
      </c>
      <c r="AN41" s="48">
        <v>0</v>
      </c>
      <c r="AO41" s="48" t="s">
        <v>18</v>
      </c>
      <c r="AP41" s="48" t="s">
        <v>18</v>
      </c>
      <c r="AQ41" s="48" t="s">
        <v>18</v>
      </c>
      <c r="AR41" s="48" t="s">
        <v>18</v>
      </c>
      <c r="AS41" s="48" t="s">
        <v>18</v>
      </c>
      <c r="AT41" s="48" t="s">
        <v>18</v>
      </c>
      <c r="AU41" s="48" t="s">
        <v>18</v>
      </c>
      <c r="AV41" s="48" t="s">
        <v>18</v>
      </c>
      <c r="AW41" s="48" t="s">
        <v>18</v>
      </c>
      <c r="AX41" s="48" t="s">
        <v>18</v>
      </c>
      <c r="AY41" s="48" t="s">
        <v>18</v>
      </c>
      <c r="AZ41" s="48" t="s">
        <v>18</v>
      </c>
      <c r="BA41" s="48" t="s">
        <v>18</v>
      </c>
      <c r="BB41" s="48" t="s">
        <v>18</v>
      </c>
      <c r="BC41" s="48" t="s">
        <v>18</v>
      </c>
      <c r="BD41" s="48" t="s">
        <v>18</v>
      </c>
      <c r="BE41" s="48" t="s">
        <v>18</v>
      </c>
      <c r="BF41" s="48" t="s">
        <v>18</v>
      </c>
      <c r="BG41" s="48" t="s">
        <v>18</v>
      </c>
      <c r="BH41" s="48" t="s">
        <v>18</v>
      </c>
      <c r="BI41" s="48" t="s">
        <v>18</v>
      </c>
      <c r="BJ41" s="48" t="s">
        <v>18</v>
      </c>
      <c r="BK41" s="48" t="s">
        <v>18</v>
      </c>
      <c r="BL41" s="48" t="s">
        <v>18</v>
      </c>
      <c r="BM41" s="48" t="s">
        <v>18</v>
      </c>
      <c r="BN41" s="48" t="s">
        <v>18</v>
      </c>
      <c r="BO41" s="48" t="s">
        <v>18</v>
      </c>
      <c r="BP41" s="48" t="s">
        <v>18</v>
      </c>
      <c r="BQ41" s="48" t="s">
        <v>18</v>
      </c>
      <c r="BR41" s="48" t="s">
        <v>18</v>
      </c>
      <c r="BS41" s="48" t="s">
        <v>18</v>
      </c>
      <c r="BT41" s="48" t="s">
        <v>18</v>
      </c>
      <c r="BU41" s="48" t="s">
        <v>18</v>
      </c>
      <c r="BV41" s="48" t="s">
        <v>18</v>
      </c>
      <c r="BW41" s="48" t="s">
        <v>18</v>
      </c>
      <c r="BX41" s="48" t="s">
        <v>18</v>
      </c>
    </row>
    <row r="42" spans="1:76" hidden="1" outlineLevel="1">
      <c r="B42" s="82" t="s">
        <v>37</v>
      </c>
      <c r="C42" s="50" t="s">
        <v>18</v>
      </c>
      <c r="D42" s="50" t="s">
        <v>18</v>
      </c>
      <c r="E42" s="50" t="s">
        <v>18</v>
      </c>
      <c r="F42" s="50" t="s">
        <v>18</v>
      </c>
      <c r="G42" s="50" t="s">
        <v>18</v>
      </c>
      <c r="H42" s="50" t="s">
        <v>18</v>
      </c>
      <c r="I42" s="50" t="s">
        <v>18</v>
      </c>
      <c r="J42" s="50" t="s">
        <v>18</v>
      </c>
      <c r="K42" s="50" t="s">
        <v>18</v>
      </c>
      <c r="L42" s="50" t="s">
        <v>18</v>
      </c>
      <c r="M42" s="50" t="s">
        <v>18</v>
      </c>
      <c r="N42" s="50" t="s">
        <v>18</v>
      </c>
      <c r="O42" s="50" t="s">
        <v>18</v>
      </c>
      <c r="P42" s="50" t="s">
        <v>18</v>
      </c>
      <c r="Q42" s="50" t="s">
        <v>18</v>
      </c>
      <c r="R42" s="50" t="s">
        <v>18</v>
      </c>
      <c r="S42" s="50" t="s">
        <v>18</v>
      </c>
      <c r="T42" s="50" t="s">
        <v>18</v>
      </c>
      <c r="U42" s="50" t="s">
        <v>18</v>
      </c>
      <c r="V42" s="50" t="s">
        <v>18</v>
      </c>
      <c r="W42" s="50" t="s">
        <v>18</v>
      </c>
      <c r="X42" s="50">
        <v>1</v>
      </c>
      <c r="Y42" s="50">
        <v>1</v>
      </c>
      <c r="Z42" s="50">
        <v>0.7551714770126321</v>
      </c>
      <c r="AA42" s="50">
        <v>0.43720701785629806</v>
      </c>
      <c r="AB42" s="50">
        <v>0.29160000000000003</v>
      </c>
      <c r="AC42" s="50">
        <v>0.29157201036162883</v>
      </c>
      <c r="AD42" s="50">
        <v>0.29157201036162883</v>
      </c>
      <c r="AE42" s="50">
        <v>0.29157201036162883</v>
      </c>
      <c r="AF42" s="50">
        <v>0.14600782901963061</v>
      </c>
      <c r="AG42" s="50">
        <v>0.14610611515142716</v>
      </c>
      <c r="AH42" s="50">
        <v>0</v>
      </c>
      <c r="AI42" s="50">
        <v>0</v>
      </c>
      <c r="AJ42" s="50">
        <v>0</v>
      </c>
      <c r="AK42" s="50">
        <v>0</v>
      </c>
      <c r="AL42" s="48">
        <v>0</v>
      </c>
      <c r="AM42" s="48">
        <v>0.53681949706532728</v>
      </c>
      <c r="AN42" s="48">
        <v>0.53681949706532728</v>
      </c>
      <c r="AO42" s="48" t="s">
        <v>18</v>
      </c>
      <c r="AP42" s="48" t="s">
        <v>18</v>
      </c>
      <c r="AQ42" s="48" t="s">
        <v>18</v>
      </c>
      <c r="AR42" s="48" t="s">
        <v>18</v>
      </c>
      <c r="AS42" s="48" t="s">
        <v>18</v>
      </c>
      <c r="AT42" s="48" t="s">
        <v>18</v>
      </c>
      <c r="AU42" s="48" t="s">
        <v>18</v>
      </c>
      <c r="AV42" s="48" t="s">
        <v>18</v>
      </c>
      <c r="AW42" s="48" t="s">
        <v>18</v>
      </c>
      <c r="AX42" s="48" t="s">
        <v>18</v>
      </c>
      <c r="AY42" s="48" t="s">
        <v>18</v>
      </c>
      <c r="AZ42" s="48" t="s">
        <v>18</v>
      </c>
      <c r="BA42" s="48" t="s">
        <v>18</v>
      </c>
      <c r="BB42" s="48" t="s">
        <v>18</v>
      </c>
      <c r="BC42" s="48" t="s">
        <v>18</v>
      </c>
      <c r="BD42" s="48" t="s">
        <v>18</v>
      </c>
      <c r="BE42" s="48" t="s">
        <v>18</v>
      </c>
      <c r="BF42" s="48" t="s">
        <v>18</v>
      </c>
      <c r="BG42" s="48" t="s">
        <v>18</v>
      </c>
      <c r="BH42" s="48" t="s">
        <v>18</v>
      </c>
      <c r="BI42" s="48" t="s">
        <v>18</v>
      </c>
      <c r="BJ42" s="48" t="s">
        <v>18</v>
      </c>
      <c r="BK42" s="48" t="s">
        <v>18</v>
      </c>
      <c r="BL42" s="48" t="s">
        <v>18</v>
      </c>
      <c r="BM42" s="48" t="s">
        <v>18</v>
      </c>
      <c r="BN42" s="48" t="s">
        <v>18</v>
      </c>
      <c r="BO42" s="48" t="s">
        <v>18</v>
      </c>
      <c r="BP42" s="48" t="s">
        <v>18</v>
      </c>
      <c r="BQ42" s="48" t="s">
        <v>18</v>
      </c>
      <c r="BR42" s="48" t="s">
        <v>18</v>
      </c>
      <c r="BS42" s="48" t="s">
        <v>18</v>
      </c>
      <c r="BT42" s="48" t="s">
        <v>18</v>
      </c>
      <c r="BU42" s="48" t="s">
        <v>18</v>
      </c>
      <c r="BV42" s="48" t="s">
        <v>18</v>
      </c>
      <c r="BW42" s="48" t="s">
        <v>18</v>
      </c>
      <c r="BX42" s="48" t="s">
        <v>18</v>
      </c>
    </row>
    <row r="43" spans="1:76" hidden="1" outlineLevel="1">
      <c r="B43" s="82" t="s">
        <v>38</v>
      </c>
      <c r="C43" s="50" t="s">
        <v>18</v>
      </c>
      <c r="D43" s="50" t="s">
        <v>18</v>
      </c>
      <c r="E43" s="50" t="s">
        <v>18</v>
      </c>
      <c r="F43" s="50" t="s">
        <v>18</v>
      </c>
      <c r="G43" s="50" t="s">
        <v>18</v>
      </c>
      <c r="H43" s="50" t="s">
        <v>18</v>
      </c>
      <c r="I43" s="50" t="s">
        <v>18</v>
      </c>
      <c r="J43" s="50" t="s">
        <v>18</v>
      </c>
      <c r="K43" s="50" t="s">
        <v>18</v>
      </c>
      <c r="L43" s="50" t="s">
        <v>18</v>
      </c>
      <c r="M43" s="50" t="s">
        <v>18</v>
      </c>
      <c r="N43" s="50" t="s">
        <v>18</v>
      </c>
      <c r="O43" s="50" t="s">
        <v>18</v>
      </c>
      <c r="P43" s="50" t="s">
        <v>18</v>
      </c>
      <c r="Q43" s="50" t="s">
        <v>18</v>
      </c>
      <c r="R43" s="50" t="s">
        <v>18</v>
      </c>
      <c r="S43" s="50" t="s">
        <v>18</v>
      </c>
      <c r="T43" s="50" t="s">
        <v>18</v>
      </c>
      <c r="U43" s="50" t="s">
        <v>18</v>
      </c>
      <c r="V43" s="50" t="s">
        <v>18</v>
      </c>
      <c r="W43" s="50" t="s">
        <v>18</v>
      </c>
      <c r="X43" s="50" t="s">
        <v>18</v>
      </c>
      <c r="Y43" s="50" t="s">
        <v>18</v>
      </c>
      <c r="Z43" s="50">
        <v>0.22168443925515871</v>
      </c>
      <c r="AA43" s="50">
        <v>0.12342890871050263</v>
      </c>
      <c r="AB43" s="50">
        <v>0.1239</v>
      </c>
      <c r="AC43" s="50">
        <v>5.5350892754359511E-2</v>
      </c>
      <c r="AD43" s="50">
        <v>0</v>
      </c>
      <c r="AE43" s="50">
        <v>0</v>
      </c>
      <c r="AF43" s="50">
        <v>0</v>
      </c>
      <c r="AG43" s="50">
        <v>0</v>
      </c>
      <c r="AH43" s="50">
        <v>0</v>
      </c>
      <c r="AI43" s="50">
        <v>0</v>
      </c>
      <c r="AJ43" s="50">
        <v>0</v>
      </c>
      <c r="AK43" s="50">
        <v>0</v>
      </c>
      <c r="AL43" s="48">
        <v>0</v>
      </c>
      <c r="AM43" s="48">
        <v>0</v>
      </c>
      <c r="AN43" s="48">
        <v>0</v>
      </c>
      <c r="AO43" s="48" t="s">
        <v>18</v>
      </c>
      <c r="AP43" s="48" t="s">
        <v>18</v>
      </c>
      <c r="AQ43" s="48" t="s">
        <v>18</v>
      </c>
      <c r="AR43" s="48" t="s">
        <v>18</v>
      </c>
      <c r="AS43" s="48" t="s">
        <v>18</v>
      </c>
      <c r="AT43" s="48" t="s">
        <v>18</v>
      </c>
      <c r="AU43" s="48" t="s">
        <v>18</v>
      </c>
      <c r="AV43" s="48" t="s">
        <v>18</v>
      </c>
      <c r="AW43" s="48" t="s">
        <v>18</v>
      </c>
      <c r="AX43" s="48" t="s">
        <v>18</v>
      </c>
      <c r="AY43" s="48" t="s">
        <v>18</v>
      </c>
      <c r="AZ43" s="48" t="s">
        <v>18</v>
      </c>
      <c r="BA43" s="48" t="s">
        <v>18</v>
      </c>
      <c r="BB43" s="48" t="s">
        <v>18</v>
      </c>
      <c r="BC43" s="48" t="s">
        <v>18</v>
      </c>
      <c r="BD43" s="48" t="s">
        <v>18</v>
      </c>
      <c r="BE43" s="48" t="s">
        <v>18</v>
      </c>
      <c r="BF43" s="48" t="s">
        <v>18</v>
      </c>
      <c r="BG43" s="48" t="s">
        <v>18</v>
      </c>
      <c r="BH43" s="48" t="s">
        <v>18</v>
      </c>
      <c r="BI43" s="48" t="s">
        <v>18</v>
      </c>
      <c r="BJ43" s="48" t="s">
        <v>18</v>
      </c>
      <c r="BK43" s="48" t="s">
        <v>18</v>
      </c>
      <c r="BL43" s="48" t="s">
        <v>18</v>
      </c>
      <c r="BM43" s="48" t="s">
        <v>18</v>
      </c>
      <c r="BN43" s="48" t="s">
        <v>18</v>
      </c>
      <c r="BO43" s="48" t="s">
        <v>18</v>
      </c>
      <c r="BP43" s="48" t="s">
        <v>18</v>
      </c>
      <c r="BQ43" s="48" t="s">
        <v>18</v>
      </c>
      <c r="BR43" s="48" t="s">
        <v>18</v>
      </c>
      <c r="BS43" s="48" t="s">
        <v>18</v>
      </c>
      <c r="BT43" s="48" t="s">
        <v>18</v>
      </c>
      <c r="BU43" s="48" t="s">
        <v>18</v>
      </c>
      <c r="BV43" s="48" t="s">
        <v>18</v>
      </c>
      <c r="BW43" s="48" t="s">
        <v>18</v>
      </c>
      <c r="BX43" s="48" t="s">
        <v>18</v>
      </c>
    </row>
    <row r="44" spans="1:76" hidden="1" outlineLevel="1">
      <c r="B44" s="38" t="s">
        <v>35</v>
      </c>
      <c r="C44" s="50" t="s">
        <v>18</v>
      </c>
      <c r="D44" s="50" t="s">
        <v>18</v>
      </c>
      <c r="E44" s="50" t="s">
        <v>18</v>
      </c>
      <c r="F44" s="50" t="s">
        <v>18</v>
      </c>
      <c r="G44" s="50" t="s">
        <v>18</v>
      </c>
      <c r="H44" s="50" t="s">
        <v>18</v>
      </c>
      <c r="I44" s="50" t="s">
        <v>18</v>
      </c>
      <c r="J44" s="50" t="s">
        <v>18</v>
      </c>
      <c r="K44" s="50" t="s">
        <v>18</v>
      </c>
      <c r="L44" s="50" t="s">
        <v>18</v>
      </c>
      <c r="M44" s="50" t="s">
        <v>18</v>
      </c>
      <c r="N44" s="50" t="s">
        <v>18</v>
      </c>
      <c r="O44" s="50" t="s">
        <v>18</v>
      </c>
      <c r="P44" s="50" t="s">
        <v>18</v>
      </c>
      <c r="Q44" s="50" t="s">
        <v>18</v>
      </c>
      <c r="R44" s="50" t="s">
        <v>18</v>
      </c>
      <c r="S44" s="50" t="s">
        <v>18</v>
      </c>
      <c r="T44" s="50" t="s">
        <v>18</v>
      </c>
      <c r="U44" s="50" t="s">
        <v>18</v>
      </c>
      <c r="V44" s="50" t="s">
        <v>18</v>
      </c>
      <c r="W44" s="50">
        <v>0</v>
      </c>
      <c r="X44" s="50">
        <v>0</v>
      </c>
      <c r="Y44" s="50">
        <v>0</v>
      </c>
      <c r="Z44" s="50">
        <v>0</v>
      </c>
      <c r="AA44" s="50">
        <v>0</v>
      </c>
      <c r="AB44" s="50">
        <v>0</v>
      </c>
      <c r="AC44" s="50">
        <v>0</v>
      </c>
      <c r="AD44" s="50">
        <v>0</v>
      </c>
      <c r="AE44" s="50">
        <v>0</v>
      </c>
      <c r="AF44" s="50">
        <v>0</v>
      </c>
      <c r="AG44" s="50">
        <v>0</v>
      </c>
      <c r="AH44" s="50">
        <v>0</v>
      </c>
      <c r="AI44" s="50">
        <v>0</v>
      </c>
      <c r="AJ44" s="50">
        <v>0</v>
      </c>
      <c r="AK44" s="50">
        <v>0</v>
      </c>
      <c r="AL44" s="48">
        <v>0</v>
      </c>
      <c r="AM44" s="48">
        <v>0</v>
      </c>
      <c r="AN44" s="48">
        <v>0</v>
      </c>
      <c r="AO44" s="48" t="s">
        <v>18</v>
      </c>
      <c r="AP44" s="48" t="s">
        <v>18</v>
      </c>
      <c r="AQ44" s="48" t="s">
        <v>18</v>
      </c>
      <c r="AR44" s="48" t="s">
        <v>18</v>
      </c>
      <c r="AS44" s="48" t="s">
        <v>18</v>
      </c>
      <c r="AT44" s="48" t="s">
        <v>18</v>
      </c>
      <c r="AU44" s="48" t="s">
        <v>18</v>
      </c>
      <c r="AV44" s="48" t="s">
        <v>18</v>
      </c>
      <c r="AW44" s="48" t="s">
        <v>18</v>
      </c>
      <c r="AX44" s="48" t="s">
        <v>18</v>
      </c>
      <c r="AY44" s="48" t="s">
        <v>18</v>
      </c>
      <c r="AZ44" s="48" t="s">
        <v>18</v>
      </c>
      <c r="BA44" s="48" t="s">
        <v>18</v>
      </c>
      <c r="BB44" s="48" t="s">
        <v>18</v>
      </c>
      <c r="BC44" s="48" t="s">
        <v>18</v>
      </c>
      <c r="BD44" s="48" t="s">
        <v>18</v>
      </c>
      <c r="BE44" s="48" t="s">
        <v>18</v>
      </c>
      <c r="BF44" s="48" t="s">
        <v>18</v>
      </c>
      <c r="BG44" s="48" t="s">
        <v>18</v>
      </c>
      <c r="BH44" s="48" t="s">
        <v>18</v>
      </c>
      <c r="BI44" s="48" t="s">
        <v>18</v>
      </c>
      <c r="BJ44" s="48" t="s">
        <v>18</v>
      </c>
      <c r="BK44" s="48" t="s">
        <v>18</v>
      </c>
      <c r="BL44" s="48" t="s">
        <v>18</v>
      </c>
      <c r="BM44" s="48" t="s">
        <v>18</v>
      </c>
      <c r="BN44" s="48" t="s">
        <v>18</v>
      </c>
      <c r="BO44" s="48" t="s">
        <v>18</v>
      </c>
      <c r="BP44" s="48" t="s">
        <v>18</v>
      </c>
      <c r="BQ44" s="48" t="s">
        <v>18</v>
      </c>
      <c r="BR44" s="48" t="s">
        <v>18</v>
      </c>
      <c r="BS44" s="48" t="s">
        <v>18</v>
      </c>
      <c r="BT44" s="48" t="s">
        <v>18</v>
      </c>
      <c r="BU44" s="48" t="s">
        <v>18</v>
      </c>
      <c r="BV44" s="48" t="s">
        <v>18</v>
      </c>
      <c r="BW44" s="48" t="s">
        <v>18</v>
      </c>
      <c r="BX44" s="48" t="s">
        <v>18</v>
      </c>
    </row>
    <row r="45" spans="1:76" hidden="1" outlineLevel="1">
      <c r="B45" s="82" t="s">
        <v>39</v>
      </c>
      <c r="C45" s="50" t="s">
        <v>18</v>
      </c>
      <c r="D45" s="50" t="s">
        <v>18</v>
      </c>
      <c r="E45" s="50" t="s">
        <v>18</v>
      </c>
      <c r="F45" s="50" t="s">
        <v>18</v>
      </c>
      <c r="G45" s="50" t="s">
        <v>18</v>
      </c>
      <c r="H45" s="50" t="s">
        <v>18</v>
      </c>
      <c r="I45" s="50" t="s">
        <v>18</v>
      </c>
      <c r="J45" s="50" t="s">
        <v>18</v>
      </c>
      <c r="K45" s="50" t="s">
        <v>18</v>
      </c>
      <c r="L45" s="50" t="s">
        <v>18</v>
      </c>
      <c r="M45" s="50" t="s">
        <v>18</v>
      </c>
      <c r="N45" s="50" t="s">
        <v>18</v>
      </c>
      <c r="O45" s="50" t="s">
        <v>18</v>
      </c>
      <c r="P45" s="50" t="s">
        <v>18</v>
      </c>
      <c r="Q45" s="50" t="s">
        <v>18</v>
      </c>
      <c r="R45" s="50" t="s">
        <v>18</v>
      </c>
      <c r="S45" s="50" t="s">
        <v>18</v>
      </c>
      <c r="T45" s="50" t="s">
        <v>18</v>
      </c>
      <c r="U45" s="50" t="s">
        <v>18</v>
      </c>
      <c r="V45" s="50" t="s">
        <v>18</v>
      </c>
      <c r="W45" s="50" t="s">
        <v>18</v>
      </c>
      <c r="X45" s="50" t="s">
        <v>18</v>
      </c>
      <c r="Y45" s="50" t="s">
        <v>18</v>
      </c>
      <c r="Z45" s="50" t="s">
        <v>18</v>
      </c>
      <c r="AA45" s="50" t="s">
        <v>18</v>
      </c>
      <c r="AB45" s="50">
        <v>0.50539999999999996</v>
      </c>
      <c r="AC45" s="50">
        <v>0.50561609157196019</v>
      </c>
      <c r="AD45" s="50">
        <v>0.50561609157196019</v>
      </c>
      <c r="AE45" s="50">
        <v>0.50561609157196019</v>
      </c>
      <c r="AF45" s="50">
        <v>0</v>
      </c>
      <c r="AG45" s="50">
        <v>0</v>
      </c>
      <c r="AH45" s="50">
        <v>0</v>
      </c>
      <c r="AI45" s="50">
        <v>0</v>
      </c>
      <c r="AJ45" s="50">
        <v>0</v>
      </c>
      <c r="AK45" s="50">
        <v>0</v>
      </c>
      <c r="AL45" s="48">
        <v>0</v>
      </c>
      <c r="AM45" s="48">
        <v>0.50561609157196019</v>
      </c>
      <c r="AN45" s="48">
        <v>0.50561609157196019</v>
      </c>
      <c r="AO45" s="48" t="s">
        <v>18</v>
      </c>
      <c r="AP45" s="48" t="s">
        <v>18</v>
      </c>
      <c r="AQ45" s="48" t="s">
        <v>18</v>
      </c>
      <c r="AR45" s="48" t="s">
        <v>18</v>
      </c>
      <c r="AS45" s="48" t="s">
        <v>18</v>
      </c>
      <c r="AT45" s="48" t="s">
        <v>18</v>
      </c>
      <c r="AU45" s="48" t="s">
        <v>18</v>
      </c>
      <c r="AV45" s="48" t="s">
        <v>18</v>
      </c>
      <c r="AW45" s="48" t="s">
        <v>18</v>
      </c>
      <c r="AX45" s="48" t="s">
        <v>18</v>
      </c>
      <c r="AY45" s="48" t="s">
        <v>18</v>
      </c>
      <c r="AZ45" s="48" t="s">
        <v>18</v>
      </c>
      <c r="BA45" s="48" t="s">
        <v>18</v>
      </c>
      <c r="BB45" s="48" t="s">
        <v>18</v>
      </c>
      <c r="BC45" s="48" t="s">
        <v>18</v>
      </c>
      <c r="BD45" s="48" t="s">
        <v>18</v>
      </c>
      <c r="BE45" s="48" t="s">
        <v>18</v>
      </c>
      <c r="BF45" s="48" t="s">
        <v>18</v>
      </c>
      <c r="BG45" s="48" t="s">
        <v>18</v>
      </c>
      <c r="BH45" s="48" t="s">
        <v>18</v>
      </c>
      <c r="BI45" s="48" t="s">
        <v>18</v>
      </c>
      <c r="BJ45" s="48" t="s">
        <v>18</v>
      </c>
      <c r="BK45" s="48" t="s">
        <v>18</v>
      </c>
      <c r="BL45" s="48" t="s">
        <v>18</v>
      </c>
      <c r="BM45" s="48" t="s">
        <v>18</v>
      </c>
      <c r="BN45" s="48" t="s">
        <v>18</v>
      </c>
      <c r="BO45" s="48" t="s">
        <v>18</v>
      </c>
      <c r="BP45" s="48" t="s">
        <v>18</v>
      </c>
      <c r="BQ45" s="48" t="s">
        <v>18</v>
      </c>
      <c r="BR45" s="48" t="s">
        <v>18</v>
      </c>
      <c r="BS45" s="48" t="s">
        <v>18</v>
      </c>
      <c r="BT45" s="48" t="s">
        <v>18</v>
      </c>
      <c r="BU45" s="48" t="s">
        <v>18</v>
      </c>
      <c r="BV45" s="48" t="s">
        <v>18</v>
      </c>
      <c r="BW45" s="48" t="s">
        <v>18</v>
      </c>
      <c r="BX45" s="48" t="s">
        <v>18</v>
      </c>
    </row>
    <row r="46" spans="1:76" hidden="1" outlineLevel="1">
      <c r="B46" s="82" t="s">
        <v>21</v>
      </c>
      <c r="C46" s="50" t="s">
        <v>18</v>
      </c>
      <c r="D46" s="50" t="s">
        <v>18</v>
      </c>
      <c r="E46" s="50" t="s">
        <v>18</v>
      </c>
      <c r="F46" s="50" t="s">
        <v>18</v>
      </c>
      <c r="G46" s="50" t="s">
        <v>18</v>
      </c>
      <c r="H46" s="50" t="s">
        <v>18</v>
      </c>
      <c r="I46" s="50" t="s">
        <v>18</v>
      </c>
      <c r="J46" s="50" t="s">
        <v>18</v>
      </c>
      <c r="K46" s="50" t="s">
        <v>18</v>
      </c>
      <c r="L46" s="50" t="s">
        <v>18</v>
      </c>
      <c r="M46" s="50" t="s">
        <v>18</v>
      </c>
      <c r="N46" s="50" t="s">
        <v>18</v>
      </c>
      <c r="O46" s="50" t="s">
        <v>18</v>
      </c>
      <c r="P46" s="50" t="s">
        <v>18</v>
      </c>
      <c r="Q46" s="50" t="s">
        <v>18</v>
      </c>
      <c r="R46" s="50" t="s">
        <v>18</v>
      </c>
      <c r="S46" s="50" t="s">
        <v>18</v>
      </c>
      <c r="T46" s="50" t="s">
        <v>18</v>
      </c>
      <c r="U46" s="50" t="s">
        <v>18</v>
      </c>
      <c r="V46" s="50" t="s">
        <v>18</v>
      </c>
      <c r="W46" s="50" t="s">
        <v>18</v>
      </c>
      <c r="X46" s="50" t="s">
        <v>18</v>
      </c>
      <c r="Y46" s="50" t="s">
        <v>18</v>
      </c>
      <c r="Z46" s="50" t="s">
        <v>18</v>
      </c>
      <c r="AA46" s="50" t="s">
        <v>18</v>
      </c>
      <c r="AB46" s="50" t="s">
        <v>18</v>
      </c>
      <c r="AC46" s="50" t="s">
        <v>18</v>
      </c>
      <c r="AD46" s="50" t="s">
        <v>18</v>
      </c>
      <c r="AE46" s="50" t="s">
        <v>18</v>
      </c>
      <c r="AF46" s="50" t="s">
        <v>18</v>
      </c>
      <c r="AG46" s="50" t="s">
        <v>18</v>
      </c>
      <c r="AH46" s="50" t="s">
        <v>18</v>
      </c>
      <c r="AI46" s="50">
        <v>0.60433115552581773</v>
      </c>
      <c r="AJ46" s="50">
        <v>0.6041693581763844</v>
      </c>
      <c r="AK46" s="50">
        <v>0.42299999999999999</v>
      </c>
      <c r="AL46" s="48">
        <v>0.42299999999999999</v>
      </c>
      <c r="AM46" s="48">
        <v>0.42319972328197319</v>
      </c>
      <c r="AN46" s="48">
        <v>0.42669229187278079</v>
      </c>
      <c r="AO46" s="48" t="s">
        <v>18</v>
      </c>
      <c r="AP46" s="48" t="s">
        <v>18</v>
      </c>
      <c r="AQ46" s="48" t="s">
        <v>18</v>
      </c>
      <c r="AR46" s="48" t="s">
        <v>18</v>
      </c>
      <c r="AS46" s="48" t="s">
        <v>18</v>
      </c>
      <c r="AT46" s="48" t="s">
        <v>18</v>
      </c>
      <c r="AU46" s="48" t="s">
        <v>18</v>
      </c>
      <c r="AV46" s="48" t="s">
        <v>18</v>
      </c>
      <c r="AW46" s="48" t="s">
        <v>18</v>
      </c>
      <c r="AX46" s="48" t="s">
        <v>18</v>
      </c>
      <c r="AY46" s="48" t="s">
        <v>18</v>
      </c>
      <c r="AZ46" s="48" t="s">
        <v>18</v>
      </c>
      <c r="BA46" s="48" t="s">
        <v>18</v>
      </c>
      <c r="BB46" s="48" t="s">
        <v>18</v>
      </c>
      <c r="BC46" s="48" t="s">
        <v>18</v>
      </c>
      <c r="BD46" s="48" t="s">
        <v>18</v>
      </c>
      <c r="BE46" s="48" t="s">
        <v>18</v>
      </c>
      <c r="BF46" s="48" t="s">
        <v>18</v>
      </c>
      <c r="BG46" s="48" t="s">
        <v>18</v>
      </c>
      <c r="BH46" s="48" t="s">
        <v>18</v>
      </c>
      <c r="BI46" s="48" t="s">
        <v>18</v>
      </c>
      <c r="BJ46" s="48" t="s">
        <v>18</v>
      </c>
      <c r="BK46" s="48" t="s">
        <v>18</v>
      </c>
      <c r="BL46" s="48" t="s">
        <v>18</v>
      </c>
      <c r="BM46" s="48" t="s">
        <v>18</v>
      </c>
      <c r="BN46" s="48" t="s">
        <v>18</v>
      </c>
      <c r="BO46" s="48" t="s">
        <v>18</v>
      </c>
      <c r="BP46" s="48" t="s">
        <v>18</v>
      </c>
      <c r="BQ46" s="48" t="s">
        <v>18</v>
      </c>
      <c r="BR46" s="48" t="s">
        <v>18</v>
      </c>
      <c r="BS46" s="48" t="s">
        <v>18</v>
      </c>
      <c r="BT46" s="48" t="s">
        <v>18</v>
      </c>
      <c r="BU46" s="48" t="s">
        <v>18</v>
      </c>
      <c r="BV46" s="48" t="s">
        <v>18</v>
      </c>
      <c r="BW46" s="48" t="s">
        <v>18</v>
      </c>
      <c r="BX46" s="48" t="s">
        <v>18</v>
      </c>
    </row>
    <row r="47" spans="1:76" hidden="1" outlineLevel="1">
      <c r="B47" s="82" t="s">
        <v>22</v>
      </c>
      <c r="C47" s="50" t="s">
        <v>18</v>
      </c>
      <c r="D47" s="50" t="s">
        <v>18</v>
      </c>
      <c r="E47" s="50" t="s">
        <v>18</v>
      </c>
      <c r="F47" s="50" t="s">
        <v>18</v>
      </c>
      <c r="G47" s="50" t="s">
        <v>18</v>
      </c>
      <c r="H47" s="50" t="s">
        <v>18</v>
      </c>
      <c r="I47" s="50" t="s">
        <v>18</v>
      </c>
      <c r="J47" s="50" t="s">
        <v>18</v>
      </c>
      <c r="K47" s="50" t="s">
        <v>18</v>
      </c>
      <c r="L47" s="50" t="s">
        <v>18</v>
      </c>
      <c r="M47" s="50" t="s">
        <v>18</v>
      </c>
      <c r="N47" s="50" t="s">
        <v>18</v>
      </c>
      <c r="O47" s="50" t="s">
        <v>18</v>
      </c>
      <c r="P47" s="50" t="s">
        <v>18</v>
      </c>
      <c r="Q47" s="50" t="s">
        <v>18</v>
      </c>
      <c r="R47" s="50" t="s">
        <v>18</v>
      </c>
      <c r="S47" s="50" t="s">
        <v>18</v>
      </c>
      <c r="T47" s="50" t="s">
        <v>18</v>
      </c>
      <c r="U47" s="50" t="s">
        <v>18</v>
      </c>
      <c r="V47" s="50" t="s">
        <v>18</v>
      </c>
      <c r="W47" s="50" t="s">
        <v>18</v>
      </c>
      <c r="X47" s="50" t="s">
        <v>18</v>
      </c>
      <c r="Y47" s="50" t="s">
        <v>18</v>
      </c>
      <c r="Z47" s="50" t="s">
        <v>18</v>
      </c>
      <c r="AA47" s="50" t="s">
        <v>18</v>
      </c>
      <c r="AB47" s="50" t="s">
        <v>18</v>
      </c>
      <c r="AC47" s="50" t="s">
        <v>18</v>
      </c>
      <c r="AD47" s="50" t="s">
        <v>18</v>
      </c>
      <c r="AE47" s="50" t="s">
        <v>18</v>
      </c>
      <c r="AF47" s="50" t="s">
        <v>18</v>
      </c>
      <c r="AG47" s="50" t="s">
        <v>18</v>
      </c>
      <c r="AH47" s="50" t="s">
        <v>18</v>
      </c>
      <c r="AI47" s="50">
        <v>0.58095659585628112</v>
      </c>
      <c r="AJ47" s="50">
        <v>0.58818318908995537</v>
      </c>
      <c r="AK47" s="50">
        <v>0.57799999999999996</v>
      </c>
      <c r="AL47" s="48">
        <v>0.57799999999999996</v>
      </c>
      <c r="AM47" s="48">
        <v>0.57822579314668476</v>
      </c>
      <c r="AN47" s="48">
        <v>0.58095659585628112</v>
      </c>
      <c r="AO47" s="48" t="s">
        <v>18</v>
      </c>
      <c r="AP47" s="48" t="s">
        <v>18</v>
      </c>
      <c r="AQ47" s="48" t="s">
        <v>18</v>
      </c>
      <c r="AR47" s="48" t="s">
        <v>18</v>
      </c>
      <c r="AS47" s="48" t="s">
        <v>18</v>
      </c>
      <c r="AT47" s="48" t="s">
        <v>18</v>
      </c>
      <c r="AU47" s="48" t="s">
        <v>18</v>
      </c>
      <c r="AV47" s="48" t="s">
        <v>18</v>
      </c>
      <c r="AW47" s="48" t="s">
        <v>18</v>
      </c>
      <c r="AX47" s="48" t="s">
        <v>18</v>
      </c>
      <c r="AY47" s="48" t="s">
        <v>18</v>
      </c>
      <c r="AZ47" s="48" t="s">
        <v>18</v>
      </c>
      <c r="BA47" s="48" t="s">
        <v>18</v>
      </c>
      <c r="BB47" s="48" t="s">
        <v>18</v>
      </c>
      <c r="BC47" s="48" t="s">
        <v>18</v>
      </c>
      <c r="BD47" s="48" t="s">
        <v>18</v>
      </c>
      <c r="BE47" s="48" t="s">
        <v>18</v>
      </c>
      <c r="BF47" s="48" t="s">
        <v>18</v>
      </c>
      <c r="BG47" s="48" t="s">
        <v>18</v>
      </c>
      <c r="BH47" s="48" t="s">
        <v>18</v>
      </c>
      <c r="BI47" s="48" t="s">
        <v>18</v>
      </c>
      <c r="BJ47" s="48" t="s">
        <v>18</v>
      </c>
      <c r="BK47" s="48" t="s">
        <v>18</v>
      </c>
      <c r="BL47" s="48" t="s">
        <v>18</v>
      </c>
      <c r="BM47" s="48" t="s">
        <v>18</v>
      </c>
      <c r="BN47" s="48" t="s">
        <v>18</v>
      </c>
      <c r="BO47" s="48" t="s">
        <v>18</v>
      </c>
      <c r="BP47" s="48" t="s">
        <v>18</v>
      </c>
      <c r="BQ47" s="48" t="s">
        <v>18</v>
      </c>
      <c r="BR47" s="48" t="s">
        <v>18</v>
      </c>
      <c r="BS47" s="48" t="s">
        <v>18</v>
      </c>
      <c r="BT47" s="48" t="s">
        <v>18</v>
      </c>
      <c r="BU47" s="48" t="s">
        <v>18</v>
      </c>
      <c r="BV47" s="48" t="s">
        <v>18</v>
      </c>
      <c r="BW47" s="48" t="s">
        <v>18</v>
      </c>
      <c r="BX47" s="48" t="s">
        <v>18</v>
      </c>
    </row>
    <row r="48" spans="1:76" hidden="1" outlineLevel="1">
      <c r="B48" s="82" t="s">
        <v>24</v>
      </c>
      <c r="C48" s="50" t="s">
        <v>18</v>
      </c>
      <c r="D48" s="50" t="s">
        <v>18</v>
      </c>
      <c r="E48" s="50" t="s">
        <v>18</v>
      </c>
      <c r="F48" s="50" t="s">
        <v>18</v>
      </c>
      <c r="G48" s="50" t="s">
        <v>18</v>
      </c>
      <c r="H48" s="50" t="s">
        <v>18</v>
      </c>
      <c r="I48" s="50" t="s">
        <v>18</v>
      </c>
      <c r="J48" s="50" t="s">
        <v>18</v>
      </c>
      <c r="K48" s="50" t="s">
        <v>18</v>
      </c>
      <c r="L48" s="50" t="s">
        <v>18</v>
      </c>
      <c r="M48" s="50" t="s">
        <v>18</v>
      </c>
      <c r="N48" s="50" t="s">
        <v>18</v>
      </c>
      <c r="O48" s="50" t="s">
        <v>18</v>
      </c>
      <c r="P48" s="50" t="s">
        <v>18</v>
      </c>
      <c r="Q48" s="50" t="s">
        <v>18</v>
      </c>
      <c r="R48" s="50" t="s">
        <v>18</v>
      </c>
      <c r="S48" s="50" t="s">
        <v>18</v>
      </c>
      <c r="T48" s="50" t="s">
        <v>18</v>
      </c>
      <c r="U48" s="50" t="s">
        <v>18</v>
      </c>
      <c r="V48" s="50" t="s">
        <v>18</v>
      </c>
      <c r="W48" s="50" t="s">
        <v>18</v>
      </c>
      <c r="X48" s="50" t="s">
        <v>18</v>
      </c>
      <c r="Y48" s="50" t="s">
        <v>18</v>
      </c>
      <c r="Z48" s="50" t="s">
        <v>18</v>
      </c>
      <c r="AA48" s="50" t="s">
        <v>18</v>
      </c>
      <c r="AB48" s="50" t="s">
        <v>18</v>
      </c>
      <c r="AC48" s="50" t="s">
        <v>18</v>
      </c>
      <c r="AD48" s="50" t="s">
        <v>18</v>
      </c>
      <c r="AE48" s="50" t="s">
        <v>18</v>
      </c>
      <c r="AF48" s="50" t="s">
        <v>18</v>
      </c>
      <c r="AG48" s="50" t="s">
        <v>18</v>
      </c>
      <c r="AH48" s="50" t="s">
        <v>18</v>
      </c>
      <c r="AI48" s="50" t="s">
        <v>18</v>
      </c>
      <c r="AJ48" s="50">
        <v>0</v>
      </c>
      <c r="AK48" s="50">
        <v>0</v>
      </c>
      <c r="AL48" s="48">
        <v>0</v>
      </c>
      <c r="AM48" s="48">
        <v>0.35348407937240428</v>
      </c>
      <c r="AN48" s="48">
        <v>0.35391240525074857</v>
      </c>
      <c r="AO48" s="48" t="s">
        <v>18</v>
      </c>
      <c r="AP48" s="48" t="s">
        <v>18</v>
      </c>
      <c r="AQ48" s="48" t="s">
        <v>18</v>
      </c>
      <c r="AR48" s="48" t="s">
        <v>18</v>
      </c>
      <c r="AS48" s="48" t="s">
        <v>18</v>
      </c>
      <c r="AT48" s="48" t="s">
        <v>18</v>
      </c>
      <c r="AU48" s="48" t="s">
        <v>18</v>
      </c>
      <c r="AV48" s="48" t="s">
        <v>18</v>
      </c>
      <c r="AW48" s="48" t="s">
        <v>18</v>
      </c>
      <c r="AX48" s="48" t="s">
        <v>18</v>
      </c>
      <c r="AY48" s="48" t="s">
        <v>18</v>
      </c>
      <c r="AZ48" s="48" t="s">
        <v>18</v>
      </c>
      <c r="BA48" s="48" t="s">
        <v>18</v>
      </c>
      <c r="BB48" s="48" t="s">
        <v>18</v>
      </c>
      <c r="BC48" s="48" t="s">
        <v>18</v>
      </c>
      <c r="BD48" s="48" t="s">
        <v>18</v>
      </c>
      <c r="BE48" s="48" t="s">
        <v>18</v>
      </c>
      <c r="BF48" s="48" t="s">
        <v>18</v>
      </c>
      <c r="BG48" s="48" t="s">
        <v>18</v>
      </c>
      <c r="BH48" s="48" t="s">
        <v>18</v>
      </c>
      <c r="BI48" s="48" t="s">
        <v>18</v>
      </c>
      <c r="BJ48" s="48" t="s">
        <v>18</v>
      </c>
      <c r="BK48" s="48" t="s">
        <v>18</v>
      </c>
      <c r="BL48" s="48" t="s">
        <v>18</v>
      </c>
      <c r="BM48" s="48" t="s">
        <v>18</v>
      </c>
      <c r="BN48" s="48" t="s">
        <v>18</v>
      </c>
      <c r="BO48" s="48" t="s">
        <v>18</v>
      </c>
      <c r="BP48" s="48" t="s">
        <v>18</v>
      </c>
      <c r="BQ48" s="48" t="s">
        <v>18</v>
      </c>
      <c r="BR48" s="48" t="s">
        <v>18</v>
      </c>
      <c r="BS48" s="48" t="s">
        <v>18</v>
      </c>
      <c r="BT48" s="48" t="s">
        <v>18</v>
      </c>
      <c r="BU48" s="48" t="s">
        <v>18</v>
      </c>
      <c r="BV48" s="48" t="s">
        <v>18</v>
      </c>
      <c r="BW48" s="48" t="s">
        <v>18</v>
      </c>
      <c r="BX48" s="48" t="s">
        <v>18</v>
      </c>
    </row>
    <row r="49" spans="1:76" s="30" customFormat="1" collapsed="1">
      <c r="A49"/>
      <c r="B49" s="80" t="str">
        <f>IF('Sumário | Summary'!P1=1,"Outros","Others")</f>
        <v>Outros</v>
      </c>
      <c r="C49" s="41" t="s">
        <v>18</v>
      </c>
      <c r="D49" s="41" t="s">
        <v>18</v>
      </c>
      <c r="E49" s="41" t="s">
        <v>18</v>
      </c>
      <c r="F49" s="41" t="s">
        <v>18</v>
      </c>
      <c r="G49" s="41" t="s">
        <v>18</v>
      </c>
      <c r="H49" s="41" t="s">
        <v>18</v>
      </c>
      <c r="I49" s="41" t="s">
        <v>18</v>
      </c>
      <c r="J49" s="41" t="s">
        <v>18</v>
      </c>
      <c r="K49" s="41" t="s">
        <v>18</v>
      </c>
      <c r="L49" s="41" t="s">
        <v>18</v>
      </c>
      <c r="M49" s="41" t="s">
        <v>18</v>
      </c>
      <c r="N49" s="41" t="s">
        <v>18</v>
      </c>
      <c r="O49" s="41" t="s">
        <v>18</v>
      </c>
      <c r="P49" s="41" t="s">
        <v>18</v>
      </c>
      <c r="Q49" s="41" t="s">
        <v>18</v>
      </c>
      <c r="R49" s="41" t="s">
        <v>18</v>
      </c>
      <c r="S49" s="41" t="s">
        <v>18</v>
      </c>
      <c r="T49" s="41" t="s">
        <v>18</v>
      </c>
      <c r="U49" s="41" t="s">
        <v>18</v>
      </c>
      <c r="V49" s="41" t="s">
        <v>18</v>
      </c>
      <c r="W49" s="41">
        <v>0.10569580638431046</v>
      </c>
      <c r="X49" s="41">
        <v>0.10719580638431046</v>
      </c>
      <c r="Y49" s="41">
        <v>0.10331733778426873</v>
      </c>
      <c r="Z49" s="41">
        <v>0.10037554767369081</v>
      </c>
      <c r="AA49" s="41">
        <v>4.0500000000000001E-2</v>
      </c>
      <c r="AB49" s="41">
        <v>3.9262187088274045E-2</v>
      </c>
      <c r="AC49" s="41">
        <v>3.9262187088274045E-2</v>
      </c>
      <c r="AD49" s="41">
        <v>3.9262187088274045E-2</v>
      </c>
      <c r="AE49" s="41">
        <v>3.9262187088274045E-2</v>
      </c>
      <c r="AF49" s="41">
        <v>3.9262187088274045E-2</v>
      </c>
      <c r="AG49" s="41">
        <v>3.5265700483091793E-2</v>
      </c>
      <c r="AH49" s="41">
        <v>3.5180722891566263E-2</v>
      </c>
      <c r="AI49" s="41">
        <v>3.5180722891566263E-2</v>
      </c>
      <c r="AJ49" s="41">
        <v>2.8696604600219056E-2</v>
      </c>
      <c r="AK49" s="41">
        <v>2.8696604600219056E-2</v>
      </c>
      <c r="AL49" s="49">
        <v>3.832523953274708E-2</v>
      </c>
      <c r="AM49" s="49">
        <v>2.1785307877101926E-2</v>
      </c>
      <c r="AN49" s="49">
        <v>4.3352836794398358E-2</v>
      </c>
      <c r="AO49" s="49">
        <v>4.8061571060468003E-2</v>
      </c>
      <c r="AP49" s="49">
        <v>4.4878815491735738E-2</v>
      </c>
      <c r="AQ49" s="49">
        <v>7.9745260498101392E-2</v>
      </c>
      <c r="AR49" s="49">
        <v>7.8109294728612916E-2</v>
      </c>
      <c r="AS49" s="49">
        <v>7.5182442902613347E-2</v>
      </c>
      <c r="AT49" s="49">
        <v>7.0470861486486486E-2</v>
      </c>
      <c r="AU49" s="49">
        <v>7.0470861486486486E-2</v>
      </c>
      <c r="AV49" s="49">
        <v>9.3418008013178469E-2</v>
      </c>
      <c r="AW49" s="49">
        <v>0.12455864816915337</v>
      </c>
      <c r="AX49" s="49">
        <v>0.12966756827501963</v>
      </c>
      <c r="AY49" s="49">
        <v>0.12966756827501963</v>
      </c>
      <c r="AZ49" s="49">
        <v>0.12966756827501963</v>
      </c>
      <c r="BA49" s="49">
        <v>0.43280022103946719</v>
      </c>
      <c r="BB49" s="49">
        <v>0.57580294040659619</v>
      </c>
      <c r="BC49" s="49">
        <v>0.58325074309385505</v>
      </c>
      <c r="BD49" s="49">
        <v>0.96271148922644867</v>
      </c>
      <c r="BE49" s="49">
        <v>0.96271148922644867</v>
      </c>
      <c r="BF49" s="49">
        <v>0.96271148922644867</v>
      </c>
      <c r="BG49" s="49">
        <v>0.96271148922644867</v>
      </c>
      <c r="BH49" s="49">
        <v>0.96271148922644867</v>
      </c>
      <c r="BI49" s="49">
        <v>0.9823864489718932</v>
      </c>
      <c r="BJ49" s="49">
        <v>0.9823864489718932</v>
      </c>
      <c r="BK49" s="49">
        <v>0.9823864489718932</v>
      </c>
      <c r="BL49" s="49">
        <v>0.98855727117463077</v>
      </c>
      <c r="BM49" s="49">
        <v>0.98859999999999992</v>
      </c>
      <c r="BN49" s="49">
        <v>0.98859999999999992</v>
      </c>
      <c r="BO49" s="49">
        <f>BO50</f>
        <v>0.98860000000000003</v>
      </c>
      <c r="BP49" s="49">
        <v>0.98856107490967826</v>
      </c>
      <c r="BQ49" s="49">
        <v>0.98856107490967837</v>
      </c>
      <c r="BR49" s="49">
        <v>1</v>
      </c>
      <c r="BS49" s="49">
        <v>1</v>
      </c>
      <c r="BT49" s="49">
        <v>1</v>
      </c>
      <c r="BU49" s="49">
        <v>0.99999999999999989</v>
      </c>
      <c r="BV49" s="49">
        <v>0.99999999999999989</v>
      </c>
      <c r="BW49" s="49">
        <v>0.99999999999999989</v>
      </c>
      <c r="BX49" s="49">
        <f>BX50</f>
        <v>0.99999999999999989</v>
      </c>
    </row>
    <row r="50" spans="1:76" hidden="1" outlineLevel="1">
      <c r="A50" t="s">
        <v>25</v>
      </c>
      <c r="B50" s="82" t="s">
        <v>25</v>
      </c>
      <c r="C50" s="48" t="s">
        <v>18</v>
      </c>
      <c r="D50" s="48" t="s">
        <v>18</v>
      </c>
      <c r="E50" s="48" t="s">
        <v>18</v>
      </c>
      <c r="F50" s="48" t="s">
        <v>18</v>
      </c>
      <c r="G50" s="48" t="s">
        <v>18</v>
      </c>
      <c r="H50" s="48" t="s">
        <v>18</v>
      </c>
      <c r="I50" s="48" t="s">
        <v>18</v>
      </c>
      <c r="J50" s="48" t="s">
        <v>18</v>
      </c>
      <c r="K50" s="48" t="s">
        <v>18</v>
      </c>
      <c r="L50" s="48" t="s">
        <v>18</v>
      </c>
      <c r="M50" s="48" t="s">
        <v>18</v>
      </c>
      <c r="N50" s="48" t="s">
        <v>18</v>
      </c>
      <c r="O50" s="48" t="s">
        <v>18</v>
      </c>
      <c r="P50" s="48" t="s">
        <v>18</v>
      </c>
      <c r="Q50" s="48" t="s">
        <v>18</v>
      </c>
      <c r="R50" s="48" t="s">
        <v>18</v>
      </c>
      <c r="S50" s="48" t="s">
        <v>18</v>
      </c>
      <c r="T50" s="48" t="s">
        <v>18</v>
      </c>
      <c r="U50" s="48" t="s">
        <v>18</v>
      </c>
      <c r="V50" s="48" t="s">
        <v>18</v>
      </c>
      <c r="W50" s="48">
        <v>0.10569580638431046</v>
      </c>
      <c r="X50" s="48">
        <v>0.10719580638431046</v>
      </c>
      <c r="Y50" s="48">
        <v>0.10331733778426873</v>
      </c>
      <c r="Z50" s="48">
        <v>0.10037554767369081</v>
      </c>
      <c r="AA50" s="48">
        <v>4.0500000000000001E-2</v>
      </c>
      <c r="AB50" s="48">
        <v>3.9262187088274045E-2</v>
      </c>
      <c r="AC50" s="48">
        <v>3.9262187088274045E-2</v>
      </c>
      <c r="AD50" s="48">
        <v>3.9262187088274045E-2</v>
      </c>
      <c r="AE50" s="48">
        <v>3.9262187088274045E-2</v>
      </c>
      <c r="AF50" s="48">
        <v>3.9262187088274045E-2</v>
      </c>
      <c r="AG50" s="48">
        <v>3.5265700483091793E-2</v>
      </c>
      <c r="AH50" s="48">
        <v>3.5180722891566263E-2</v>
      </c>
      <c r="AI50" s="48">
        <v>3.5180722891566263E-2</v>
      </c>
      <c r="AJ50" s="48">
        <v>2.8696604600219056E-2</v>
      </c>
      <c r="AK50" s="48">
        <v>2.8696604600219056E-2</v>
      </c>
      <c r="AL50" s="48">
        <v>3.832523953274708E-2</v>
      </c>
      <c r="AM50" s="48">
        <v>2.1785307877101926E-2</v>
      </c>
      <c r="AN50" s="48">
        <v>4.3352836794398358E-2</v>
      </c>
      <c r="AO50" s="48">
        <v>4.8061571060468003E-2</v>
      </c>
      <c r="AP50" s="48">
        <v>4.4878815491735738E-2</v>
      </c>
      <c r="AQ50" s="48">
        <v>7.9745260498101392E-2</v>
      </c>
      <c r="AR50" s="48">
        <v>7.8109294728612916E-2</v>
      </c>
      <c r="AS50" s="48">
        <v>7.5182442902613347E-2</v>
      </c>
      <c r="AT50" s="48">
        <v>7.0470861486486486E-2</v>
      </c>
      <c r="AU50" s="48">
        <v>7.0470861486486486E-2</v>
      </c>
      <c r="AV50" s="48">
        <v>9.3418008013178469E-2</v>
      </c>
      <c r="AW50" s="48">
        <v>0.12455864816915337</v>
      </c>
      <c r="AX50" s="48">
        <v>0.12966756827501963</v>
      </c>
      <c r="AY50" s="48">
        <v>0.12966756827501963</v>
      </c>
      <c r="AZ50" s="48">
        <v>0.12966756827501963</v>
      </c>
      <c r="BA50" s="48">
        <v>0.43280022103946719</v>
      </c>
      <c r="BB50" s="48">
        <v>0.57580294040659619</v>
      </c>
      <c r="BC50" s="48">
        <v>0.58325074309385505</v>
      </c>
      <c r="BD50" s="48">
        <v>0.96271148922644867</v>
      </c>
      <c r="BE50" s="48">
        <v>0.96271148922644867</v>
      </c>
      <c r="BF50" s="48">
        <v>0.96271148922644867</v>
      </c>
      <c r="BG50" s="48">
        <v>0.96271148922644867</v>
      </c>
      <c r="BH50" s="48">
        <v>0.96271148922644867</v>
      </c>
      <c r="BI50" s="48">
        <v>0.9823864489718932</v>
      </c>
      <c r="BJ50" s="48">
        <v>0.9823864489718932</v>
      </c>
      <c r="BK50" s="48">
        <v>0.9823864489718932</v>
      </c>
      <c r="BL50" s="48">
        <v>0.98855727117463077</v>
      </c>
      <c r="BM50" s="48">
        <v>0.98859999999999992</v>
      </c>
      <c r="BN50" s="48">
        <v>0.98859999999999992</v>
      </c>
      <c r="BO50" s="48">
        <v>0.98860000000000003</v>
      </c>
      <c r="BP50" s="48">
        <v>0.98856107490967826</v>
      </c>
      <c r="BQ50" s="48">
        <v>0.98856107490967837</v>
      </c>
      <c r="BR50" s="48">
        <v>1</v>
      </c>
      <c r="BS50" s="48">
        <v>1</v>
      </c>
      <c r="BT50" s="48">
        <v>1</v>
      </c>
      <c r="BU50" s="48">
        <v>0.99999999999999989</v>
      </c>
      <c r="BV50" s="48">
        <v>0.99999999999999989</v>
      </c>
      <c r="BW50" s="48">
        <v>0.99999999999999989</v>
      </c>
      <c r="BX50" s="48">
        <v>0.99999999999999989</v>
      </c>
    </row>
    <row r="51" spans="1:76" s="30" customFormat="1" collapsed="1">
      <c r="B51" s="83" t="s">
        <v>14</v>
      </c>
      <c r="C51" s="41">
        <v>3.3000000000000002E-2</v>
      </c>
      <c r="D51" s="41">
        <v>1.0999999999999999E-2</v>
      </c>
      <c r="E51" s="41">
        <v>8.9999999999999993E-3</v>
      </c>
      <c r="F51" s="41">
        <v>8.9999999999999993E-3</v>
      </c>
      <c r="G51" s="41">
        <v>4.0300000000000002E-2</v>
      </c>
      <c r="H51" s="41">
        <v>0.114</v>
      </c>
      <c r="I51" s="41">
        <v>3.1E-2</v>
      </c>
      <c r="J51" s="41">
        <v>0.02</v>
      </c>
      <c r="K51" s="41">
        <v>1.4999999999999999E-2</v>
      </c>
      <c r="L51" s="41">
        <v>3.3000000000000002E-2</v>
      </c>
      <c r="M51" s="41">
        <v>8.0000000000000002E-3</v>
      </c>
      <c r="N51" s="41">
        <v>8.9999999999999993E-3</v>
      </c>
      <c r="O51" s="41">
        <v>5.0000000000000001E-3</v>
      </c>
      <c r="P51" s="41">
        <v>5.0000000000000001E-3</v>
      </c>
      <c r="Q51" s="41">
        <v>2E-3</v>
      </c>
      <c r="R51" s="41">
        <v>8.0000000000000002E-3</v>
      </c>
      <c r="S51" s="41">
        <v>8.0000000000000002E-3</v>
      </c>
      <c r="T51" s="41">
        <v>8.9999999999999993E-3</v>
      </c>
      <c r="U51" s="41">
        <v>5.0000000000000001E-3</v>
      </c>
      <c r="V51" s="41">
        <v>5.0000000000000001E-3</v>
      </c>
      <c r="W51" s="41">
        <v>0.02</v>
      </c>
      <c r="X51" s="41">
        <v>6.3E-2</v>
      </c>
      <c r="Y51" s="41">
        <v>6.9000000000000006E-2</v>
      </c>
      <c r="Z51" s="41">
        <v>0.12556853083191005</v>
      </c>
      <c r="AA51" s="41">
        <v>6.1219734941137798E-2</v>
      </c>
      <c r="AB51" s="41">
        <v>9.7468294973413458E-2</v>
      </c>
      <c r="AC51" s="41">
        <v>0.11840925018164593</v>
      </c>
      <c r="AD51" s="41">
        <v>0.113</v>
      </c>
      <c r="AE51" s="41">
        <v>0.11899999999999999</v>
      </c>
      <c r="AF51" s="41">
        <v>0.10214046831217374</v>
      </c>
      <c r="AG51" s="41">
        <v>9.2700000000000005E-2</v>
      </c>
      <c r="AH51" s="41">
        <v>8.3299999999999999E-2</v>
      </c>
      <c r="AI51" s="41">
        <v>0.10829999999999999</v>
      </c>
      <c r="AJ51" s="41">
        <v>0.13896814675056898</v>
      </c>
      <c r="AK51" s="41">
        <v>0.12986538359926098</v>
      </c>
      <c r="AL51" s="49">
        <v>0.12570000000000001</v>
      </c>
      <c r="AM51" s="49">
        <v>0.18841134137987495</v>
      </c>
      <c r="AN51" s="49">
        <v>0.19919878485438058</v>
      </c>
      <c r="AO51" s="49">
        <v>0.13969082591298365</v>
      </c>
      <c r="AP51" s="49">
        <v>0.12798374396630768</v>
      </c>
      <c r="AQ51" s="49">
        <v>0.14066293853407189</v>
      </c>
      <c r="AR51" s="49">
        <v>9.1158023678169803E-2</v>
      </c>
      <c r="AS51" s="49">
        <v>8.2276295401970137E-2</v>
      </c>
      <c r="AT51" s="49">
        <v>7.3910892516731413E-2</v>
      </c>
      <c r="AU51" s="49">
        <v>7.8031559507371451E-2</v>
      </c>
      <c r="AV51" s="49">
        <v>0.11504349466187663</v>
      </c>
      <c r="AW51" s="49">
        <v>8.9913723371832774E-2</v>
      </c>
      <c r="AX51" s="49">
        <v>8.5730160160020288E-2</v>
      </c>
      <c r="AY51" s="49">
        <v>8.5631522603020885E-2</v>
      </c>
      <c r="AZ51" s="49">
        <v>9.7768079708404829E-2</v>
      </c>
      <c r="BA51" s="49">
        <v>0.12013102276690021</v>
      </c>
      <c r="BB51" s="49">
        <v>0.13997683906110833</v>
      </c>
      <c r="BC51" s="49">
        <v>0.15468399002268268</v>
      </c>
      <c r="BD51" s="49">
        <v>0.18443647147504</v>
      </c>
      <c r="BE51" s="49">
        <v>0.16359290871578283</v>
      </c>
      <c r="BF51" s="49">
        <v>0.17536671022920311</v>
      </c>
      <c r="BG51" s="49">
        <v>0.17648281108777203</v>
      </c>
      <c r="BH51" s="49">
        <v>0.17363577221224027</v>
      </c>
      <c r="BI51" s="49">
        <v>0.17622319694026786</v>
      </c>
      <c r="BJ51" s="49">
        <v>0.1639680007070986</v>
      </c>
      <c r="BK51" s="49">
        <v>0.17218495574344458</v>
      </c>
      <c r="BL51" s="49">
        <v>0.18118759310236873</v>
      </c>
      <c r="BM51" s="49">
        <v>0.17467973561574224</v>
      </c>
      <c r="BN51" s="49">
        <v>0.17233776561736111</v>
      </c>
      <c r="BO51" s="49">
        <v>0.19463805630629397</v>
      </c>
      <c r="BP51" s="49">
        <v>0.33376851522273021</v>
      </c>
      <c r="BQ51" s="49">
        <v>0.3429691787510451</v>
      </c>
      <c r="BR51" s="49">
        <v>0.33104685534160405</v>
      </c>
      <c r="BS51" s="49">
        <v>0.30425429135825721</v>
      </c>
      <c r="BT51" s="49">
        <v>0.29986848730840582</v>
      </c>
      <c r="BU51" s="49">
        <v>0.30193389790420189</v>
      </c>
      <c r="BV51" s="49">
        <v>0.2806212230955516</v>
      </c>
      <c r="BW51" s="49">
        <v>0.26973254407793007</v>
      </c>
      <c r="BX51" s="49">
        <v>0.2961432692758677</v>
      </c>
    </row>
    <row r="52" spans="1:76" s="30" customFormat="1">
      <c r="B52" s="83" t="s">
        <v>285</v>
      </c>
      <c r="C52" s="41">
        <v>3.3000000000000002E-2</v>
      </c>
      <c r="D52" s="41">
        <v>1.0999999999999999E-2</v>
      </c>
      <c r="E52" s="41">
        <v>8.9999999999999993E-3</v>
      </c>
      <c r="F52" s="41">
        <v>8.9999999999999993E-3</v>
      </c>
      <c r="G52" s="41">
        <v>4.0300000000000002E-2</v>
      </c>
      <c r="H52" s="41">
        <v>0.114</v>
      </c>
      <c r="I52" s="41">
        <v>3.1E-2</v>
      </c>
      <c r="J52" s="41">
        <v>0.02</v>
      </c>
      <c r="K52" s="41">
        <v>1.4999999999999999E-2</v>
      </c>
      <c r="L52" s="41">
        <v>3.3000000000000002E-2</v>
      </c>
      <c r="M52" s="41">
        <v>8.0000000000000002E-3</v>
      </c>
      <c r="N52" s="41">
        <v>8.9999999999999993E-3</v>
      </c>
      <c r="O52" s="41">
        <v>5.0000000000000001E-3</v>
      </c>
      <c r="P52" s="41">
        <v>5.0000000000000001E-3</v>
      </c>
      <c r="Q52" s="41">
        <v>2E-3</v>
      </c>
      <c r="R52" s="41">
        <v>8.0000000000000002E-3</v>
      </c>
      <c r="S52" s="41">
        <v>8.0000000000000002E-3</v>
      </c>
      <c r="T52" s="41">
        <v>8.9999999999999993E-3</v>
      </c>
      <c r="U52" s="41">
        <v>5.0000000000000001E-3</v>
      </c>
      <c r="V52" s="41">
        <v>5.0000000000000001E-3</v>
      </c>
      <c r="W52" s="41">
        <v>1.2779416294174329E-2</v>
      </c>
      <c r="X52" s="41">
        <v>5.828609695952422E-2</v>
      </c>
      <c r="Y52" s="41">
        <v>6.5451604062153265E-2</v>
      </c>
      <c r="Z52" s="41">
        <v>0.12755632461215388</v>
      </c>
      <c r="AA52" s="41">
        <v>6.2785459077240341E-2</v>
      </c>
      <c r="AB52" s="41">
        <v>0.10147630288166479</v>
      </c>
      <c r="AC52" s="41">
        <v>0.12333966534831874</v>
      </c>
      <c r="AD52" s="41">
        <v>0.11770112661746988</v>
      </c>
      <c r="AE52" s="41">
        <v>0.12413634415880317</v>
      </c>
      <c r="AF52" s="41">
        <v>0.1059180497054597</v>
      </c>
      <c r="AG52" s="41">
        <v>9.5241090773156248E-2</v>
      </c>
      <c r="AH52" s="41">
        <v>8.5556961884625346E-2</v>
      </c>
      <c r="AI52" s="41">
        <v>0.11141268814802745</v>
      </c>
      <c r="AJ52" s="41">
        <v>0.14327752236305741</v>
      </c>
      <c r="AK52" s="41">
        <v>0.1339439899119402</v>
      </c>
      <c r="AL52" s="49">
        <v>0.12925218336625413</v>
      </c>
      <c r="AM52" s="49">
        <v>0.20244192261166161</v>
      </c>
      <c r="AN52" s="49">
        <v>0.21426942497675283</v>
      </c>
      <c r="AO52" s="49">
        <v>0.14898738203984419</v>
      </c>
      <c r="AP52" s="49">
        <v>0.13637553296570548</v>
      </c>
      <c r="AQ52" s="49">
        <v>0.14713043876648702</v>
      </c>
      <c r="AR52" s="49">
        <v>9.2537450554728284E-2</v>
      </c>
      <c r="AS52" s="49">
        <v>8.3026522886750942E-2</v>
      </c>
      <c r="AT52" s="49">
        <v>7.4274588095554206E-2</v>
      </c>
      <c r="AU52" s="49">
        <v>7.8652847547112145E-2</v>
      </c>
      <c r="AV52" s="49">
        <v>0.11672612477674894</v>
      </c>
      <c r="AW52" s="49">
        <v>8.7894437284059421E-2</v>
      </c>
      <c r="AX52" s="49">
        <v>8.3250975194390162E-2</v>
      </c>
      <c r="AY52" s="49">
        <v>8.3146959604271931E-2</v>
      </c>
      <c r="AZ52" s="49">
        <v>9.5974930753262896E-2</v>
      </c>
      <c r="BA52" s="49">
        <v>0.10247658841187028</v>
      </c>
      <c r="BB52" s="49">
        <v>0.10730172862438529</v>
      </c>
      <c r="BC52" s="49">
        <v>0.1225672109869179</v>
      </c>
      <c r="BD52" s="49">
        <v>0.12212777052193236</v>
      </c>
      <c r="BE52" s="49">
        <v>0.10367283729360041</v>
      </c>
      <c r="BF52" s="49">
        <v>9.513086957240037E-2</v>
      </c>
      <c r="BG52" s="49">
        <v>9.6599584098636268E-2</v>
      </c>
      <c r="BH52" s="49">
        <v>9.3472456137223686E-2</v>
      </c>
      <c r="BI52" s="49">
        <v>8.6853475094694613E-2</v>
      </c>
      <c r="BJ52" s="49">
        <v>7.3251388421217256E-2</v>
      </c>
      <c r="BK52" s="49">
        <v>7.6739359972764987E-2</v>
      </c>
      <c r="BL52" s="49">
        <v>8.1283854340527664E-2</v>
      </c>
      <c r="BM52" s="49">
        <v>7.4042372075551477E-2</v>
      </c>
      <c r="BN52" s="49">
        <v>9.1747000645450813E-2</v>
      </c>
      <c r="BO52" s="49">
        <v>9.3412993442355527E-2</v>
      </c>
      <c r="BP52" s="49">
        <v>0.13302570750590217</v>
      </c>
      <c r="BQ52" s="49">
        <v>0.14197661329487421</v>
      </c>
      <c r="BR52" s="49">
        <v>0.12303094299098434</v>
      </c>
      <c r="BS52" s="49">
        <v>8.0946225112561873E-2</v>
      </c>
      <c r="BT52" s="49">
        <v>7.1731432423678923E-2</v>
      </c>
      <c r="BU52" s="49">
        <v>5.9001561112161337E-2</v>
      </c>
      <c r="BV52" s="49">
        <v>3.6031506501466339E-2</v>
      </c>
      <c r="BW52" s="49">
        <v>3.0380726852602621E-2</v>
      </c>
      <c r="BX52" s="49">
        <v>5.8519877525162675E-2</v>
      </c>
    </row>
    <row r="54" spans="1:76" ht="18.75" customHeight="1">
      <c r="B54" s="193" t="str">
        <f>IF('Sumário | Summary'!P1=1,"Vacância Financeira","Financial Vacancy")</f>
        <v>Vacância Financeira</v>
      </c>
      <c r="C54" s="189" t="str">
        <f t="shared" ref="C54:BA54" si="0">C5</f>
        <v>1T08</v>
      </c>
      <c r="D54" s="189" t="str">
        <f t="shared" si="0"/>
        <v>2T08</v>
      </c>
      <c r="E54" s="189" t="str">
        <f t="shared" si="0"/>
        <v>3T08</v>
      </c>
      <c r="F54" s="189" t="str">
        <f t="shared" si="0"/>
        <v>4T08</v>
      </c>
      <c r="G54" s="189" t="str">
        <f t="shared" si="0"/>
        <v>1T09</v>
      </c>
      <c r="H54" s="189" t="str">
        <f t="shared" si="0"/>
        <v>2T09</v>
      </c>
      <c r="I54" s="189" t="str">
        <f t="shared" si="0"/>
        <v>3T09</v>
      </c>
      <c r="J54" s="189" t="str">
        <f t="shared" si="0"/>
        <v>4T09</v>
      </c>
      <c r="K54" s="189" t="str">
        <f t="shared" si="0"/>
        <v>1T10</v>
      </c>
      <c r="L54" s="189" t="str">
        <f t="shared" si="0"/>
        <v>2T10</v>
      </c>
      <c r="M54" s="189" t="str">
        <f t="shared" si="0"/>
        <v>3T10</v>
      </c>
      <c r="N54" s="189" t="str">
        <f t="shared" si="0"/>
        <v>4T10</v>
      </c>
      <c r="O54" s="189" t="str">
        <f t="shared" si="0"/>
        <v>1T11</v>
      </c>
      <c r="P54" s="189" t="str">
        <f t="shared" si="0"/>
        <v>2T11</v>
      </c>
      <c r="Q54" s="189" t="str">
        <f t="shared" si="0"/>
        <v>3T11</v>
      </c>
      <c r="R54" s="189" t="str">
        <f t="shared" si="0"/>
        <v>4T11</v>
      </c>
      <c r="S54" s="189" t="str">
        <f t="shared" si="0"/>
        <v>1T12</v>
      </c>
      <c r="T54" s="189" t="str">
        <f t="shared" si="0"/>
        <v>2T12</v>
      </c>
      <c r="U54" s="189" t="str">
        <f t="shared" si="0"/>
        <v>3T12</v>
      </c>
      <c r="V54" s="189" t="str">
        <f t="shared" si="0"/>
        <v>4T12</v>
      </c>
      <c r="W54" s="189" t="str">
        <f t="shared" si="0"/>
        <v>1T13</v>
      </c>
      <c r="X54" s="189" t="str">
        <f t="shared" si="0"/>
        <v>2T13</v>
      </c>
      <c r="Y54" s="189" t="str">
        <f t="shared" si="0"/>
        <v>3T13</v>
      </c>
      <c r="Z54" s="189" t="str">
        <f t="shared" si="0"/>
        <v>4T13</v>
      </c>
      <c r="AA54" s="189" t="str">
        <f t="shared" si="0"/>
        <v>1T14</v>
      </c>
      <c r="AB54" s="189" t="str">
        <f t="shared" si="0"/>
        <v>2T14</v>
      </c>
      <c r="AC54" s="189" t="str">
        <f t="shared" si="0"/>
        <v>3T14</v>
      </c>
      <c r="AD54" s="189" t="str">
        <f t="shared" si="0"/>
        <v>4T14</v>
      </c>
      <c r="AE54" s="189" t="str">
        <f t="shared" si="0"/>
        <v>1T15</v>
      </c>
      <c r="AF54" s="189" t="str">
        <f t="shared" si="0"/>
        <v>2T15</v>
      </c>
      <c r="AG54" s="189" t="str">
        <f t="shared" si="0"/>
        <v>3T15</v>
      </c>
      <c r="AH54" s="189" t="str">
        <f t="shared" si="0"/>
        <v>4T15</v>
      </c>
      <c r="AI54" s="189" t="str">
        <f t="shared" si="0"/>
        <v>1T16</v>
      </c>
      <c r="AJ54" s="189" t="str">
        <f t="shared" si="0"/>
        <v>2T16</v>
      </c>
      <c r="AK54" s="189" t="str">
        <f t="shared" si="0"/>
        <v>3T16</v>
      </c>
      <c r="AL54" s="189" t="str">
        <f t="shared" si="0"/>
        <v>4T16</v>
      </c>
      <c r="AM54" s="189" t="str">
        <f t="shared" si="0"/>
        <v>1T17</v>
      </c>
      <c r="AN54" s="189" t="str">
        <f t="shared" si="0"/>
        <v>2T17</v>
      </c>
      <c r="AO54" s="189" t="str">
        <f t="shared" si="0"/>
        <v>3T17</v>
      </c>
      <c r="AP54" s="189" t="str">
        <f t="shared" si="0"/>
        <v>4T17</v>
      </c>
      <c r="AQ54" s="189" t="str">
        <f t="shared" si="0"/>
        <v>1T18</v>
      </c>
      <c r="AR54" s="189" t="str">
        <f t="shared" si="0"/>
        <v>2T18</v>
      </c>
      <c r="AS54" s="189" t="str">
        <f t="shared" si="0"/>
        <v>3T18</v>
      </c>
      <c r="AT54" s="189" t="str">
        <f t="shared" si="0"/>
        <v>4T18</v>
      </c>
      <c r="AU54" s="189" t="str">
        <f t="shared" si="0"/>
        <v>1T19</v>
      </c>
      <c r="AV54" s="189" t="str">
        <f t="shared" si="0"/>
        <v>2T19</v>
      </c>
      <c r="AW54" s="189" t="str">
        <f t="shared" si="0"/>
        <v>3T19</v>
      </c>
      <c r="AX54" s="189" t="str">
        <f t="shared" si="0"/>
        <v>4T19</v>
      </c>
      <c r="AY54" s="189" t="str">
        <f t="shared" si="0"/>
        <v>1T20</v>
      </c>
      <c r="AZ54" s="189" t="str">
        <f t="shared" si="0"/>
        <v>2T20</v>
      </c>
      <c r="BA54" s="189" t="str">
        <f t="shared" si="0"/>
        <v>3T20</v>
      </c>
      <c r="BB54" s="189" t="str">
        <f t="shared" ref="BB54:BM54" si="1">BB5</f>
        <v>4T20</v>
      </c>
      <c r="BC54" s="189" t="str">
        <f t="shared" si="1"/>
        <v>1T21</v>
      </c>
      <c r="BD54" s="189" t="str">
        <f t="shared" si="1"/>
        <v>2T21</v>
      </c>
      <c r="BE54" s="189" t="str">
        <f t="shared" si="1"/>
        <v>3T21</v>
      </c>
      <c r="BF54" s="189" t="str">
        <f t="shared" si="1"/>
        <v>4T21</v>
      </c>
      <c r="BG54" s="189" t="str">
        <f t="shared" si="1"/>
        <v>1T22</v>
      </c>
      <c r="BH54" s="189" t="str">
        <f t="shared" si="1"/>
        <v>2T22</v>
      </c>
      <c r="BI54" s="189" t="str">
        <f t="shared" si="1"/>
        <v>3T22</v>
      </c>
      <c r="BJ54" s="189" t="str">
        <f t="shared" si="1"/>
        <v>4T22</v>
      </c>
      <c r="BK54" s="189" t="str">
        <f t="shared" si="1"/>
        <v>1T23</v>
      </c>
      <c r="BL54" s="189" t="str">
        <f t="shared" si="1"/>
        <v>2T23</v>
      </c>
      <c r="BM54" s="189" t="str">
        <f t="shared" si="1"/>
        <v>3T23</v>
      </c>
      <c r="BN54" s="189" t="s">
        <v>312</v>
      </c>
      <c r="BO54" s="189" t="str">
        <f t="shared" ref="BO54" si="2">BO5</f>
        <v>1T24</v>
      </c>
      <c r="BP54" s="189" t="s">
        <v>320</v>
      </c>
      <c r="BQ54" s="189" t="s">
        <v>328</v>
      </c>
      <c r="BR54" s="189" t="s">
        <v>330</v>
      </c>
      <c r="BS54" s="189" t="s">
        <v>332</v>
      </c>
      <c r="BT54" s="189" t="s">
        <v>333</v>
      </c>
      <c r="BU54" s="189" t="s">
        <v>334</v>
      </c>
      <c r="BV54" s="189" t="s">
        <v>335</v>
      </c>
      <c r="BW54" s="189" t="s">
        <v>336</v>
      </c>
      <c r="BX54" s="189" t="str">
        <f>BX5</f>
        <v>2T26</v>
      </c>
    </row>
    <row r="55" spans="1:76" ht="15" customHeight="1">
      <c r="B55" s="14" t="str">
        <f>IF('Sumário | Summary'!P1=1,"Escritórios","Offices")</f>
        <v>Escritórios</v>
      </c>
      <c r="C55" s="55">
        <v>4.4999999999999998E-2</v>
      </c>
      <c r="D55" s="55">
        <v>4.1000000000000003E-3</v>
      </c>
      <c r="E55" s="55">
        <v>0</v>
      </c>
      <c r="F55" s="55">
        <v>0</v>
      </c>
      <c r="G55" s="55">
        <v>7.7799999999999994E-2</v>
      </c>
      <c r="H55" s="55">
        <v>6.2E-2</v>
      </c>
      <c r="I55" s="55">
        <v>3.5000000000000003E-2</v>
      </c>
      <c r="J55" s="55">
        <v>0</v>
      </c>
      <c r="K55" s="55">
        <v>0</v>
      </c>
      <c r="L55" s="55">
        <v>1.6E-2</v>
      </c>
      <c r="M55" s="55">
        <v>4.0000000000000001E-3</v>
      </c>
      <c r="N55" s="55">
        <v>5.0000000000000001E-3</v>
      </c>
      <c r="O55" s="55">
        <v>1E-3</v>
      </c>
      <c r="P55" s="55">
        <v>0</v>
      </c>
      <c r="Q55" s="55">
        <v>0</v>
      </c>
      <c r="R55" s="55">
        <v>8.0000000000000002E-3</v>
      </c>
      <c r="S55" s="55">
        <v>8.0000000000000002E-3</v>
      </c>
      <c r="T55" s="55">
        <v>0</v>
      </c>
      <c r="U55" s="55">
        <v>0</v>
      </c>
      <c r="V55" s="55">
        <v>0</v>
      </c>
      <c r="W55" s="55">
        <v>1.4999999999999999E-2</v>
      </c>
      <c r="X55" s="55">
        <v>3.5000000000000003E-2</v>
      </c>
      <c r="Y55" s="55">
        <v>5.8999999999999997E-2</v>
      </c>
      <c r="Z55" s="55">
        <v>8.9117645132304912E-2</v>
      </c>
      <c r="AA55" s="55">
        <v>9.0309475775272943E-2</v>
      </c>
      <c r="AB55" s="55">
        <v>8.5714394862238877E-2</v>
      </c>
      <c r="AC55" s="55">
        <v>0.17745358154257757</v>
      </c>
      <c r="AD55" s="55">
        <v>0.19095473311035915</v>
      </c>
      <c r="AE55" s="55">
        <v>0.18999999999999995</v>
      </c>
      <c r="AF55" s="55">
        <v>0.12055890796120743</v>
      </c>
      <c r="AG55" s="55">
        <v>0.13900000000000001</v>
      </c>
      <c r="AH55" s="55">
        <v>0.12065710473930097</v>
      </c>
      <c r="AI55" s="55">
        <v>0.10435894500043739</v>
      </c>
      <c r="AJ55" s="55">
        <v>8.9058154457241537E-2</v>
      </c>
      <c r="AK55" s="55">
        <v>9.8000000000000004E-2</v>
      </c>
      <c r="AL55" s="55">
        <v>7.85E-2</v>
      </c>
      <c r="AM55" s="55">
        <v>8.8955806219252892E-2</v>
      </c>
      <c r="AN55" s="55">
        <v>0.14030687808261832</v>
      </c>
      <c r="AO55" s="55">
        <v>0.12934974345115938</v>
      </c>
      <c r="AP55" s="55">
        <v>9.7225394273738247E-2</v>
      </c>
      <c r="AQ55" s="55">
        <v>0.10686714766740579</v>
      </c>
      <c r="AR55" s="55">
        <v>0.11757226025262631</v>
      </c>
      <c r="AS55" s="55">
        <v>0.10917272272778129</v>
      </c>
      <c r="AT55" s="55">
        <v>7.6415234208248611E-2</v>
      </c>
      <c r="AU55" s="55">
        <v>9.2870004030162975E-2</v>
      </c>
      <c r="AV55" s="55">
        <v>0.12780347545447332</v>
      </c>
      <c r="AW55" s="55">
        <v>8.6882588842252875E-2</v>
      </c>
      <c r="AX55" s="55">
        <v>7.9241272075188413E-2</v>
      </c>
      <c r="AY55" s="48">
        <v>6.9361707757443311E-2</v>
      </c>
      <c r="AZ55" s="55">
        <v>8.2949022061524227E-2</v>
      </c>
      <c r="BA55" s="55">
        <v>8.6332357786817457E-2</v>
      </c>
      <c r="BB55" s="55">
        <v>0.13347778942707725</v>
      </c>
      <c r="BC55" s="48">
        <v>0.13681590862299295</v>
      </c>
      <c r="BD55" s="48">
        <v>0.10286598450309624</v>
      </c>
      <c r="BE55" s="48">
        <v>7.3696579186237426E-2</v>
      </c>
      <c r="BF55" s="48">
        <v>0.12623175146465931</v>
      </c>
      <c r="BG55" s="48">
        <v>0.13843986964698626</v>
      </c>
      <c r="BH55" s="48">
        <v>0.12470021849280989</v>
      </c>
      <c r="BI55" s="48">
        <v>0.12393785072366624</v>
      </c>
      <c r="BJ55" s="48">
        <v>0.11117323323530064</v>
      </c>
      <c r="BK55" s="48">
        <v>0.11850927714936853</v>
      </c>
      <c r="BL55" s="48">
        <v>0.11821010950843912</v>
      </c>
      <c r="BM55" s="48">
        <v>0.13014746097691066</v>
      </c>
      <c r="BN55" s="48">
        <v>0.12903968729281282</v>
      </c>
      <c r="BO55" s="48">
        <v>0.11197308828371812</v>
      </c>
      <c r="BP55" s="48">
        <v>0.15596975642979891</v>
      </c>
      <c r="BQ55" s="48">
        <v>0.16084994788530982</v>
      </c>
      <c r="BR55" s="48">
        <v>0.14552459211178656</v>
      </c>
      <c r="BS55" s="48">
        <v>0.11748653587009789</v>
      </c>
      <c r="BT55" s="48">
        <v>9.3862727479598645E-2</v>
      </c>
      <c r="BU55" s="48">
        <v>8.9709185691522239E-2</v>
      </c>
      <c r="BV55" s="48">
        <v>5.3879706027931712E-2</v>
      </c>
      <c r="BW55" s="48">
        <v>4.8464358937072419E-2</v>
      </c>
      <c r="BX55" s="48">
        <v>9.0152040378401049E-2</v>
      </c>
    </row>
    <row r="56" spans="1:76" ht="15" customHeight="1">
      <c r="B56" s="14" t="s">
        <v>15</v>
      </c>
      <c r="C56" s="37">
        <v>9.9000000000000005E-2</v>
      </c>
      <c r="D56" s="37">
        <v>1.89E-2</v>
      </c>
      <c r="E56" s="37">
        <v>2.98E-2</v>
      </c>
      <c r="F56" s="37">
        <v>2.87E-2</v>
      </c>
      <c r="G56" s="37">
        <v>8.3000000000000001E-3</v>
      </c>
      <c r="H56" s="37">
        <v>2E-3</v>
      </c>
      <c r="I56" s="37">
        <v>3.5000000000000003E-2</v>
      </c>
      <c r="J56" s="37">
        <v>0.04</v>
      </c>
      <c r="K56" s="37">
        <v>5.7000000000000002E-2</v>
      </c>
      <c r="L56" s="37">
        <v>5.0999999999999997E-2</v>
      </c>
      <c r="M56" s="37">
        <v>1.7999999999999999E-2</v>
      </c>
      <c r="N56" s="37">
        <v>1.7000000000000001E-2</v>
      </c>
      <c r="O56" s="37">
        <v>1.7999999999999999E-2</v>
      </c>
      <c r="P56" s="37">
        <v>2.5000000000000001E-2</v>
      </c>
      <c r="Q56" s="37">
        <v>0.01</v>
      </c>
      <c r="R56" s="37">
        <v>8.0000000000000002E-3</v>
      </c>
      <c r="S56" s="37">
        <v>0.01</v>
      </c>
      <c r="T56" s="37">
        <v>3.1E-2</v>
      </c>
      <c r="U56" s="37">
        <v>0.01</v>
      </c>
      <c r="V56" s="37">
        <v>1.4E-2</v>
      </c>
      <c r="W56" s="37">
        <v>2.1999999999999999E-2</v>
      </c>
      <c r="X56" s="37">
        <v>3.1E-2</v>
      </c>
      <c r="Y56" s="37">
        <v>1.2E-2</v>
      </c>
      <c r="Z56" s="37">
        <v>3.0380037830442672E-2</v>
      </c>
      <c r="AA56" s="37">
        <v>3.2804094717047497E-2</v>
      </c>
      <c r="AB56" s="37">
        <v>4.4770025001351355E-2</v>
      </c>
      <c r="AC56" s="37">
        <v>7.1567625418199235E-2</v>
      </c>
      <c r="AD56" s="37">
        <v>5.7395104227437009E-2</v>
      </c>
      <c r="AE56" s="37">
        <v>7.7999999999999958E-2</v>
      </c>
      <c r="AF56" s="37">
        <v>7.7994020128770311E-2</v>
      </c>
      <c r="AG56" s="37">
        <v>8.0999999999999961E-2</v>
      </c>
      <c r="AH56" s="37">
        <v>7.3408406329491388E-2</v>
      </c>
      <c r="AI56" s="37">
        <v>7.3408406329491388E-2</v>
      </c>
      <c r="AJ56" s="37">
        <v>0.10872837403974535</v>
      </c>
      <c r="AK56" s="37">
        <v>0.104</v>
      </c>
      <c r="AL56" s="37">
        <v>9.4600000000000004E-2</v>
      </c>
      <c r="AM56" s="55">
        <v>0.104</v>
      </c>
      <c r="AN56" s="55">
        <v>0.1</v>
      </c>
      <c r="AO56" s="55">
        <v>8.4000000000000005E-2</v>
      </c>
      <c r="AP56" s="55">
        <v>7.8576018400992029E-2</v>
      </c>
      <c r="AQ56" s="55">
        <v>6.5000000000000002E-2</v>
      </c>
      <c r="AR56" s="55">
        <v>5.3764232714344579E-2</v>
      </c>
      <c r="AS56" s="55">
        <v>4.937470417408886E-2</v>
      </c>
      <c r="AT56" s="55">
        <v>5.0169100283137057E-2</v>
      </c>
      <c r="AU56" s="55">
        <v>5.9557214418061284E-2</v>
      </c>
      <c r="AV56" s="55">
        <v>5.9387942504258225E-2</v>
      </c>
      <c r="AW56" s="55">
        <v>5.1813610023515463E-2</v>
      </c>
      <c r="AX56" s="55">
        <v>5.1861958420646934E-2</v>
      </c>
      <c r="AY56" s="48">
        <v>4.8121178759300845E-2</v>
      </c>
      <c r="AZ56" s="55">
        <v>6.7773604469657564E-2</v>
      </c>
      <c r="BA56" s="55">
        <v>6.6714658222133738E-2</v>
      </c>
      <c r="BB56" s="55">
        <v>6.3218127304275076E-2</v>
      </c>
      <c r="BC56" s="48">
        <v>7.8665457439970901E-2</v>
      </c>
      <c r="BD56" s="48">
        <v>9.0420310597348161E-2</v>
      </c>
      <c r="BE56" s="48">
        <v>8.0220837430828487E-2</v>
      </c>
      <c r="BF56" s="48">
        <v>7.531199283494748E-2</v>
      </c>
      <c r="BG56" s="48">
        <v>7.7346446340209513E-2</v>
      </c>
      <c r="BH56" s="48">
        <v>8.0777616621664744E-2</v>
      </c>
      <c r="BI56" s="48">
        <v>7.7862760312538221E-2</v>
      </c>
      <c r="BJ56" s="48">
        <v>5.5474109948572652E-2</v>
      </c>
      <c r="BK56" s="48">
        <v>5.5835603780564104E-2</v>
      </c>
      <c r="BL56" s="48">
        <v>6.4847688667212688E-2</v>
      </c>
      <c r="BM56" s="48">
        <v>5.7569795415734891E-2</v>
      </c>
      <c r="BN56" s="48">
        <v>5.2380854598694571E-2</v>
      </c>
      <c r="BO56" s="48">
        <v>5.8686552577581305E-2</v>
      </c>
      <c r="BP56" s="48">
        <v>4.279983165187546E-2</v>
      </c>
      <c r="BQ56" s="48">
        <v>5.0341880175580216E-2</v>
      </c>
      <c r="BR56" s="48">
        <v>4.7775401293174445E-2</v>
      </c>
      <c r="BS56" s="48">
        <v>5.0457199692729181E-2</v>
      </c>
      <c r="BT56" s="48">
        <v>4.8396023688951718E-2</v>
      </c>
      <c r="BU56" s="48">
        <v>4.7304231562131469E-2</v>
      </c>
      <c r="BV56" s="48">
        <v>3.489578307003368E-2</v>
      </c>
      <c r="BW56" s="48">
        <v>3.3014271433173516E-2</v>
      </c>
      <c r="BX56" s="48">
        <v>4.3151857977681687E-2</v>
      </c>
    </row>
    <row r="57" spans="1:76" ht="15" customHeight="1">
      <c r="B57" s="14" t="str">
        <f>IF('Sumário | Summary'!P1=1,"Galpões Logísticos","Distribution Centers")</f>
        <v>Galpões Logísticos</v>
      </c>
      <c r="C57" s="37">
        <v>0.04</v>
      </c>
      <c r="D57" s="37">
        <v>3.1E-2</v>
      </c>
      <c r="E57" s="37">
        <v>0</v>
      </c>
      <c r="F57" s="37">
        <v>0</v>
      </c>
      <c r="G57" s="37">
        <v>0</v>
      </c>
      <c r="H57" s="37">
        <v>0.39700000000000002</v>
      </c>
      <c r="I57" s="37">
        <v>0</v>
      </c>
      <c r="J57" s="37">
        <v>0</v>
      </c>
      <c r="K57" s="37">
        <v>0</v>
      </c>
      <c r="L57" s="37">
        <v>0</v>
      </c>
      <c r="M57" s="37">
        <v>0</v>
      </c>
      <c r="N57" s="37">
        <v>0</v>
      </c>
      <c r="O57" s="37">
        <v>0</v>
      </c>
      <c r="P57" s="37">
        <v>0</v>
      </c>
      <c r="Q57" s="37">
        <v>0</v>
      </c>
      <c r="R57" s="37">
        <v>0</v>
      </c>
      <c r="S57" s="37">
        <v>0</v>
      </c>
      <c r="T57" s="37">
        <v>0</v>
      </c>
      <c r="U57" s="37">
        <v>0</v>
      </c>
      <c r="V57" s="37">
        <v>0</v>
      </c>
      <c r="W57" s="37">
        <v>0</v>
      </c>
      <c r="X57" s="37">
        <v>0.151</v>
      </c>
      <c r="Y57" s="37">
        <v>0.15</v>
      </c>
      <c r="Z57" s="37">
        <v>0.29549848602541712</v>
      </c>
      <c r="AA57" s="37">
        <v>6.2945305183021785E-2</v>
      </c>
      <c r="AB57" s="37">
        <v>8.9841839016168254E-2</v>
      </c>
      <c r="AC57" s="37">
        <v>0.15043041387086348</v>
      </c>
      <c r="AD57" s="37">
        <v>0.1332527481648286</v>
      </c>
      <c r="AE57" s="37">
        <v>0.15000000000000002</v>
      </c>
      <c r="AF57" s="37">
        <v>0.16836384577139876</v>
      </c>
      <c r="AG57" s="37">
        <v>0.17299999999999993</v>
      </c>
      <c r="AH57" s="37">
        <v>0.16707708831653156</v>
      </c>
      <c r="AI57" s="37">
        <v>0.20143357046440213</v>
      </c>
      <c r="AJ57" s="37">
        <v>0.16586871997988495</v>
      </c>
      <c r="AK57" s="37">
        <v>0.153</v>
      </c>
      <c r="AL57" s="37">
        <v>0.16520000000000001</v>
      </c>
      <c r="AM57" s="55">
        <v>0.33100000000000002</v>
      </c>
      <c r="AN57" s="55">
        <v>0.316</v>
      </c>
      <c r="AO57" s="55">
        <v>1</v>
      </c>
      <c r="AP57" s="55">
        <v>1</v>
      </c>
      <c r="AQ57" s="55">
        <v>1</v>
      </c>
      <c r="AR57" s="48" t="s">
        <v>18</v>
      </c>
      <c r="AS57" s="48" t="s">
        <v>18</v>
      </c>
      <c r="AT57" s="48" t="s">
        <v>18</v>
      </c>
      <c r="AU57" s="48" t="s">
        <v>18</v>
      </c>
      <c r="AV57" s="48" t="s">
        <v>18</v>
      </c>
      <c r="AW57" s="48" t="s">
        <v>18</v>
      </c>
      <c r="AX57" s="48" t="s">
        <v>18</v>
      </c>
      <c r="AY57" s="48" t="s">
        <v>18</v>
      </c>
      <c r="AZ57" s="48" t="s">
        <v>18</v>
      </c>
      <c r="BA57" s="48" t="s">
        <v>18</v>
      </c>
      <c r="BB57" s="48" t="s">
        <v>18</v>
      </c>
      <c r="BC57" s="48" t="s">
        <v>18</v>
      </c>
      <c r="BD57" s="48" t="s">
        <v>18</v>
      </c>
      <c r="BE57" s="48" t="s">
        <v>18</v>
      </c>
      <c r="BF57" s="48" t="s">
        <v>18</v>
      </c>
      <c r="BG57" s="48" t="s">
        <v>18</v>
      </c>
      <c r="BH57" s="48" t="s">
        <v>18</v>
      </c>
      <c r="BI57" s="48" t="s">
        <v>18</v>
      </c>
      <c r="BJ57" s="48" t="s">
        <v>18</v>
      </c>
      <c r="BK57" s="48" t="s">
        <v>18</v>
      </c>
      <c r="BL57" s="48" t="s">
        <v>18</v>
      </c>
      <c r="BM57" s="48" t="s">
        <v>18</v>
      </c>
      <c r="BN57" s="48">
        <v>0.50211295666435507</v>
      </c>
      <c r="BO57" s="48">
        <v>0.50211295666435518</v>
      </c>
      <c r="BP57" s="48">
        <v>0.33573776266111899</v>
      </c>
      <c r="BQ57" s="48">
        <v>0.28028596902552588</v>
      </c>
      <c r="BR57" s="48">
        <v>0.16637519400323619</v>
      </c>
      <c r="BS57" s="48">
        <v>0</v>
      </c>
      <c r="BT57" s="48">
        <v>-1.3488175805575539E-7</v>
      </c>
      <c r="BU57" s="48">
        <v>-1.3488175805575539E-7</v>
      </c>
      <c r="BV57" s="48">
        <v>0</v>
      </c>
      <c r="BW57" s="48">
        <v>0</v>
      </c>
      <c r="BX57" s="48">
        <v>0</v>
      </c>
    </row>
    <row r="58" spans="1:76" ht="15" customHeight="1">
      <c r="B58" s="14" t="str">
        <f>IF('Sumário | Summary'!P1=1,"Outros","Others")</f>
        <v>Outros</v>
      </c>
      <c r="C58" s="48">
        <v>0</v>
      </c>
      <c r="D58" s="48">
        <v>0</v>
      </c>
      <c r="E58" s="48">
        <v>0</v>
      </c>
      <c r="F58" s="48">
        <v>0</v>
      </c>
      <c r="G58" s="48">
        <v>3.3E-3</v>
      </c>
      <c r="H58" s="48">
        <v>2.1000000000000001E-2</v>
      </c>
      <c r="I58" s="48">
        <v>0.05</v>
      </c>
      <c r="J58" s="48">
        <v>2.7E-2</v>
      </c>
      <c r="K58" s="48">
        <v>6.0000000000000001E-3</v>
      </c>
      <c r="L58" s="48">
        <v>5.0000000000000001E-3</v>
      </c>
      <c r="M58" s="48">
        <v>6.0000000000000001E-3</v>
      </c>
      <c r="N58" s="48">
        <v>3.0000000000000001E-3</v>
      </c>
      <c r="O58" s="48">
        <v>3.0000000000000001E-3</v>
      </c>
      <c r="P58" s="48">
        <v>4.0000000000000001E-3</v>
      </c>
      <c r="Q58" s="48">
        <v>3.0000000000000001E-3</v>
      </c>
      <c r="R58" s="48">
        <v>3.0000000000000001E-3</v>
      </c>
      <c r="S58" s="48">
        <v>2E-3</v>
      </c>
      <c r="T58" s="48">
        <v>2E-3</v>
      </c>
      <c r="U58" s="48">
        <v>0</v>
      </c>
      <c r="V58" s="48">
        <v>0</v>
      </c>
      <c r="W58" s="48">
        <v>9.8000000000000004E-2</v>
      </c>
      <c r="X58" s="48">
        <v>9.9000000000000005E-2</v>
      </c>
      <c r="Y58" s="48">
        <v>9.7000000000000003E-2</v>
      </c>
      <c r="Z58" s="48">
        <v>9.3030303533778322E-2</v>
      </c>
      <c r="AA58" s="48">
        <v>3.7327179618950372E-2</v>
      </c>
      <c r="AB58" s="48">
        <v>3.6201564872351322E-2</v>
      </c>
      <c r="AC58" s="48">
        <v>3.6223979405570442E-2</v>
      </c>
      <c r="AD58" s="48">
        <v>3.6223979405570442E-2</v>
      </c>
      <c r="AE58" s="48">
        <v>3.6000000000000032E-2</v>
      </c>
      <c r="AF58" s="48">
        <v>3.926218708827401E-2</v>
      </c>
      <c r="AG58" s="48">
        <v>3.5000000000000031E-2</v>
      </c>
      <c r="AH58" s="48">
        <v>3.518072289156636E-2</v>
      </c>
      <c r="AI58" s="48">
        <v>3.5180722891566416E-2</v>
      </c>
      <c r="AJ58" s="48">
        <v>2.9000000000000001E-2</v>
      </c>
      <c r="AK58" s="48">
        <v>2.9000000000000001E-2</v>
      </c>
      <c r="AL58" s="48">
        <v>3.8300000000000001E-2</v>
      </c>
      <c r="AM58" s="48">
        <v>2.1785307877101978E-2</v>
      </c>
      <c r="AN58" s="48">
        <v>4.3352836794398268E-2</v>
      </c>
      <c r="AO58" s="48">
        <v>4.806157106046785E-2</v>
      </c>
      <c r="AP58" s="48">
        <v>4.487881549173553E-2</v>
      </c>
      <c r="AQ58" s="48">
        <v>7.974526049810142E-2</v>
      </c>
      <c r="AR58" s="48">
        <v>7.8109294728612458E-2</v>
      </c>
      <c r="AS58" s="48">
        <v>7.5182442902613292E-2</v>
      </c>
      <c r="AT58" s="48">
        <v>7.0470861486486222E-2</v>
      </c>
      <c r="AU58" s="48">
        <v>7.047086148648643E-2</v>
      </c>
      <c r="AV58" s="48">
        <v>9.3418008013178205E-2</v>
      </c>
      <c r="AW58" s="48">
        <v>0.12455864816915314</v>
      </c>
      <c r="AX58" s="48">
        <v>0.12966756827501955</v>
      </c>
      <c r="AY58" s="48">
        <v>0.12966756827501963</v>
      </c>
      <c r="AZ58" s="48">
        <v>0.12966756827501968</v>
      </c>
      <c r="BA58" s="48">
        <v>0.43280022103946719</v>
      </c>
      <c r="BB58" s="48">
        <v>0.5758029404065963</v>
      </c>
      <c r="BC58" s="48">
        <v>0.58325074309385516</v>
      </c>
      <c r="BD58" s="48">
        <v>0.96266945904081314</v>
      </c>
      <c r="BE58" s="48">
        <v>0.96266945904081314</v>
      </c>
      <c r="BF58" s="48">
        <v>0.96266945904081314</v>
      </c>
      <c r="BG58" s="48">
        <v>0.96266945904081314</v>
      </c>
      <c r="BH58" s="48">
        <v>0.96266945904081314</v>
      </c>
      <c r="BI58" s="48">
        <v>0.98238644897189331</v>
      </c>
      <c r="BJ58" s="48">
        <v>0.98238644897189309</v>
      </c>
      <c r="BK58" s="48">
        <v>0.98238644897189331</v>
      </c>
      <c r="BL58" s="48">
        <v>0.98860000000000003</v>
      </c>
      <c r="BM58" s="48">
        <v>0.9885999999999997</v>
      </c>
      <c r="BN58" s="48">
        <v>0.98859999999999992</v>
      </c>
      <c r="BO58" s="48">
        <v>0.9885999999999997</v>
      </c>
      <c r="BP58" s="48">
        <v>0.98856107490967804</v>
      </c>
      <c r="BQ58" s="48">
        <v>0.98856107490967848</v>
      </c>
      <c r="BR58" s="48">
        <v>1</v>
      </c>
      <c r="BS58" s="48">
        <v>1</v>
      </c>
      <c r="BT58" s="48">
        <v>1</v>
      </c>
      <c r="BU58" s="48">
        <v>1</v>
      </c>
      <c r="BV58" s="48">
        <v>1</v>
      </c>
      <c r="BW58" s="48">
        <v>1</v>
      </c>
      <c r="BX58" s="48">
        <v>1</v>
      </c>
    </row>
    <row r="59" spans="1:76" s="15" customFormat="1" ht="15" customHeight="1">
      <c r="B59" s="29" t="s">
        <v>14</v>
      </c>
      <c r="C59" s="49">
        <v>3.3000000000000002E-2</v>
      </c>
      <c r="D59" s="49">
        <v>1.0999999999999999E-2</v>
      </c>
      <c r="E59" s="49">
        <v>8.9999999999999993E-3</v>
      </c>
      <c r="F59" s="49">
        <v>8.9999999999999993E-3</v>
      </c>
      <c r="G59" s="49">
        <v>0.04</v>
      </c>
      <c r="H59" s="49">
        <v>5.6887442899865269E-2</v>
      </c>
      <c r="I59" s="49">
        <v>3.4799360085321959E-2</v>
      </c>
      <c r="J59" s="49">
        <v>1.3621119091751621E-2</v>
      </c>
      <c r="K59" s="49">
        <v>1.6426753941181895E-2</v>
      </c>
      <c r="L59" s="49">
        <v>2.4499985881688547E-2</v>
      </c>
      <c r="M59" s="49">
        <v>8.0829033076727837E-3</v>
      </c>
      <c r="N59" s="49">
        <v>8.1162838656458642E-3</v>
      </c>
      <c r="O59" s="49">
        <v>5.8674003050773584E-3</v>
      </c>
      <c r="P59" s="49">
        <v>7.4525668759563134E-3</v>
      </c>
      <c r="Q59" s="49">
        <v>2.7714173009095971E-3</v>
      </c>
      <c r="R59" s="49">
        <v>7.4962337475411407E-3</v>
      </c>
      <c r="S59" s="49">
        <v>7.818447812739833E-3</v>
      </c>
      <c r="T59" s="49">
        <v>8.6448598298910408E-3</v>
      </c>
      <c r="U59" s="49">
        <v>2.9738078663418027E-3</v>
      </c>
      <c r="V59" s="49">
        <v>4.8023402848647641E-3</v>
      </c>
      <c r="W59" s="49">
        <v>2.2029676773455378E-2</v>
      </c>
      <c r="X59" s="49">
        <v>4.3999999999999997E-2</v>
      </c>
      <c r="Y59" s="49">
        <v>5.2338990954675299E-2</v>
      </c>
      <c r="Z59" s="49">
        <v>8.4729841765155384E-2</v>
      </c>
      <c r="AA59" s="49">
        <v>6.3783101309832405E-2</v>
      </c>
      <c r="AB59" s="49">
        <v>6.7642755783008532E-2</v>
      </c>
      <c r="AC59" s="49">
        <v>0.12345631615362464</v>
      </c>
      <c r="AD59" s="49">
        <v>0.14399999999999999</v>
      </c>
      <c r="AE59" s="49">
        <v>0.14900000000000002</v>
      </c>
      <c r="AF59" s="49">
        <v>0.10962996869773252</v>
      </c>
      <c r="AG59" s="49">
        <v>0.12</v>
      </c>
      <c r="AH59" s="49">
        <v>0.10708237748953849</v>
      </c>
      <c r="AI59" s="49">
        <v>0.1070629496473845</v>
      </c>
      <c r="AJ59" s="49">
        <v>0.10589141060042324</v>
      </c>
      <c r="AK59" s="49">
        <v>0.10627355593903637</v>
      </c>
      <c r="AL59" s="49">
        <v>9.8199999999999996E-2</v>
      </c>
      <c r="AM59" s="49">
        <v>0.1457</v>
      </c>
      <c r="AN59" s="49">
        <v>0.15509999999999999</v>
      </c>
      <c r="AO59" s="49">
        <v>0.11509999999999999</v>
      </c>
      <c r="AP59" s="49">
        <v>9.7806617743399854E-2</v>
      </c>
      <c r="AQ59" s="49">
        <v>9.4600000000000004E-2</v>
      </c>
      <c r="AR59" s="49">
        <v>8.2971818578736034E-2</v>
      </c>
      <c r="AS59" s="49">
        <v>7.6908749785324138E-2</v>
      </c>
      <c r="AT59" s="49">
        <v>5.867463843475923E-2</v>
      </c>
      <c r="AU59" s="49">
        <v>7.4678497896488422E-2</v>
      </c>
      <c r="AV59" s="49">
        <v>9.113973196733241E-2</v>
      </c>
      <c r="AW59" s="49">
        <v>7.0553490923832271E-2</v>
      </c>
      <c r="AX59" s="49">
        <v>6.3403974018751863E-2</v>
      </c>
      <c r="AY59" s="49">
        <v>6.1372155087087904E-2</v>
      </c>
      <c r="AZ59" s="49">
        <v>7.8170834010701767E-2</v>
      </c>
      <c r="BA59" s="49">
        <v>9.5091578384082498E-2</v>
      </c>
      <c r="BB59" s="49">
        <v>0.10520829620625814</v>
      </c>
      <c r="BC59" s="49">
        <v>0.10542270230536592</v>
      </c>
      <c r="BD59" s="49">
        <v>0.11076484569584766</v>
      </c>
      <c r="BE59" s="49">
        <v>0.10461325154247379</v>
      </c>
      <c r="BF59" s="49">
        <v>0.12537670376539994</v>
      </c>
      <c r="BG59" s="49">
        <v>0.13912522158764795</v>
      </c>
      <c r="BH59" s="49">
        <v>0.13473468293294733</v>
      </c>
      <c r="BI59" s="49">
        <v>0.13679038081655001</v>
      </c>
      <c r="BJ59" s="49">
        <v>0.10637038757345973</v>
      </c>
      <c r="BK59" s="49">
        <v>0.12093476263907457</v>
      </c>
      <c r="BL59" s="49">
        <v>0.12853273728862902</v>
      </c>
      <c r="BM59" s="49">
        <v>0.12770396809740306</v>
      </c>
      <c r="BN59" s="49">
        <v>0.11486265893403103</v>
      </c>
      <c r="BO59" s="49">
        <v>0.13185840533449691</v>
      </c>
      <c r="BP59" s="49">
        <v>0.19906237331603735</v>
      </c>
      <c r="BQ59" s="49">
        <v>0.20523003962985728</v>
      </c>
      <c r="BR59" s="49">
        <v>0.17827543020574879</v>
      </c>
      <c r="BS59" s="49">
        <v>0.18219175875330396</v>
      </c>
      <c r="BT59" s="49">
        <v>0.17250635873238121</v>
      </c>
      <c r="BU59" s="49">
        <v>0.17545268998345692</v>
      </c>
      <c r="BV59" s="49">
        <v>0.14372143807862159</v>
      </c>
      <c r="BW59" s="49">
        <v>0.15329463757104034</v>
      </c>
      <c r="BX59" s="49">
        <v>0.17074735298857974</v>
      </c>
    </row>
    <row r="60" spans="1:76" s="15" customFormat="1" ht="15" customHeight="1">
      <c r="B60" s="29" t="s">
        <v>285</v>
      </c>
      <c r="C60" s="49">
        <v>3.3000000000000002E-2</v>
      </c>
      <c r="D60" s="49">
        <v>1.0999999999999999E-2</v>
      </c>
      <c r="E60" s="49">
        <v>8.9999999999999993E-3</v>
      </c>
      <c r="F60" s="49">
        <v>8.9999999999999993E-3</v>
      </c>
      <c r="G60" s="49">
        <v>0.04</v>
      </c>
      <c r="H60" s="49">
        <v>5.6887442899865269E-2</v>
      </c>
      <c r="I60" s="49">
        <v>3.4799360085321959E-2</v>
      </c>
      <c r="J60" s="49">
        <v>1.3621119091751621E-2</v>
      </c>
      <c r="K60" s="49">
        <v>1.6426753941181895E-2</v>
      </c>
      <c r="L60" s="49">
        <v>2.4499985881688547E-2</v>
      </c>
      <c r="M60" s="49">
        <v>8.0829033076727837E-3</v>
      </c>
      <c r="N60" s="49">
        <v>8.1162838656458642E-3</v>
      </c>
      <c r="O60" s="49">
        <v>5.8674003050773584E-3</v>
      </c>
      <c r="P60" s="49">
        <v>7.4525668759563134E-3</v>
      </c>
      <c r="Q60" s="49">
        <v>2.7714173009095971E-3</v>
      </c>
      <c r="R60" s="49">
        <v>7.4962337475411407E-3</v>
      </c>
      <c r="S60" s="49">
        <v>7.818447812739833E-3</v>
      </c>
      <c r="T60" s="49">
        <v>8.6448598298910408E-3</v>
      </c>
      <c r="U60" s="49">
        <v>2.9738078663418027E-3</v>
      </c>
      <c r="V60" s="49">
        <v>4.8023402848647641E-3</v>
      </c>
      <c r="W60" s="49">
        <v>1.6600252534634454E-2</v>
      </c>
      <c r="X60" s="49">
        <v>3.9885756245490359E-2</v>
      </c>
      <c r="Y60" s="49">
        <v>4.8803801952031475E-2</v>
      </c>
      <c r="Z60" s="49">
        <v>8.386591096381836E-2</v>
      </c>
      <c r="AA60" s="49">
        <v>6.5133479633694785E-2</v>
      </c>
      <c r="AB60" s="49">
        <v>6.9243873028251038E-2</v>
      </c>
      <c r="AC60" s="49">
        <v>0.12771274720072101</v>
      </c>
      <c r="AD60" s="49">
        <v>0.15030872091544861</v>
      </c>
      <c r="AE60" s="49">
        <v>0.15615441033824182</v>
      </c>
      <c r="AF60" s="49">
        <v>0.11410674185639372</v>
      </c>
      <c r="AG60" s="49">
        <v>0.1257996101236491</v>
      </c>
      <c r="AH60" s="49">
        <v>0.11163122866856739</v>
      </c>
      <c r="AI60" s="49">
        <v>0.11198682852358714</v>
      </c>
      <c r="AJ60" s="49">
        <v>0.11127233457930009</v>
      </c>
      <c r="AK60" s="49">
        <v>0.11173854988395839</v>
      </c>
      <c r="AL60" s="49">
        <v>0.10243962271346779</v>
      </c>
      <c r="AM60" s="49">
        <v>0.15722135987406816</v>
      </c>
      <c r="AN60" s="49">
        <v>0.15857293789146329</v>
      </c>
      <c r="AO60" s="49">
        <v>0.11803940278138289</v>
      </c>
      <c r="AP60" s="49">
        <v>9.9695740437529629E-2</v>
      </c>
      <c r="AQ60" s="49">
        <v>9.5120402704191434E-2</v>
      </c>
      <c r="AR60" s="49">
        <v>8.314928049813794E-2</v>
      </c>
      <c r="AS60" s="49">
        <v>7.697365403657562E-2</v>
      </c>
      <c r="AT60" s="49">
        <v>5.8352234929378681E-2</v>
      </c>
      <c r="AU60" s="49">
        <v>7.4839102145235342E-2</v>
      </c>
      <c r="AV60" s="49">
        <v>9.1056591095609485E-2</v>
      </c>
      <c r="AW60" s="49">
        <v>6.8467991938877718E-2</v>
      </c>
      <c r="AX60" s="49">
        <v>6.1670132987568925E-2</v>
      </c>
      <c r="AY60" s="49">
        <v>5.8752097429955179E-2</v>
      </c>
      <c r="AZ60" s="49">
        <v>7.6180504895904291E-2</v>
      </c>
      <c r="BA60" s="49">
        <v>7.7726261741522279E-2</v>
      </c>
      <c r="BB60" s="49">
        <v>9.236078804034456E-2</v>
      </c>
      <c r="BC60" s="49">
        <v>9.6383840329251416E-2</v>
      </c>
      <c r="BD60" s="49">
        <v>9.4253989982000685E-2</v>
      </c>
      <c r="BE60" s="49">
        <v>7.6578166584432686E-2</v>
      </c>
      <c r="BF60" s="49">
        <v>8.7401368221023193E-2</v>
      </c>
      <c r="BG60" s="49">
        <v>9.5180399953705003E-2</v>
      </c>
      <c r="BH60" s="49">
        <v>9.2611634293672862E-2</v>
      </c>
      <c r="BI60" s="49">
        <v>9.0191426264421587E-2</v>
      </c>
      <c r="BJ60" s="49">
        <v>6.8399456153339033E-2</v>
      </c>
      <c r="BK60" s="49">
        <v>7.3404809786297764E-2</v>
      </c>
      <c r="BL60" s="49">
        <v>7.9398805316459806E-2</v>
      </c>
      <c r="BM60" s="49">
        <v>7.7610373560373647E-2</v>
      </c>
      <c r="BN60" s="49">
        <v>7.2583141755905467E-2</v>
      </c>
      <c r="BO60" s="49">
        <v>8.0849367323412122E-2</v>
      </c>
      <c r="BP60" s="49">
        <v>9.75726701224605E-2</v>
      </c>
      <c r="BQ60" s="49">
        <v>0.10286524525704861</v>
      </c>
      <c r="BR60" s="49">
        <v>8.5750950390731565E-2</v>
      </c>
      <c r="BS60" s="49">
        <v>7.5427605311723989E-2</v>
      </c>
      <c r="BT60" s="49">
        <v>6.2805851215580563E-2</v>
      </c>
      <c r="BU60" s="49">
        <v>6.0457982609871265E-2</v>
      </c>
      <c r="BV60" s="49">
        <v>3.7580492332245176E-2</v>
      </c>
      <c r="BW60" s="49">
        <v>3.4638518003844335E-2</v>
      </c>
      <c r="BX60" s="49">
        <v>5.4540708808482968E-2</v>
      </c>
    </row>
    <row r="62" spans="1:76">
      <c r="BA62" s="202"/>
    </row>
    <row r="63" spans="1:76">
      <c r="BA63" s="202"/>
    </row>
    <row r="64" spans="1:76">
      <c r="BA64" s="202"/>
    </row>
  </sheetData>
  <phoneticPr fontId="158" type="noConversion"/>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9"/>
  <dimension ref="A1:J28"/>
  <sheetViews>
    <sheetView showGridLines="0" showRowColHeaders="0" topLeftCell="B1" zoomScale="80" zoomScaleNormal="80" workbookViewId="0">
      <selection activeCell="B1" sqref="B1"/>
    </sheetView>
  </sheetViews>
  <sheetFormatPr defaultRowHeight="14.4"/>
  <cols>
    <col min="1" max="1" width="24.77734375" hidden="1" customWidth="1"/>
    <col min="2" max="2" width="41.88671875" customWidth="1"/>
    <col min="3" max="3" width="22.109375" style="104" customWidth="1"/>
    <col min="4" max="4" width="31.33203125" style="104" bestFit="1" customWidth="1"/>
  </cols>
  <sheetData>
    <row r="1" spans="2:4">
      <c r="D1" s="108" t="s">
        <v>42</v>
      </c>
    </row>
    <row r="2" spans="2:4">
      <c r="D2" s="108" t="s">
        <v>41</v>
      </c>
    </row>
    <row r="3" spans="2:4">
      <c r="D3" s="109">
        <v>1</v>
      </c>
    </row>
    <row r="4" spans="2:4" ht="6.75" customHeight="1">
      <c r="B4" s="12"/>
      <c r="C4" s="105"/>
      <c r="D4" s="105"/>
    </row>
    <row r="5" spans="2:4" s="7" customFormat="1" ht="36.75" customHeight="1">
      <c r="B5" s="133" t="str">
        <f>IF('Sumário | Summary'!P1=1,"Consolidação no IFRS","Consolidation in IFRS")</f>
        <v>Consolidação no IFRS</v>
      </c>
      <c r="C5" s="134" t="str">
        <f>IF('Sumário | Summary'!P1=1,"Consolida 100%", "Assets that are 100% consolidated")</f>
        <v>Consolida 100%</v>
      </c>
      <c r="D5" s="134" t="str">
        <f>IF('Sumário | Summary'!P1=1,"Não consolida (participação de minoritários)","Assets that are not consolidated (Minority Shareholders Interests)")</f>
        <v>Não consolida (participação de minoritários)</v>
      </c>
    </row>
    <row r="6" spans="2:4" ht="15" customHeight="1">
      <c r="B6" s="23" t="s">
        <v>28</v>
      </c>
      <c r="C6" s="103" t="s">
        <v>40</v>
      </c>
      <c r="D6" s="106"/>
    </row>
    <row r="7" spans="2:4" ht="15" customHeight="1">
      <c r="B7" s="38" t="s">
        <v>48</v>
      </c>
      <c r="C7" s="107" t="s">
        <v>40</v>
      </c>
      <c r="D7" s="107"/>
    </row>
    <row r="8" spans="2:4" ht="15" customHeight="1">
      <c r="B8" s="38" t="s">
        <v>49</v>
      </c>
      <c r="C8" s="107" t="s">
        <v>40</v>
      </c>
      <c r="D8" s="107"/>
    </row>
    <row r="9" spans="2:4" ht="15" customHeight="1">
      <c r="B9" s="19" t="s">
        <v>6</v>
      </c>
      <c r="C9" s="103" t="s">
        <v>40</v>
      </c>
      <c r="D9" s="106"/>
    </row>
    <row r="10" spans="2:4" ht="15" customHeight="1">
      <c r="B10" s="19" t="s">
        <v>7</v>
      </c>
      <c r="C10" s="103" t="s">
        <v>40</v>
      </c>
      <c r="D10" s="106"/>
    </row>
    <row r="11" spans="2:4" ht="15" customHeight="1">
      <c r="B11" s="38" t="s">
        <v>25</v>
      </c>
      <c r="C11" s="103" t="s">
        <v>40</v>
      </c>
      <c r="D11" s="103"/>
    </row>
    <row r="12" spans="2:4" ht="15" customHeight="1">
      <c r="B12" s="19" t="s">
        <v>9</v>
      </c>
      <c r="C12" s="103"/>
      <c r="D12" s="103" t="s">
        <v>305</v>
      </c>
    </row>
    <row r="13" spans="2:4" ht="15" customHeight="1">
      <c r="B13" s="19" t="s">
        <v>11</v>
      </c>
      <c r="C13" s="103" t="s">
        <v>40</v>
      </c>
      <c r="D13" s="106"/>
    </row>
    <row r="14" spans="2:4" ht="15" customHeight="1">
      <c r="B14" s="38" t="s">
        <v>45</v>
      </c>
      <c r="C14" s="107" t="s">
        <v>40</v>
      </c>
      <c r="D14" s="107"/>
    </row>
    <row r="15" spans="2:4" ht="15" customHeight="1">
      <c r="B15" s="19" t="s">
        <v>12</v>
      </c>
      <c r="C15" s="103" t="s">
        <v>40</v>
      </c>
      <c r="D15" s="106"/>
    </row>
    <row r="16" spans="2:4" ht="15" customHeight="1">
      <c r="B16" s="23" t="s">
        <v>301</v>
      </c>
      <c r="C16" s="103"/>
      <c r="D16" s="103" t="s">
        <v>304</v>
      </c>
    </row>
    <row r="17" spans="1:10" ht="15" customHeight="1">
      <c r="B17" s="19" t="s">
        <v>16</v>
      </c>
      <c r="C17" s="103" t="s">
        <v>40</v>
      </c>
      <c r="D17" s="106"/>
      <c r="J17" s="211"/>
    </row>
    <row r="18" spans="1:10" ht="15" customHeight="1">
      <c r="B18" s="19" t="s">
        <v>17</v>
      </c>
      <c r="C18" s="103" t="s">
        <v>40</v>
      </c>
      <c r="D18" s="106"/>
    </row>
    <row r="19" spans="1:10" ht="15" customHeight="1">
      <c r="B19" s="19" t="s">
        <v>20</v>
      </c>
      <c r="C19" s="103" t="s">
        <v>40</v>
      </c>
      <c r="D19" s="106"/>
    </row>
    <row r="20" spans="1:10" ht="30.6">
      <c r="A20" t="s">
        <v>302</v>
      </c>
      <c r="B20" s="231" t="str">
        <f>IF('Sumário | Summary'!P1=1,A20,A21)</f>
        <v>¹ Após a cisão parcial do Fundo de Investimento Imobiliário Grand Plaza Shopping, em dezembro de 2022, a SYN passou a deter 100% de um novo fundo, o Fundo de Investimento Imobiliário Grand Plaza II, que possui 61,41% do imóvel. Portanto, a partir de Janeiro/2023, a consolidação do FII Grand Plaza II representa apenas a parcela do imóvel detida pelo novo FII.</v>
      </c>
      <c r="C20" s="230"/>
      <c r="D20" s="230"/>
    </row>
    <row r="21" spans="1:10">
      <c r="A21" t="s">
        <v>303</v>
      </c>
      <c r="B21" s="210"/>
      <c r="C21"/>
      <c r="D21"/>
    </row>
    <row r="22" spans="1:10">
      <c r="B22" s="210"/>
      <c r="C22" s="209"/>
      <c r="D22" s="209"/>
    </row>
    <row r="23" spans="1:10">
      <c r="B23" s="210"/>
      <c r="C23" s="210"/>
      <c r="D23" s="210"/>
    </row>
    <row r="24" spans="1:10">
      <c r="C24"/>
      <c r="D24"/>
    </row>
    <row r="25" spans="1:10">
      <c r="C25"/>
      <c r="D25"/>
    </row>
    <row r="26" spans="1:10">
      <c r="C26"/>
      <c r="D26"/>
    </row>
    <row r="27" spans="1:10">
      <c r="C27"/>
      <c r="D27"/>
    </row>
    <row r="28" spans="1:10">
      <c r="C28"/>
      <c r="D28"/>
    </row>
  </sheetData>
  <pageMargins left="0.25" right="0.25" top="0.75" bottom="0.75" header="0.3" footer="0.3"/>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Sumário | Summary</vt:lpstr>
      <vt:lpstr>DRE - IFRS</vt:lpstr>
      <vt:lpstr>DRE - Proforma</vt:lpstr>
      <vt:lpstr>Indicadores</vt:lpstr>
      <vt:lpstr>Balanço IFRS</vt:lpstr>
      <vt:lpstr>Balanço Proforma</vt:lpstr>
      <vt:lpstr>Portfólio</vt:lpstr>
      <vt:lpstr>Vacância</vt:lpstr>
      <vt:lpstr>Consolidação IFRS</vt:lpstr>
      <vt:lpstr>'Balanço IFRS'!Area_de_impressao</vt:lpstr>
      <vt:lpstr>'Consolidação IFRS'!Area_de_impressao</vt:lpstr>
      <vt:lpstr>'DRE - IFRS'!Area_de_impressao</vt:lpstr>
      <vt:lpstr>Indicadores!Area_de_impressao</vt:lpstr>
      <vt:lpstr>Portfólio!Area_de_impressao</vt:lpstr>
      <vt:lpstr>'Sumário | Summary'!Area_de_impressao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Fundamentos Interativos</dc:title>
  <dc:creator>Filipe Novi David</dc:creator>
  <cp:lastModifiedBy>Erik Portugal Lundberg</cp:lastModifiedBy>
  <cp:lastPrinted>2013-03-12T14:28:41Z</cp:lastPrinted>
  <dcterms:created xsi:type="dcterms:W3CDTF">2010-05-21T20:26:20Z</dcterms:created>
  <dcterms:modified xsi:type="dcterms:W3CDTF">2026-08-13T22:11:40Z</dcterms:modified>
</cp:coreProperties>
</file>