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N:\Diretoria Adm. Financeira\RI\28. Resultados\2025\2T25\Fundamentos\"/>
    </mc:Choice>
  </mc:AlternateContent>
  <xr:revisionPtr revIDLastSave="0" documentId="13_ncr:1_{FDC69650-9CCF-48CC-900F-9930746BD85D}" xr6:coauthVersionLast="47" xr6:coauthVersionMax="47" xr10:uidLastSave="{00000000-0000-0000-0000-000000000000}"/>
  <bookViews>
    <workbookView xWindow="-108" yWindow="-108" windowWidth="23256" windowHeight="12456" tabRatio="901" xr2:uid="{77BEFF82-650F-4D30-9825-6928B9181B48}"/>
  </bookViews>
  <sheets>
    <sheet name="Sumário | Summary" sheetId="1" r:id="rId1"/>
    <sheet name="DRE - IFRS" sheetId="2" r:id="rId2"/>
    <sheet name="DRE - Proforma" sheetId="3" r:id="rId3"/>
    <sheet name="Indicadores" sheetId="4" r:id="rId4"/>
    <sheet name="Balanço IFRS" sheetId="5" r:id="rId5"/>
    <sheet name="Balanço Proforma" sheetId="6" r:id="rId6"/>
    <sheet name="Porfólio" sheetId="7" r:id="rId7"/>
    <sheet name="Vacância" sheetId="8" r:id="rId8"/>
    <sheet name="Consolidação IFRS" sheetId="9" r:id="rId9"/>
  </sheets>
  <definedNames>
    <definedName name="_xlnm.Print_Area" localSheetId="4">'Balanço IFRS'!$B$1:$X$60</definedName>
    <definedName name="_xlnm.Print_Area" localSheetId="8">'Consolidação IFRS'!$B$1:$B$19</definedName>
    <definedName name="_xlnm.Print_Area" localSheetId="1">'DRE - IFRS'!$B$1:$B$42</definedName>
    <definedName name="_xlnm.Print_Area" localSheetId="3">Indicadores!$B$1:$B$63</definedName>
    <definedName name="_xlnm.Print_Area" localSheetId="6">Porfólio!$B$1:$X$100</definedName>
    <definedName name="_xlnm.Print_Area" localSheetId="0">'Sumário | Summary'!$A$1:$I$20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9" l="1"/>
  <c r="D5" i="9"/>
  <c r="C5" i="9"/>
  <c r="B5" i="9"/>
  <c r="B58" i="8"/>
  <c r="B57" i="8"/>
  <c r="B55" i="8"/>
  <c r="BT54" i="8"/>
  <c r="BO54" i="8"/>
  <c r="BM54" i="8"/>
  <c r="BL54" i="8"/>
  <c r="BK54" i="8"/>
  <c r="BJ54" i="8"/>
  <c r="BI54" i="8"/>
  <c r="BH54" i="8"/>
  <c r="BG54" i="8"/>
  <c r="BF54" i="8"/>
  <c r="BE54" i="8"/>
  <c r="BD54" i="8"/>
  <c r="BC54" i="8"/>
  <c r="BB54" i="8"/>
  <c r="BA54" i="8"/>
  <c r="AZ54" i="8"/>
  <c r="AY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R54" i="8"/>
  <c r="Q54" i="8"/>
  <c r="P54" i="8"/>
  <c r="O54" i="8"/>
  <c r="N54" i="8"/>
  <c r="M54" i="8"/>
  <c r="L54" i="8"/>
  <c r="K54" i="8"/>
  <c r="J54" i="8"/>
  <c r="I54" i="8"/>
  <c r="H54" i="8"/>
  <c r="G54" i="8"/>
  <c r="F54" i="8"/>
  <c r="E54" i="8"/>
  <c r="D54" i="8"/>
  <c r="C54" i="8"/>
  <c r="B54" i="8"/>
  <c r="BT49" i="8"/>
  <c r="BO49" i="8"/>
  <c r="B49" i="8"/>
  <c r="BT37" i="8"/>
  <c r="B37" i="8"/>
  <c r="B19" i="8"/>
  <c r="B7" i="8"/>
  <c r="B6" i="8"/>
  <c r="B5" i="8"/>
  <c r="BH196" i="7"/>
  <c r="AK196" i="7"/>
  <c r="BO194" i="7"/>
  <c r="BN194" i="7"/>
  <c r="BM194" i="7"/>
  <c r="BL194" i="7"/>
  <c r="BK194" i="7"/>
  <c r="BK146" i="7" s="1"/>
  <c r="BJ194" i="7"/>
  <c r="BI194" i="7"/>
  <c r="BH194" i="7"/>
  <c r="BG194" i="7"/>
  <c r="BF194" i="7"/>
  <c r="BE194" i="7"/>
  <c r="BD194" i="7"/>
  <c r="BC194" i="7"/>
  <c r="BC146" i="7" s="1"/>
  <c r="BB194" i="7"/>
  <c r="BA194" i="7"/>
  <c r="AZ194" i="7"/>
  <c r="AY194" i="7"/>
  <c r="AX194" i="7"/>
  <c r="AW194" i="7"/>
  <c r="AV194" i="7"/>
  <c r="AU194" i="7"/>
  <c r="AU146" i="7" s="1"/>
  <c r="AT194" i="7"/>
  <c r="AS194" i="7"/>
  <c r="AR194" i="7"/>
  <c r="AQ194" i="7"/>
  <c r="AP194" i="7"/>
  <c r="AO194" i="7"/>
  <c r="AN194" i="7"/>
  <c r="AM194" i="7"/>
  <c r="AM146" i="7" s="1"/>
  <c r="AL194" i="7"/>
  <c r="AK194" i="7"/>
  <c r="AJ194" i="7"/>
  <c r="AI194" i="7"/>
  <c r="AH194" i="7"/>
  <c r="AG194" i="7"/>
  <c r="AF194" i="7"/>
  <c r="AE194" i="7"/>
  <c r="AE146" i="7" s="1"/>
  <c r="AD194" i="7"/>
  <c r="AC194" i="7"/>
  <c r="AB194" i="7"/>
  <c r="AA194" i="7"/>
  <c r="Z194" i="7"/>
  <c r="Y194" i="7"/>
  <c r="X194" i="7"/>
  <c r="W194" i="7"/>
  <c r="W146" i="7" s="1"/>
  <c r="V194" i="7"/>
  <c r="U194" i="7"/>
  <c r="T194" i="7"/>
  <c r="S194" i="7"/>
  <c r="R194" i="7"/>
  <c r="Q194" i="7"/>
  <c r="P194" i="7"/>
  <c r="O194" i="7"/>
  <c r="O146" i="7" s="1"/>
  <c r="N194" i="7"/>
  <c r="M194" i="7"/>
  <c r="L194" i="7"/>
  <c r="K194" i="7"/>
  <c r="J194" i="7"/>
  <c r="I194" i="7"/>
  <c r="H194" i="7"/>
  <c r="G194" i="7"/>
  <c r="G146" i="7" s="1"/>
  <c r="F194" i="7"/>
  <c r="E194" i="7"/>
  <c r="D194" i="7"/>
  <c r="C194" i="7"/>
  <c r="B194" i="7"/>
  <c r="BT138" i="7"/>
  <c r="BO182" i="7"/>
  <c r="BN182" i="7"/>
  <c r="BM182" i="7"/>
  <c r="BL182" i="7"/>
  <c r="BK182" i="7"/>
  <c r="BJ182" i="7"/>
  <c r="BI182" i="7"/>
  <c r="BH182" i="7"/>
  <c r="BG182" i="7"/>
  <c r="BF182" i="7"/>
  <c r="BE182" i="7"/>
  <c r="BD182" i="7"/>
  <c r="BC182" i="7"/>
  <c r="BB182" i="7"/>
  <c r="BA182" i="7"/>
  <c r="AZ182" i="7"/>
  <c r="AY182" i="7"/>
  <c r="AX182" i="7"/>
  <c r="AW182" i="7"/>
  <c r="AV182" i="7"/>
  <c r="AU182" i="7"/>
  <c r="AT182" i="7"/>
  <c r="AS182" i="7"/>
  <c r="AR182" i="7"/>
  <c r="AQ182" i="7"/>
  <c r="AP182" i="7"/>
  <c r="AO182" i="7"/>
  <c r="AN182" i="7"/>
  <c r="AM182" i="7"/>
  <c r="AL182" i="7"/>
  <c r="AK182" i="7"/>
  <c r="AJ182" i="7"/>
  <c r="AI182" i="7"/>
  <c r="AH182" i="7"/>
  <c r="AG182" i="7"/>
  <c r="AF182" i="7"/>
  <c r="AE182" i="7"/>
  <c r="AD182" i="7"/>
  <c r="AC182" i="7"/>
  <c r="AB182" i="7"/>
  <c r="AA182"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BO173" i="7"/>
  <c r="BN173" i="7"/>
  <c r="BM173" i="7"/>
  <c r="BL173" i="7"/>
  <c r="BK173" i="7"/>
  <c r="BJ173" i="7"/>
  <c r="BI173" i="7"/>
  <c r="BH173" i="7"/>
  <c r="BG173" i="7"/>
  <c r="BF173" i="7"/>
  <c r="BE173" i="7"/>
  <c r="BD173" i="7"/>
  <c r="BC173" i="7"/>
  <c r="BB173" i="7"/>
  <c r="BA173" i="7"/>
  <c r="AZ173" i="7"/>
  <c r="AY173" i="7"/>
  <c r="AX173" i="7"/>
  <c r="AW173" i="7"/>
  <c r="AV173" i="7"/>
  <c r="AU173" i="7"/>
  <c r="AT173" i="7"/>
  <c r="AS173" i="7"/>
  <c r="AR173" i="7"/>
  <c r="AQ173" i="7"/>
  <c r="AP173" i="7"/>
  <c r="AO173" i="7"/>
  <c r="AN173" i="7"/>
  <c r="AM173" i="7"/>
  <c r="AL173" i="7"/>
  <c r="AK173" i="7"/>
  <c r="AJ173" i="7"/>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D173" i="7"/>
  <c r="C173" i="7"/>
  <c r="BO164" i="7"/>
  <c r="BO151" i="7" s="1"/>
  <c r="BN164" i="7"/>
  <c r="BM164" i="7"/>
  <c r="BL164" i="7"/>
  <c r="BK164" i="7"/>
  <c r="BJ164" i="7"/>
  <c r="BI164" i="7"/>
  <c r="BH164" i="7"/>
  <c r="BG164" i="7"/>
  <c r="BF164" i="7"/>
  <c r="BE164" i="7"/>
  <c r="BD164" i="7"/>
  <c r="BC164" i="7"/>
  <c r="BB164" i="7"/>
  <c r="BA164" i="7"/>
  <c r="AZ164" i="7"/>
  <c r="AY164" i="7"/>
  <c r="AX164" i="7"/>
  <c r="AW164" i="7"/>
  <c r="AV164" i="7"/>
  <c r="AU164" i="7"/>
  <c r="AT164" i="7"/>
  <c r="AS164" i="7"/>
  <c r="AR164" i="7"/>
  <c r="AQ164" i="7"/>
  <c r="AQ151" i="7" s="1"/>
  <c r="AQ196" i="7" s="1"/>
  <c r="AP164" i="7"/>
  <c r="AO164" i="7"/>
  <c r="AN164" i="7"/>
  <c r="AM164" i="7"/>
  <c r="AL164" i="7"/>
  <c r="AK164" i="7"/>
  <c r="AJ164" i="7"/>
  <c r="AI164" i="7"/>
  <c r="AH164" i="7"/>
  <c r="AG164" i="7"/>
  <c r="AF164" i="7"/>
  <c r="AE164" i="7"/>
  <c r="AD164" i="7"/>
  <c r="AC164" i="7"/>
  <c r="AB164" i="7"/>
  <c r="AA164" i="7"/>
  <c r="Z164" i="7"/>
  <c r="Y164" i="7"/>
  <c r="X164" i="7"/>
  <c r="X151" i="7" s="1"/>
  <c r="X196" i="7" s="1"/>
  <c r="W164" i="7"/>
  <c r="V164" i="7"/>
  <c r="U164" i="7"/>
  <c r="T164" i="7"/>
  <c r="S164" i="7"/>
  <c r="R164" i="7"/>
  <c r="Q164" i="7"/>
  <c r="P164" i="7"/>
  <c r="O164" i="7"/>
  <c r="N164" i="7"/>
  <c r="M164" i="7"/>
  <c r="L164" i="7"/>
  <c r="K164" i="7"/>
  <c r="K151" i="7" s="1"/>
  <c r="J164" i="7"/>
  <c r="I164" i="7"/>
  <c r="H164" i="7"/>
  <c r="G164" i="7"/>
  <c r="F164" i="7"/>
  <c r="E164" i="7"/>
  <c r="D164" i="7"/>
  <c r="C164" i="7"/>
  <c r="C151" i="7" s="1"/>
  <c r="B164" i="7"/>
  <c r="BO152" i="7"/>
  <c r="BN152" i="7"/>
  <c r="BM152" i="7"/>
  <c r="BL152" i="7"/>
  <c r="BK152" i="7"/>
  <c r="BJ152" i="7"/>
  <c r="BJ151" i="7" s="1"/>
  <c r="BJ196" i="7" s="1"/>
  <c r="BI152" i="7"/>
  <c r="BI151" i="7" s="1"/>
  <c r="BI196" i="7" s="1"/>
  <c r="BH152" i="7"/>
  <c r="BG152" i="7"/>
  <c r="BF152" i="7"/>
  <c r="BE152" i="7"/>
  <c r="BE151" i="7" s="1"/>
  <c r="BD152" i="7"/>
  <c r="BC152" i="7"/>
  <c r="BB152" i="7"/>
  <c r="BB151" i="7" s="1"/>
  <c r="BB196" i="7" s="1"/>
  <c r="BA152" i="7"/>
  <c r="AZ152" i="7"/>
  <c r="AZ151" i="7" s="1"/>
  <c r="AY152" i="7"/>
  <c r="AX152" i="7"/>
  <c r="AW152" i="7"/>
  <c r="AV152" i="7"/>
  <c r="AU152" i="7"/>
  <c r="AT152" i="7"/>
  <c r="AS152" i="7"/>
  <c r="AR152" i="7"/>
  <c r="AQ152" i="7"/>
  <c r="AP152" i="7"/>
  <c r="AP151" i="7" s="1"/>
  <c r="AO152" i="7"/>
  <c r="AN152" i="7"/>
  <c r="AM152" i="7"/>
  <c r="AL152" i="7"/>
  <c r="AK152" i="7"/>
  <c r="AJ152" i="7"/>
  <c r="AJ151" i="7" s="1"/>
  <c r="AI152" i="7"/>
  <c r="AH152" i="7"/>
  <c r="AG152" i="7"/>
  <c r="AG151" i="7" s="1"/>
  <c r="AF152" i="7"/>
  <c r="AE152" i="7"/>
  <c r="AD152" i="7"/>
  <c r="AD151" i="7" s="1"/>
  <c r="AD196" i="7" s="1"/>
  <c r="AC152" i="7"/>
  <c r="AB152" i="7"/>
  <c r="AA152" i="7"/>
  <c r="Z152" i="7"/>
  <c r="Y152" i="7"/>
  <c r="X152" i="7"/>
  <c r="W152" i="7"/>
  <c r="V152" i="7"/>
  <c r="V151" i="7" s="1"/>
  <c r="U152" i="7"/>
  <c r="U151" i="7" s="1"/>
  <c r="U196" i="7" s="1"/>
  <c r="T152" i="7"/>
  <c r="S152" i="7"/>
  <c r="R152" i="7"/>
  <c r="Q152" i="7"/>
  <c r="P152" i="7"/>
  <c r="O152" i="7"/>
  <c r="N152" i="7"/>
  <c r="M152" i="7"/>
  <c r="M151" i="7" s="1"/>
  <c r="L152" i="7"/>
  <c r="L151" i="7" s="1"/>
  <c r="K152" i="7"/>
  <c r="J152" i="7"/>
  <c r="I152" i="7"/>
  <c r="H152" i="7"/>
  <c r="G152" i="7"/>
  <c r="F152" i="7"/>
  <c r="F151" i="7" s="1"/>
  <c r="F196" i="7" s="1"/>
  <c r="E152" i="7"/>
  <c r="D152" i="7"/>
  <c r="D151" i="7" s="1"/>
  <c r="C152" i="7"/>
  <c r="B152" i="7"/>
  <c r="BM151" i="7"/>
  <c r="BM196" i="7" s="1"/>
  <c r="BL151" i="7"/>
  <c r="BL196" i="7" s="1"/>
  <c r="BK151" i="7"/>
  <c r="BH151" i="7"/>
  <c r="BD151" i="7"/>
  <c r="BD196" i="7" s="1"/>
  <c r="BC151" i="7"/>
  <c r="BA151" i="7"/>
  <c r="BA196" i="7" s="1"/>
  <c r="AY151" i="7"/>
  <c r="AW151" i="7"/>
  <c r="AU151" i="7"/>
  <c r="AU196" i="7" s="1"/>
  <c r="AU148" i="7" s="1"/>
  <c r="AT151" i="7"/>
  <c r="AT196" i="7" s="1"/>
  <c r="AS151" i="7"/>
  <c r="AS196" i="7" s="1"/>
  <c r="AR151" i="7"/>
  <c r="AO151" i="7"/>
  <c r="AO196" i="7" s="1"/>
  <c r="AM151" i="7"/>
  <c r="AL151" i="7"/>
  <c r="AK151" i="7"/>
  <c r="AF151" i="7"/>
  <c r="AF196" i="7" s="1"/>
  <c r="AE151" i="7"/>
  <c r="AC151" i="7"/>
  <c r="AC196" i="7" s="1"/>
  <c r="AB151" i="7"/>
  <c r="AB196" i="7" s="1"/>
  <c r="Y151" i="7"/>
  <c r="W151" i="7"/>
  <c r="T151" i="7"/>
  <c r="S151" i="7"/>
  <c r="S196" i="7" s="1"/>
  <c r="Q151" i="7"/>
  <c r="P151" i="7"/>
  <c r="P196" i="7" s="1"/>
  <c r="O151" i="7"/>
  <c r="N151" i="7"/>
  <c r="N196" i="7" s="1"/>
  <c r="I151" i="7"/>
  <c r="I196" i="7" s="1"/>
  <c r="G151" i="7"/>
  <c r="E151" i="7"/>
  <c r="E196" i="7" s="1"/>
  <c r="B151" i="7"/>
  <c r="BT150" i="7"/>
  <c r="BM150" i="7"/>
  <c r="BL150" i="7"/>
  <c r="BK150" i="7"/>
  <c r="BJ150" i="7"/>
  <c r="BI150" i="7"/>
  <c r="BH150" i="7"/>
  <c r="BG150" i="7"/>
  <c r="BF150" i="7"/>
  <c r="BE150" i="7"/>
  <c r="BD150" i="7"/>
  <c r="BC150" i="7"/>
  <c r="BB150" i="7"/>
  <c r="BA150" i="7"/>
  <c r="AZ150" i="7"/>
  <c r="AY150" i="7"/>
  <c r="AX150" i="7"/>
  <c r="AW150" i="7"/>
  <c r="AV150" i="7"/>
  <c r="AU150" i="7"/>
  <c r="AT150" i="7"/>
  <c r="AS150" i="7"/>
  <c r="AR150" i="7"/>
  <c r="AQ150" i="7"/>
  <c r="AP150" i="7"/>
  <c r="AO150"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P150" i="7"/>
  <c r="O150" i="7"/>
  <c r="N150" i="7"/>
  <c r="M150" i="7"/>
  <c r="L150" i="7"/>
  <c r="K150" i="7"/>
  <c r="J150" i="7"/>
  <c r="I150" i="7"/>
  <c r="H150" i="7"/>
  <c r="G150" i="7"/>
  <c r="F150" i="7"/>
  <c r="E150" i="7"/>
  <c r="D150" i="7"/>
  <c r="C150" i="7"/>
  <c r="B150" i="7"/>
  <c r="BO147" i="7"/>
  <c r="BN147" i="7"/>
  <c r="BM147" i="7"/>
  <c r="BL147" i="7"/>
  <c r="BK147" i="7"/>
  <c r="BJ147" i="7"/>
  <c r="BI147" i="7"/>
  <c r="BH147" i="7"/>
  <c r="BG147" i="7"/>
  <c r="BF147" i="7"/>
  <c r="BE147" i="7"/>
  <c r="BD147" i="7"/>
  <c r="BC147" i="7"/>
  <c r="BB147" i="7"/>
  <c r="BA147" i="7"/>
  <c r="AZ147" i="7"/>
  <c r="AY147" i="7"/>
  <c r="AX147" i="7"/>
  <c r="AW147" i="7"/>
  <c r="AV147" i="7"/>
  <c r="AU147" i="7"/>
  <c r="AT147" i="7"/>
  <c r="AS147" i="7"/>
  <c r="AR147" i="7"/>
  <c r="AQ147" i="7"/>
  <c r="AP147" i="7"/>
  <c r="AO147" i="7"/>
  <c r="AN147" i="7"/>
  <c r="AM147" i="7"/>
  <c r="AL147" i="7"/>
  <c r="AK147" i="7"/>
  <c r="AJ147" i="7"/>
  <c r="AI147" i="7"/>
  <c r="AH147" i="7"/>
  <c r="AG147" i="7"/>
  <c r="AF147" i="7"/>
  <c r="AE147" i="7"/>
  <c r="AD147" i="7"/>
  <c r="AC147" i="7"/>
  <c r="AB147" i="7"/>
  <c r="AA147" i="7"/>
  <c r="Z147" i="7"/>
  <c r="Y147" i="7"/>
  <c r="X147" i="7"/>
  <c r="W147" i="7"/>
  <c r="V147" i="7"/>
  <c r="U147" i="7"/>
  <c r="T147" i="7"/>
  <c r="S147" i="7"/>
  <c r="R147" i="7"/>
  <c r="Q147" i="7"/>
  <c r="P147" i="7"/>
  <c r="O147" i="7"/>
  <c r="N147" i="7"/>
  <c r="M147" i="7"/>
  <c r="L147" i="7"/>
  <c r="K147" i="7"/>
  <c r="J147" i="7"/>
  <c r="I147" i="7"/>
  <c r="H147" i="7"/>
  <c r="G147" i="7"/>
  <c r="F147" i="7"/>
  <c r="E147" i="7"/>
  <c r="D147" i="7"/>
  <c r="C147" i="7"/>
  <c r="B146" i="7"/>
  <c r="BO145" i="7"/>
  <c r="BN145" i="7"/>
  <c r="BM145" i="7"/>
  <c r="BL145" i="7"/>
  <c r="BK145" i="7"/>
  <c r="BJ145" i="7"/>
  <c r="BI145" i="7"/>
  <c r="BH145" i="7"/>
  <c r="BG145" i="7"/>
  <c r="BF145" i="7"/>
  <c r="BE145" i="7"/>
  <c r="BD145" i="7"/>
  <c r="BC145" i="7"/>
  <c r="BB145" i="7"/>
  <c r="BA145" i="7"/>
  <c r="AZ145" i="7"/>
  <c r="AY145" i="7"/>
  <c r="AX145" i="7"/>
  <c r="AW145" i="7"/>
  <c r="AV145" i="7"/>
  <c r="AU145" i="7"/>
  <c r="AT145" i="7"/>
  <c r="AS145" i="7"/>
  <c r="AR145" i="7"/>
  <c r="AQ145" i="7"/>
  <c r="AP145" i="7"/>
  <c r="AO145" i="7"/>
  <c r="AN145" i="7"/>
  <c r="AM145" i="7"/>
  <c r="AL145" i="7"/>
  <c r="AK145" i="7"/>
  <c r="AJ145" i="7"/>
  <c r="AI145" i="7"/>
  <c r="AH145" i="7"/>
  <c r="AG145" i="7"/>
  <c r="AF145" i="7"/>
  <c r="AE145" i="7"/>
  <c r="AD145" i="7"/>
  <c r="AC145" i="7"/>
  <c r="AB145" i="7"/>
  <c r="AA145" i="7"/>
  <c r="Z145" i="7"/>
  <c r="Y145" i="7"/>
  <c r="X145" i="7"/>
  <c r="W145" i="7"/>
  <c r="V145" i="7"/>
  <c r="U145" i="7"/>
  <c r="T145" i="7"/>
  <c r="S145" i="7"/>
  <c r="R145" i="7"/>
  <c r="Q145" i="7"/>
  <c r="P145" i="7"/>
  <c r="O145" i="7"/>
  <c r="N145" i="7"/>
  <c r="M145" i="7"/>
  <c r="L145" i="7"/>
  <c r="K145" i="7"/>
  <c r="J145" i="7"/>
  <c r="I145" i="7"/>
  <c r="H145" i="7"/>
  <c r="G145" i="7"/>
  <c r="F145" i="7"/>
  <c r="E145" i="7"/>
  <c r="D145" i="7"/>
  <c r="C145" i="7"/>
  <c r="BO144" i="7"/>
  <c r="BN144" i="7"/>
  <c r="BM144" i="7"/>
  <c r="BL144" i="7"/>
  <c r="BK144" i="7"/>
  <c r="BJ144" i="7"/>
  <c r="BI144" i="7"/>
  <c r="BH144" i="7"/>
  <c r="BG144" i="7"/>
  <c r="BF144" i="7"/>
  <c r="BE144" i="7"/>
  <c r="BD144" i="7"/>
  <c r="BC144" i="7"/>
  <c r="BB144" i="7"/>
  <c r="BA144" i="7"/>
  <c r="AZ144" i="7"/>
  <c r="AY144" i="7"/>
  <c r="AX144" i="7"/>
  <c r="AW144" i="7"/>
  <c r="AV144" i="7"/>
  <c r="AU144" i="7"/>
  <c r="AT144" i="7"/>
  <c r="AS144" i="7"/>
  <c r="AR144" i="7"/>
  <c r="AQ144" i="7"/>
  <c r="AP144" i="7"/>
  <c r="AO144" i="7"/>
  <c r="AN144" i="7"/>
  <c r="AM144" i="7"/>
  <c r="AL144" i="7"/>
  <c r="AK144" i="7"/>
  <c r="AJ144" i="7"/>
  <c r="AI144" i="7"/>
  <c r="AH144" i="7"/>
  <c r="AG144" i="7"/>
  <c r="AF144" i="7"/>
  <c r="AE144" i="7"/>
  <c r="AD144" i="7"/>
  <c r="AC144" i="7"/>
  <c r="AB144" i="7"/>
  <c r="AA144" i="7"/>
  <c r="Z144" i="7"/>
  <c r="Y144" i="7"/>
  <c r="X144" i="7"/>
  <c r="W144" i="7"/>
  <c r="V144" i="7"/>
  <c r="U144" i="7"/>
  <c r="T144" i="7"/>
  <c r="S144" i="7"/>
  <c r="R144" i="7"/>
  <c r="Q144" i="7"/>
  <c r="P144" i="7"/>
  <c r="O144" i="7"/>
  <c r="N144" i="7"/>
  <c r="M144" i="7"/>
  <c r="L144" i="7"/>
  <c r="K144" i="7"/>
  <c r="J144" i="7"/>
  <c r="I144" i="7"/>
  <c r="H144" i="7"/>
  <c r="G144" i="7"/>
  <c r="F144" i="7"/>
  <c r="E144" i="7"/>
  <c r="D144" i="7"/>
  <c r="C144" i="7"/>
  <c r="BO143" i="7"/>
  <c r="BN143" i="7"/>
  <c r="BM143" i="7"/>
  <c r="BL143" i="7"/>
  <c r="BK143" i="7"/>
  <c r="BJ143" i="7"/>
  <c r="BI143" i="7"/>
  <c r="BH143" i="7"/>
  <c r="BG143" i="7"/>
  <c r="BF143" i="7"/>
  <c r="BE143" i="7"/>
  <c r="BD143" i="7"/>
  <c r="BC143" i="7"/>
  <c r="BB143" i="7"/>
  <c r="BA143" i="7"/>
  <c r="AZ143" i="7"/>
  <c r="AY143" i="7"/>
  <c r="AX143" i="7"/>
  <c r="AW143" i="7"/>
  <c r="AV143" i="7"/>
  <c r="AU143" i="7"/>
  <c r="AT143" i="7"/>
  <c r="AS143" i="7"/>
  <c r="AR143" i="7"/>
  <c r="AQ143" i="7"/>
  <c r="AP143" i="7"/>
  <c r="AO143" i="7"/>
  <c r="AN143" i="7"/>
  <c r="AM143" i="7"/>
  <c r="AL143" i="7"/>
  <c r="AK143" i="7"/>
  <c r="AJ143" i="7"/>
  <c r="AI143" i="7"/>
  <c r="AH143" i="7"/>
  <c r="AG143" i="7"/>
  <c r="AF143" i="7"/>
  <c r="AE143" i="7"/>
  <c r="AD143" i="7"/>
  <c r="AC143" i="7"/>
  <c r="AB143" i="7"/>
  <c r="AA143" i="7"/>
  <c r="Z143" i="7"/>
  <c r="Y143" i="7"/>
  <c r="X143" i="7"/>
  <c r="W143" i="7"/>
  <c r="V143" i="7"/>
  <c r="U143" i="7"/>
  <c r="T143" i="7"/>
  <c r="S143" i="7"/>
  <c r="R143" i="7"/>
  <c r="Q143" i="7"/>
  <c r="P143" i="7"/>
  <c r="O143" i="7"/>
  <c r="N143" i="7"/>
  <c r="M143" i="7"/>
  <c r="L143" i="7"/>
  <c r="K143" i="7"/>
  <c r="J143" i="7"/>
  <c r="I143" i="7"/>
  <c r="H143" i="7"/>
  <c r="G143" i="7"/>
  <c r="F143" i="7"/>
  <c r="E143" i="7"/>
  <c r="D143" i="7"/>
  <c r="C143" i="7"/>
  <c r="BO142" i="7"/>
  <c r="BN142" i="7"/>
  <c r="BM142" i="7"/>
  <c r="BL142" i="7"/>
  <c r="BK142" i="7"/>
  <c r="BJ142" i="7"/>
  <c r="BI142" i="7"/>
  <c r="BH142" i="7"/>
  <c r="BG142" i="7"/>
  <c r="BF142" i="7"/>
  <c r="BE142" i="7"/>
  <c r="BD142" i="7"/>
  <c r="BC142" i="7"/>
  <c r="BB142" i="7"/>
  <c r="BA142" i="7"/>
  <c r="AZ142" i="7"/>
  <c r="AY142" i="7"/>
  <c r="AX142" i="7"/>
  <c r="AW142" i="7"/>
  <c r="AV142" i="7"/>
  <c r="AU142" i="7"/>
  <c r="AT142" i="7"/>
  <c r="AS142" i="7"/>
  <c r="AR142" i="7"/>
  <c r="AQ142" i="7"/>
  <c r="AP142" i="7"/>
  <c r="AO142" i="7"/>
  <c r="AN142" i="7"/>
  <c r="AM142" i="7"/>
  <c r="AL142" i="7"/>
  <c r="AK142" i="7"/>
  <c r="AJ142" i="7"/>
  <c r="AI142" i="7"/>
  <c r="AH142" i="7"/>
  <c r="AG142" i="7"/>
  <c r="AF142" i="7"/>
  <c r="AE142" i="7"/>
  <c r="AD142" i="7"/>
  <c r="AC142"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O141" i="7"/>
  <c r="BN141" i="7"/>
  <c r="BM141" i="7"/>
  <c r="BL141" i="7"/>
  <c r="BK141" i="7"/>
  <c r="BJ141" i="7"/>
  <c r="BI141" i="7"/>
  <c r="BH141" i="7"/>
  <c r="BG141" i="7"/>
  <c r="BF141" i="7"/>
  <c r="BE141" i="7"/>
  <c r="BD141" i="7"/>
  <c r="BC141" i="7"/>
  <c r="BB141" i="7"/>
  <c r="BA141" i="7"/>
  <c r="AZ141" i="7"/>
  <c r="AY141" i="7"/>
  <c r="AX141" i="7"/>
  <c r="AW141" i="7"/>
  <c r="AV141" i="7"/>
  <c r="AU141" i="7"/>
  <c r="AT141" i="7"/>
  <c r="AS141" i="7"/>
  <c r="AR141" i="7"/>
  <c r="AQ141" i="7"/>
  <c r="AP141" i="7"/>
  <c r="AO141" i="7"/>
  <c r="AN141" i="7"/>
  <c r="AM141" i="7"/>
  <c r="AL141" i="7"/>
  <c r="AK141" i="7"/>
  <c r="AJ141" i="7"/>
  <c r="AI141" i="7"/>
  <c r="AH141" i="7"/>
  <c r="AG141" i="7"/>
  <c r="AF141" i="7"/>
  <c r="AE141" i="7"/>
  <c r="AD141" i="7"/>
  <c r="AC141" i="7"/>
  <c r="AB141" i="7"/>
  <c r="AA141" i="7"/>
  <c r="Z141" i="7"/>
  <c r="Y141" i="7"/>
  <c r="X141" i="7"/>
  <c r="W141" i="7"/>
  <c r="V141" i="7"/>
  <c r="U141" i="7"/>
  <c r="T141" i="7"/>
  <c r="S141" i="7"/>
  <c r="R141" i="7"/>
  <c r="Q141" i="7"/>
  <c r="P141" i="7"/>
  <c r="O141" i="7"/>
  <c r="N141" i="7"/>
  <c r="M141" i="7"/>
  <c r="L141" i="7"/>
  <c r="K141" i="7"/>
  <c r="J141" i="7"/>
  <c r="I141" i="7"/>
  <c r="H141" i="7"/>
  <c r="G141" i="7"/>
  <c r="F141" i="7"/>
  <c r="E141" i="7"/>
  <c r="D141" i="7"/>
  <c r="C141" i="7"/>
  <c r="BO140" i="7"/>
  <c r="BN140" i="7"/>
  <c r="BM140" i="7"/>
  <c r="BL140" i="7"/>
  <c r="BK140" i="7"/>
  <c r="BJ140" i="7"/>
  <c r="BI140" i="7"/>
  <c r="BH140" i="7"/>
  <c r="BG140" i="7"/>
  <c r="BF140" i="7"/>
  <c r="BE140" i="7"/>
  <c r="BD140" i="7"/>
  <c r="BC140" i="7"/>
  <c r="BB140" i="7"/>
  <c r="BA140" i="7"/>
  <c r="AZ140" i="7"/>
  <c r="AY140"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O139" i="7"/>
  <c r="BN139" i="7"/>
  <c r="BM139" i="7"/>
  <c r="BL139" i="7"/>
  <c r="BK139" i="7"/>
  <c r="BJ139" i="7"/>
  <c r="BI139" i="7"/>
  <c r="BH139" i="7"/>
  <c r="BG139" i="7"/>
  <c r="BF139" i="7"/>
  <c r="BE139" i="7"/>
  <c r="BD139" i="7"/>
  <c r="BC139" i="7"/>
  <c r="BB139" i="7"/>
  <c r="BA139" i="7"/>
  <c r="AZ139" i="7"/>
  <c r="AY139" i="7"/>
  <c r="AX139" i="7"/>
  <c r="AW139" i="7"/>
  <c r="AV139" i="7"/>
  <c r="AU139" i="7"/>
  <c r="AT139" i="7"/>
  <c r="AS139" i="7"/>
  <c r="AR139" i="7"/>
  <c r="AQ139" i="7"/>
  <c r="AP139" i="7"/>
  <c r="AO139" i="7"/>
  <c r="AN139" i="7"/>
  <c r="AM139" i="7"/>
  <c r="AL139" i="7"/>
  <c r="AK139" i="7"/>
  <c r="AJ139" i="7"/>
  <c r="AI139" i="7"/>
  <c r="AH139" i="7"/>
  <c r="AG139" i="7"/>
  <c r="AF139" i="7"/>
  <c r="AE139" i="7"/>
  <c r="AD139" i="7"/>
  <c r="AC139" i="7"/>
  <c r="AB139" i="7"/>
  <c r="AA139" i="7"/>
  <c r="Z139" i="7"/>
  <c r="Y139" i="7"/>
  <c r="X139" i="7"/>
  <c r="W139" i="7"/>
  <c r="V139" i="7"/>
  <c r="U139" i="7"/>
  <c r="T139" i="7"/>
  <c r="S139" i="7"/>
  <c r="R139" i="7"/>
  <c r="Q139" i="7"/>
  <c r="P139" i="7"/>
  <c r="O139" i="7"/>
  <c r="N139" i="7"/>
  <c r="M139" i="7"/>
  <c r="L139" i="7"/>
  <c r="K139" i="7"/>
  <c r="J139" i="7"/>
  <c r="I139" i="7"/>
  <c r="H139" i="7"/>
  <c r="G139" i="7"/>
  <c r="F139" i="7"/>
  <c r="E139" i="7"/>
  <c r="D139" i="7"/>
  <c r="C139" i="7"/>
  <c r="BO138" i="7"/>
  <c r="BN138" i="7"/>
  <c r="BM138" i="7"/>
  <c r="BL138" i="7"/>
  <c r="BK138" i="7"/>
  <c r="BJ138" i="7"/>
  <c r="BI138" i="7"/>
  <c r="BH138" i="7"/>
  <c r="BG138" i="7"/>
  <c r="BF138" i="7"/>
  <c r="BE138" i="7"/>
  <c r="BD138" i="7"/>
  <c r="BC138" i="7"/>
  <c r="BB138" i="7"/>
  <c r="BA138" i="7"/>
  <c r="AZ138" i="7"/>
  <c r="AY138" i="7"/>
  <c r="AX138" i="7"/>
  <c r="AW138" i="7"/>
  <c r="AV138" i="7"/>
  <c r="AU138" i="7"/>
  <c r="AT138" i="7"/>
  <c r="AS138" i="7"/>
  <c r="AR138" i="7"/>
  <c r="AQ138" i="7"/>
  <c r="AP138" i="7"/>
  <c r="AO138" i="7"/>
  <c r="AN138" i="7"/>
  <c r="AM138" i="7"/>
  <c r="AL138" i="7"/>
  <c r="AK138" i="7"/>
  <c r="AJ138" i="7"/>
  <c r="AI138" i="7"/>
  <c r="AH138" i="7"/>
  <c r="AG138" i="7"/>
  <c r="AF138" i="7"/>
  <c r="AE138" i="7"/>
  <c r="AD138" i="7"/>
  <c r="AC138"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O137" i="7"/>
  <c r="BN137" i="7"/>
  <c r="BM137" i="7"/>
  <c r="BL137" i="7"/>
  <c r="BK137" i="7"/>
  <c r="BJ137" i="7"/>
  <c r="BI137" i="7"/>
  <c r="BH137" i="7"/>
  <c r="BG137" i="7"/>
  <c r="BF137" i="7"/>
  <c r="BE137" i="7"/>
  <c r="BD137" i="7"/>
  <c r="BC137" i="7"/>
  <c r="BB137" i="7"/>
  <c r="BA137" i="7"/>
  <c r="AZ137" i="7"/>
  <c r="AY137" i="7"/>
  <c r="AX137" i="7"/>
  <c r="AW137" i="7"/>
  <c r="AV137" i="7"/>
  <c r="AU137" i="7"/>
  <c r="AT137" i="7"/>
  <c r="AS137" i="7"/>
  <c r="AR137" i="7"/>
  <c r="AQ137" i="7"/>
  <c r="AP137" i="7"/>
  <c r="AO137" i="7"/>
  <c r="AN137" i="7"/>
  <c r="AM137" i="7"/>
  <c r="AL137" i="7"/>
  <c r="AK137" i="7"/>
  <c r="AJ137" i="7"/>
  <c r="AI137" i="7"/>
  <c r="AH137" i="7"/>
  <c r="AG137" i="7"/>
  <c r="AF137" i="7"/>
  <c r="AE137" i="7"/>
  <c r="AD137" i="7"/>
  <c r="AC137" i="7"/>
  <c r="AB137" i="7"/>
  <c r="AA137" i="7"/>
  <c r="Z137" i="7"/>
  <c r="Y137" i="7"/>
  <c r="X137" i="7"/>
  <c r="W137" i="7"/>
  <c r="V137" i="7"/>
  <c r="U137" i="7"/>
  <c r="T137" i="7"/>
  <c r="S137" i="7"/>
  <c r="R137" i="7"/>
  <c r="Q137" i="7"/>
  <c r="P137" i="7"/>
  <c r="O137" i="7"/>
  <c r="N137" i="7"/>
  <c r="M137" i="7"/>
  <c r="L137" i="7"/>
  <c r="K137" i="7"/>
  <c r="J137" i="7"/>
  <c r="I137" i="7"/>
  <c r="H137" i="7"/>
  <c r="G137" i="7"/>
  <c r="F137" i="7"/>
  <c r="E137" i="7"/>
  <c r="D137" i="7"/>
  <c r="C137" i="7"/>
  <c r="BO136" i="7"/>
  <c r="BN136" i="7"/>
  <c r="BM136" i="7"/>
  <c r="BL136" i="7"/>
  <c r="BK136" i="7"/>
  <c r="BJ136" i="7"/>
  <c r="BI136" i="7"/>
  <c r="BH136" i="7"/>
  <c r="BG136" i="7"/>
  <c r="BF136" i="7"/>
  <c r="BE136" i="7"/>
  <c r="BD136" i="7"/>
  <c r="BC136" i="7"/>
  <c r="BB136" i="7"/>
  <c r="BA136" i="7"/>
  <c r="AZ136" i="7"/>
  <c r="AY136" i="7"/>
  <c r="AX136" i="7"/>
  <c r="AW136" i="7"/>
  <c r="AV136" i="7"/>
  <c r="AU136" i="7"/>
  <c r="AT136" i="7"/>
  <c r="AS136" i="7"/>
  <c r="AR136" i="7"/>
  <c r="AQ136" i="7"/>
  <c r="AP136" i="7"/>
  <c r="AO136" i="7"/>
  <c r="AN136" i="7"/>
  <c r="AM136" i="7"/>
  <c r="AL136" i="7"/>
  <c r="AK136" i="7"/>
  <c r="AJ136" i="7"/>
  <c r="AI136" i="7"/>
  <c r="AH136" i="7"/>
  <c r="AG136" i="7"/>
  <c r="AF136" i="7"/>
  <c r="AE136" i="7"/>
  <c r="AD136" i="7"/>
  <c r="AC136"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O135" i="7"/>
  <c r="BN135" i="7"/>
  <c r="BM135" i="7"/>
  <c r="BL135" i="7"/>
  <c r="BK135" i="7"/>
  <c r="BJ135" i="7"/>
  <c r="BI135" i="7"/>
  <c r="BH135" i="7"/>
  <c r="BG135" i="7"/>
  <c r="BF135" i="7"/>
  <c r="BE135" i="7"/>
  <c r="BD135" i="7"/>
  <c r="BC135" i="7"/>
  <c r="BB135" i="7"/>
  <c r="BA135" i="7"/>
  <c r="AZ135" i="7"/>
  <c r="AY135" i="7"/>
  <c r="AX135" i="7"/>
  <c r="AW135" i="7"/>
  <c r="AV135" i="7"/>
  <c r="AU135" i="7"/>
  <c r="AT135" i="7"/>
  <c r="AS135" i="7"/>
  <c r="AR135" i="7"/>
  <c r="AQ135" i="7"/>
  <c r="AP135" i="7"/>
  <c r="AO135" i="7"/>
  <c r="AN135" i="7"/>
  <c r="AM135" i="7"/>
  <c r="AL135" i="7"/>
  <c r="AK135" i="7"/>
  <c r="AJ135" i="7"/>
  <c r="AI135" i="7"/>
  <c r="AH135" i="7"/>
  <c r="AG135" i="7"/>
  <c r="AF135" i="7"/>
  <c r="AE135" i="7"/>
  <c r="AD135" i="7"/>
  <c r="AC135" i="7"/>
  <c r="AB135" i="7"/>
  <c r="AA135" i="7"/>
  <c r="Z135" i="7"/>
  <c r="Y135" i="7"/>
  <c r="X135" i="7"/>
  <c r="W135" i="7"/>
  <c r="V135" i="7"/>
  <c r="U135" i="7"/>
  <c r="T135" i="7"/>
  <c r="S135" i="7"/>
  <c r="R135" i="7"/>
  <c r="Q135" i="7"/>
  <c r="P135" i="7"/>
  <c r="O135" i="7"/>
  <c r="N135" i="7"/>
  <c r="M135" i="7"/>
  <c r="L135" i="7"/>
  <c r="K135" i="7"/>
  <c r="J135" i="7"/>
  <c r="I135" i="7"/>
  <c r="H135" i="7"/>
  <c r="G135" i="7"/>
  <c r="F135" i="7"/>
  <c r="E135" i="7"/>
  <c r="D135" i="7"/>
  <c r="C135" i="7"/>
  <c r="AU134" i="7"/>
  <c r="U134" i="7"/>
  <c r="B134" i="7"/>
  <c r="BO133" i="7"/>
  <c r="BN133" i="7"/>
  <c r="BM133" i="7"/>
  <c r="BL133" i="7"/>
  <c r="BK133" i="7"/>
  <c r="BJ133" i="7"/>
  <c r="BI133" i="7"/>
  <c r="BH133" i="7"/>
  <c r="BG133" i="7"/>
  <c r="BF133" i="7"/>
  <c r="BE133" i="7"/>
  <c r="BD133" i="7"/>
  <c r="BC133" i="7"/>
  <c r="BB133" i="7"/>
  <c r="BA133" i="7"/>
  <c r="AZ133" i="7"/>
  <c r="AY133" i="7"/>
  <c r="AX133" i="7"/>
  <c r="AW133" i="7"/>
  <c r="AV133" i="7"/>
  <c r="AU133" i="7"/>
  <c r="AT133" i="7"/>
  <c r="AS133" i="7"/>
  <c r="AR133" i="7"/>
  <c r="AQ133" i="7"/>
  <c r="AP133" i="7"/>
  <c r="AO133" i="7"/>
  <c r="AN133" i="7"/>
  <c r="AM133" i="7"/>
  <c r="AL133" i="7"/>
  <c r="AK133" i="7"/>
  <c r="AJ133" i="7"/>
  <c r="AI133" i="7"/>
  <c r="AH133" i="7"/>
  <c r="AG133" i="7"/>
  <c r="AF133" i="7"/>
  <c r="AE133" i="7"/>
  <c r="AD133" i="7"/>
  <c r="AC133" i="7"/>
  <c r="AB133" i="7"/>
  <c r="AA133" i="7"/>
  <c r="Z133" i="7"/>
  <c r="Y133" i="7"/>
  <c r="X133" i="7"/>
  <c r="W133" i="7"/>
  <c r="V133" i="7"/>
  <c r="U133" i="7"/>
  <c r="T133" i="7"/>
  <c r="S133" i="7"/>
  <c r="R133" i="7"/>
  <c r="Q133" i="7"/>
  <c r="P133" i="7"/>
  <c r="O133" i="7"/>
  <c r="N133" i="7"/>
  <c r="M133" i="7"/>
  <c r="L133" i="7"/>
  <c r="K133" i="7"/>
  <c r="J133" i="7"/>
  <c r="I133" i="7"/>
  <c r="H133" i="7"/>
  <c r="G133" i="7"/>
  <c r="F133" i="7"/>
  <c r="E133" i="7"/>
  <c r="D133" i="7"/>
  <c r="C133" i="7"/>
  <c r="BO132" i="7"/>
  <c r="BN132" i="7"/>
  <c r="BM132" i="7"/>
  <c r="BL132" i="7"/>
  <c r="BK132" i="7"/>
  <c r="BJ132" i="7"/>
  <c r="BI132" i="7"/>
  <c r="BH132" i="7"/>
  <c r="BG132" i="7"/>
  <c r="BF132" i="7"/>
  <c r="BE132" i="7"/>
  <c r="BD132" i="7"/>
  <c r="BC132" i="7"/>
  <c r="BB132" i="7"/>
  <c r="BA132" i="7"/>
  <c r="AZ132" i="7"/>
  <c r="AY132" i="7"/>
  <c r="AX132" i="7"/>
  <c r="AW132" i="7"/>
  <c r="AV132" i="7"/>
  <c r="AU132" i="7"/>
  <c r="AT132" i="7"/>
  <c r="AS132" i="7"/>
  <c r="AR132" i="7"/>
  <c r="AQ132" i="7"/>
  <c r="AP132" i="7"/>
  <c r="AO132" i="7"/>
  <c r="AN132" i="7"/>
  <c r="AM132" i="7"/>
  <c r="AL132" i="7"/>
  <c r="AK132" i="7"/>
  <c r="AJ132" i="7"/>
  <c r="AI132" i="7"/>
  <c r="AH132" i="7"/>
  <c r="AG132" i="7"/>
  <c r="AF132" i="7"/>
  <c r="AE132" i="7"/>
  <c r="AD132" i="7"/>
  <c r="AC132"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O131" i="7"/>
  <c r="BN131" i="7"/>
  <c r="BM131" i="7"/>
  <c r="BL131" i="7"/>
  <c r="BK131" i="7"/>
  <c r="BJ131" i="7"/>
  <c r="BI131" i="7"/>
  <c r="BH131" i="7"/>
  <c r="BG131" i="7"/>
  <c r="BF131" i="7"/>
  <c r="BE131" i="7"/>
  <c r="BD131" i="7"/>
  <c r="BC131" i="7"/>
  <c r="BB131" i="7"/>
  <c r="BA131" i="7"/>
  <c r="AZ131" i="7"/>
  <c r="AY131" i="7"/>
  <c r="AX131"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BO130" i="7"/>
  <c r="BN130" i="7"/>
  <c r="BM130" i="7"/>
  <c r="BL130" i="7"/>
  <c r="BK130" i="7"/>
  <c r="BJ130" i="7"/>
  <c r="BI130" i="7"/>
  <c r="BH130" i="7"/>
  <c r="BG130" i="7"/>
  <c r="BF130" i="7"/>
  <c r="BE130" i="7"/>
  <c r="BD130" i="7"/>
  <c r="BC130" i="7"/>
  <c r="BB130" i="7"/>
  <c r="BA130" i="7"/>
  <c r="AZ130" i="7"/>
  <c r="AY130" i="7"/>
  <c r="AX130" i="7"/>
  <c r="AW130" i="7"/>
  <c r="AV130" i="7"/>
  <c r="AU130" i="7"/>
  <c r="AT130" i="7"/>
  <c r="AS130" i="7"/>
  <c r="AR130" i="7"/>
  <c r="AQ130" i="7"/>
  <c r="AP130" i="7"/>
  <c r="AO130" i="7"/>
  <c r="AN130" i="7"/>
  <c r="AM130" i="7"/>
  <c r="AL130" i="7"/>
  <c r="AK130" i="7"/>
  <c r="AJ130" i="7"/>
  <c r="AI130" i="7"/>
  <c r="AH130" i="7"/>
  <c r="AG130" i="7"/>
  <c r="AF130" i="7"/>
  <c r="AE130" i="7"/>
  <c r="AD130" i="7"/>
  <c r="AC130"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O129" i="7"/>
  <c r="BN129" i="7"/>
  <c r="BM129" i="7"/>
  <c r="BL129" i="7"/>
  <c r="BK129" i="7"/>
  <c r="BJ129" i="7"/>
  <c r="BI129" i="7"/>
  <c r="BH129" i="7"/>
  <c r="BG129" i="7"/>
  <c r="BF129" i="7"/>
  <c r="BE129" i="7"/>
  <c r="BD129" i="7"/>
  <c r="BC129" i="7"/>
  <c r="BB129" i="7"/>
  <c r="BA129" i="7"/>
  <c r="AZ129" i="7"/>
  <c r="AY129" i="7"/>
  <c r="AX129" i="7"/>
  <c r="AW129" i="7"/>
  <c r="AV129" i="7"/>
  <c r="AU129" i="7"/>
  <c r="AT129" i="7"/>
  <c r="AS129" i="7"/>
  <c r="AR129" i="7"/>
  <c r="AQ129" i="7"/>
  <c r="AP129" i="7"/>
  <c r="AO129" i="7"/>
  <c r="AN129" i="7"/>
  <c r="AM129" i="7"/>
  <c r="AL129" i="7"/>
  <c r="AK129" i="7"/>
  <c r="AJ129" i="7"/>
  <c r="AI129" i="7"/>
  <c r="AH129" i="7"/>
  <c r="AG129" i="7"/>
  <c r="AF129" i="7"/>
  <c r="AE129" i="7"/>
  <c r="AD129" i="7"/>
  <c r="AC129" i="7"/>
  <c r="AB129" i="7"/>
  <c r="AA129" i="7"/>
  <c r="Z129" i="7"/>
  <c r="Y129" i="7"/>
  <c r="X129" i="7"/>
  <c r="W129" i="7"/>
  <c r="V129" i="7"/>
  <c r="U129" i="7"/>
  <c r="T129" i="7"/>
  <c r="S129" i="7"/>
  <c r="R129" i="7"/>
  <c r="Q129" i="7"/>
  <c r="P129" i="7"/>
  <c r="O129" i="7"/>
  <c r="N129" i="7"/>
  <c r="M129" i="7"/>
  <c r="L129" i="7"/>
  <c r="K129" i="7"/>
  <c r="J129" i="7"/>
  <c r="I129" i="7"/>
  <c r="H129" i="7"/>
  <c r="G129" i="7"/>
  <c r="F129" i="7"/>
  <c r="E129" i="7"/>
  <c r="D129" i="7"/>
  <c r="C129" i="7"/>
  <c r="BO128" i="7"/>
  <c r="BN128" i="7"/>
  <c r="BM128" i="7"/>
  <c r="BL128" i="7"/>
  <c r="BK128" i="7"/>
  <c r="BJ128" i="7"/>
  <c r="BI128" i="7"/>
  <c r="BH128" i="7"/>
  <c r="BG128" i="7"/>
  <c r="BF128" i="7"/>
  <c r="BE128" i="7"/>
  <c r="BD128" i="7"/>
  <c r="BC128" i="7"/>
  <c r="BB128" i="7"/>
  <c r="BA128" i="7"/>
  <c r="AZ128" i="7"/>
  <c r="AY128" i="7"/>
  <c r="AX128" i="7"/>
  <c r="AW128" i="7"/>
  <c r="AV128" i="7"/>
  <c r="AU128" i="7"/>
  <c r="AT128" i="7"/>
  <c r="AS128" i="7"/>
  <c r="AR128" i="7"/>
  <c r="AQ128" i="7"/>
  <c r="AP128" i="7"/>
  <c r="AO128" i="7"/>
  <c r="AN128" i="7"/>
  <c r="AM128" i="7"/>
  <c r="AL128" i="7"/>
  <c r="AK128" i="7"/>
  <c r="AJ128" i="7"/>
  <c r="AI128" i="7"/>
  <c r="AH128" i="7"/>
  <c r="AG128" i="7"/>
  <c r="AF128" i="7"/>
  <c r="AE128" i="7"/>
  <c r="AD128" i="7"/>
  <c r="AC128"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O127" i="7"/>
  <c r="BN127" i="7"/>
  <c r="BM127" i="7"/>
  <c r="BL127" i="7"/>
  <c r="BK127" i="7"/>
  <c r="BJ127" i="7"/>
  <c r="BI127" i="7"/>
  <c r="BH127" i="7"/>
  <c r="BG127" i="7"/>
  <c r="BF127" i="7"/>
  <c r="BE127" i="7"/>
  <c r="BD127" i="7"/>
  <c r="BC127" i="7"/>
  <c r="BB127" i="7"/>
  <c r="BA127" i="7"/>
  <c r="AZ127" i="7"/>
  <c r="AY127" i="7"/>
  <c r="AX127" i="7"/>
  <c r="AW127" i="7"/>
  <c r="AV127" i="7"/>
  <c r="AU127" i="7"/>
  <c r="AT127" i="7"/>
  <c r="AS127" i="7"/>
  <c r="AR127" i="7"/>
  <c r="AQ127" i="7"/>
  <c r="AP127" i="7"/>
  <c r="AO127" i="7"/>
  <c r="AN127" i="7"/>
  <c r="AM127" i="7"/>
  <c r="AL127" i="7"/>
  <c r="AK127" i="7"/>
  <c r="AJ127" i="7"/>
  <c r="AI127" i="7"/>
  <c r="AH127" i="7"/>
  <c r="AG127" i="7"/>
  <c r="AF127" i="7"/>
  <c r="AE127" i="7"/>
  <c r="AD127" i="7"/>
  <c r="AC127" i="7"/>
  <c r="AB127" i="7"/>
  <c r="AA127" i="7"/>
  <c r="Z127" i="7"/>
  <c r="Y127" i="7"/>
  <c r="X127" i="7"/>
  <c r="W127" i="7"/>
  <c r="V127" i="7"/>
  <c r="U127" i="7"/>
  <c r="T127" i="7"/>
  <c r="S127" i="7"/>
  <c r="R127" i="7"/>
  <c r="Q127" i="7"/>
  <c r="P127" i="7"/>
  <c r="O127" i="7"/>
  <c r="N127" i="7"/>
  <c r="M127" i="7"/>
  <c r="L127" i="7"/>
  <c r="K127" i="7"/>
  <c r="J127" i="7"/>
  <c r="I127" i="7"/>
  <c r="H127" i="7"/>
  <c r="G127" i="7"/>
  <c r="F127" i="7"/>
  <c r="E127" i="7"/>
  <c r="D127" i="7"/>
  <c r="C127" i="7"/>
  <c r="BO126" i="7"/>
  <c r="BN126" i="7"/>
  <c r="BM126" i="7"/>
  <c r="BL126" i="7"/>
  <c r="BK126" i="7"/>
  <c r="BJ126" i="7"/>
  <c r="BI126" i="7"/>
  <c r="BH126" i="7"/>
  <c r="BG126" i="7"/>
  <c r="BF126" i="7"/>
  <c r="BE126" i="7"/>
  <c r="BD126" i="7"/>
  <c r="BC126" i="7"/>
  <c r="BB126" i="7"/>
  <c r="BA126" i="7"/>
  <c r="AZ126" i="7"/>
  <c r="AY126" i="7"/>
  <c r="AX126" i="7"/>
  <c r="AW126" i="7"/>
  <c r="AV126" i="7"/>
  <c r="AU126" i="7"/>
  <c r="AT126" i="7"/>
  <c r="AS126" i="7"/>
  <c r="AR126" i="7"/>
  <c r="AQ126" i="7"/>
  <c r="AP126" i="7"/>
  <c r="AO126" i="7"/>
  <c r="AN126" i="7"/>
  <c r="AM126" i="7"/>
  <c r="AL126" i="7"/>
  <c r="AK126" i="7"/>
  <c r="AJ126" i="7"/>
  <c r="AI126" i="7"/>
  <c r="AH126" i="7"/>
  <c r="AG126" i="7"/>
  <c r="AF126" i="7"/>
  <c r="AE126" i="7"/>
  <c r="AD126" i="7"/>
  <c r="AC126" i="7"/>
  <c r="AB126" i="7"/>
  <c r="AA126" i="7"/>
  <c r="Z126" i="7"/>
  <c r="Y126" i="7"/>
  <c r="X126" i="7"/>
  <c r="W126" i="7"/>
  <c r="V126" i="7"/>
  <c r="U126" i="7"/>
  <c r="T126" i="7"/>
  <c r="S126" i="7"/>
  <c r="R126" i="7"/>
  <c r="Q126" i="7"/>
  <c r="P126" i="7"/>
  <c r="O126" i="7"/>
  <c r="N126" i="7"/>
  <c r="M126" i="7"/>
  <c r="L126" i="7"/>
  <c r="K126" i="7"/>
  <c r="J126" i="7"/>
  <c r="I126" i="7"/>
  <c r="H126" i="7"/>
  <c r="G126" i="7"/>
  <c r="F126" i="7"/>
  <c r="E126" i="7"/>
  <c r="D126" i="7"/>
  <c r="C126" i="7"/>
  <c r="AW125" i="7"/>
  <c r="Y125" i="7"/>
  <c r="BO124" i="7"/>
  <c r="BN124" i="7"/>
  <c r="BM124" i="7"/>
  <c r="BL124" i="7"/>
  <c r="BK124" i="7"/>
  <c r="BJ124" i="7"/>
  <c r="BI124" i="7"/>
  <c r="BH124" i="7"/>
  <c r="BG124" i="7"/>
  <c r="BF124" i="7"/>
  <c r="BE124" i="7"/>
  <c r="BD124" i="7"/>
  <c r="BC124" i="7"/>
  <c r="BB124" i="7"/>
  <c r="BA124" i="7"/>
  <c r="AZ124" i="7"/>
  <c r="AY124" i="7"/>
  <c r="AX124" i="7"/>
  <c r="AW124" i="7"/>
  <c r="AV124" i="7"/>
  <c r="AU124" i="7"/>
  <c r="AT124" i="7"/>
  <c r="AS124" i="7"/>
  <c r="AR124" i="7"/>
  <c r="AQ124" i="7"/>
  <c r="AP124" i="7"/>
  <c r="AO124" i="7"/>
  <c r="AN124" i="7"/>
  <c r="AM124" i="7"/>
  <c r="AL124" i="7"/>
  <c r="AK124" i="7"/>
  <c r="AJ124" i="7"/>
  <c r="AI124" i="7"/>
  <c r="AH124" i="7"/>
  <c r="AG124" i="7"/>
  <c r="AF124" i="7"/>
  <c r="AE124" i="7"/>
  <c r="AD124" i="7"/>
  <c r="AC124" i="7"/>
  <c r="AB124" i="7"/>
  <c r="AA124" i="7"/>
  <c r="Z124" i="7"/>
  <c r="Y124" i="7"/>
  <c r="X124" i="7"/>
  <c r="W124" i="7"/>
  <c r="V124" i="7"/>
  <c r="U124" i="7"/>
  <c r="T124" i="7"/>
  <c r="S124" i="7"/>
  <c r="R124" i="7"/>
  <c r="Q124" i="7"/>
  <c r="P124" i="7"/>
  <c r="O124" i="7"/>
  <c r="N124" i="7"/>
  <c r="M124" i="7"/>
  <c r="L124" i="7"/>
  <c r="K124" i="7"/>
  <c r="J124" i="7"/>
  <c r="I124" i="7"/>
  <c r="H124" i="7"/>
  <c r="G124" i="7"/>
  <c r="F124" i="7"/>
  <c r="E124" i="7"/>
  <c r="D124" i="7"/>
  <c r="C124" i="7"/>
  <c r="BO123" i="7"/>
  <c r="BN123" i="7"/>
  <c r="BM123" i="7"/>
  <c r="BL123" i="7"/>
  <c r="BK123" i="7"/>
  <c r="BJ123" i="7"/>
  <c r="BI123" i="7"/>
  <c r="BH123" i="7"/>
  <c r="BG123" i="7"/>
  <c r="BF123" i="7"/>
  <c r="BE123" i="7"/>
  <c r="BD123" i="7"/>
  <c r="BC123" i="7"/>
  <c r="BB123" i="7"/>
  <c r="BA123" i="7"/>
  <c r="AZ123" i="7"/>
  <c r="AY123" i="7"/>
  <c r="AX123" i="7"/>
  <c r="AW123" i="7"/>
  <c r="AV123" i="7"/>
  <c r="AU123" i="7"/>
  <c r="AT123" i="7"/>
  <c r="AS123" i="7"/>
  <c r="AR123" i="7"/>
  <c r="AQ123" i="7"/>
  <c r="AP123" i="7"/>
  <c r="AO123" i="7"/>
  <c r="AN123" i="7"/>
  <c r="AM123" i="7"/>
  <c r="AL123" i="7"/>
  <c r="AK123" i="7"/>
  <c r="AJ123" i="7"/>
  <c r="AI123" i="7"/>
  <c r="AH123" i="7"/>
  <c r="AG123" i="7"/>
  <c r="AF123" i="7"/>
  <c r="AE123" i="7"/>
  <c r="AD123" i="7"/>
  <c r="AC123" i="7"/>
  <c r="AB123" i="7"/>
  <c r="AA123" i="7"/>
  <c r="Z123" i="7"/>
  <c r="Y123" i="7"/>
  <c r="X123" i="7"/>
  <c r="W123" i="7"/>
  <c r="V123" i="7"/>
  <c r="U123" i="7"/>
  <c r="T123" i="7"/>
  <c r="S123" i="7"/>
  <c r="R123" i="7"/>
  <c r="Q123" i="7"/>
  <c r="P123" i="7"/>
  <c r="O123" i="7"/>
  <c r="N123" i="7"/>
  <c r="M123" i="7"/>
  <c r="L123" i="7"/>
  <c r="K123" i="7"/>
  <c r="J123" i="7"/>
  <c r="I123" i="7"/>
  <c r="H123" i="7"/>
  <c r="G123" i="7"/>
  <c r="F123" i="7"/>
  <c r="E123" i="7"/>
  <c r="D123" i="7"/>
  <c r="C123" i="7"/>
  <c r="BO122" i="7"/>
  <c r="BN122" i="7"/>
  <c r="BM122" i="7"/>
  <c r="BL122" i="7"/>
  <c r="BK122" i="7"/>
  <c r="BJ122" i="7"/>
  <c r="BI122" i="7"/>
  <c r="BH122" i="7"/>
  <c r="BG122" i="7"/>
  <c r="BF122" i="7"/>
  <c r="BE122" i="7"/>
  <c r="BD122" i="7"/>
  <c r="BC122" i="7"/>
  <c r="BB122" i="7"/>
  <c r="BA122" i="7"/>
  <c r="AZ122" i="7"/>
  <c r="AY122" i="7"/>
  <c r="AX122" i="7"/>
  <c r="AW122" i="7"/>
  <c r="AV122" i="7"/>
  <c r="AU122" i="7"/>
  <c r="AT122" i="7"/>
  <c r="AS122" i="7"/>
  <c r="AR122" i="7"/>
  <c r="AQ122" i="7"/>
  <c r="AP122" i="7"/>
  <c r="AO122" i="7"/>
  <c r="AN122" i="7"/>
  <c r="AM122" i="7"/>
  <c r="AL122" i="7"/>
  <c r="AK122" i="7"/>
  <c r="AJ122" i="7"/>
  <c r="AI122" i="7"/>
  <c r="AH122" i="7"/>
  <c r="AG122" i="7"/>
  <c r="AF122" i="7"/>
  <c r="AE122" i="7"/>
  <c r="AD122" i="7"/>
  <c r="AC122" i="7"/>
  <c r="AB122" i="7"/>
  <c r="AA122" i="7"/>
  <c r="Z122" i="7"/>
  <c r="Y122" i="7"/>
  <c r="X122" i="7"/>
  <c r="W122" i="7"/>
  <c r="V122" i="7"/>
  <c r="U122" i="7"/>
  <c r="T122" i="7"/>
  <c r="S122" i="7"/>
  <c r="R122" i="7"/>
  <c r="Q122" i="7"/>
  <c r="P122" i="7"/>
  <c r="O122" i="7"/>
  <c r="N122" i="7"/>
  <c r="M122" i="7"/>
  <c r="L122" i="7"/>
  <c r="K122" i="7"/>
  <c r="J122" i="7"/>
  <c r="I122" i="7"/>
  <c r="H122" i="7"/>
  <c r="G122" i="7"/>
  <c r="F122" i="7"/>
  <c r="E122" i="7"/>
  <c r="D122" i="7"/>
  <c r="C122" i="7"/>
  <c r="BO121" i="7"/>
  <c r="BN121" i="7"/>
  <c r="BM121" i="7"/>
  <c r="BL121" i="7"/>
  <c r="BK121" i="7"/>
  <c r="BJ121" i="7"/>
  <c r="BI121" i="7"/>
  <c r="BH121" i="7"/>
  <c r="BG121" i="7"/>
  <c r="BF121" i="7"/>
  <c r="BE121" i="7"/>
  <c r="BD121" i="7"/>
  <c r="BC121" i="7"/>
  <c r="BB121" i="7"/>
  <c r="BA121" i="7"/>
  <c r="AZ121" i="7"/>
  <c r="AY121" i="7"/>
  <c r="AX121" i="7"/>
  <c r="AW121" i="7"/>
  <c r="AV121" i="7"/>
  <c r="AU121" i="7"/>
  <c r="AT121" i="7"/>
  <c r="AS121" i="7"/>
  <c r="AR121" i="7"/>
  <c r="AQ121" i="7"/>
  <c r="AP121" i="7"/>
  <c r="AO121" i="7"/>
  <c r="AN121" i="7"/>
  <c r="AM121" i="7"/>
  <c r="AL121" i="7"/>
  <c r="AK121" i="7"/>
  <c r="AJ121" i="7"/>
  <c r="AI121" i="7"/>
  <c r="AH121" i="7"/>
  <c r="AG121" i="7"/>
  <c r="AF121" i="7"/>
  <c r="AE121" i="7"/>
  <c r="AD121" i="7"/>
  <c r="AC121" i="7"/>
  <c r="AB121" i="7"/>
  <c r="AA121" i="7"/>
  <c r="Z121" i="7"/>
  <c r="Y121" i="7"/>
  <c r="X121" i="7"/>
  <c r="W121" i="7"/>
  <c r="V121" i="7"/>
  <c r="U121" i="7"/>
  <c r="T121" i="7"/>
  <c r="S121" i="7"/>
  <c r="R121" i="7"/>
  <c r="Q121" i="7"/>
  <c r="P121" i="7"/>
  <c r="O121" i="7"/>
  <c r="N121" i="7"/>
  <c r="M121" i="7"/>
  <c r="L121" i="7"/>
  <c r="K121" i="7"/>
  <c r="J121" i="7"/>
  <c r="I121" i="7"/>
  <c r="H121" i="7"/>
  <c r="G121" i="7"/>
  <c r="F121" i="7"/>
  <c r="E121" i="7"/>
  <c r="D121" i="7"/>
  <c r="C121" i="7"/>
  <c r="BO120" i="7"/>
  <c r="BN120" i="7"/>
  <c r="BM120" i="7"/>
  <c r="BL120" i="7"/>
  <c r="BK120" i="7"/>
  <c r="BJ120" i="7"/>
  <c r="BI120" i="7"/>
  <c r="BH120" i="7"/>
  <c r="BG120" i="7"/>
  <c r="BF120" i="7"/>
  <c r="BE120" i="7"/>
  <c r="BD120" i="7"/>
  <c r="BC120" i="7"/>
  <c r="BB120" i="7"/>
  <c r="BA120" i="7"/>
  <c r="AZ120" i="7"/>
  <c r="AY120" i="7"/>
  <c r="AX120" i="7"/>
  <c r="AW120" i="7"/>
  <c r="AV120" i="7"/>
  <c r="AU120" i="7"/>
  <c r="AT120" i="7"/>
  <c r="AS120" i="7"/>
  <c r="AR120" i="7"/>
  <c r="AQ120" i="7"/>
  <c r="AP120" i="7"/>
  <c r="AO120" i="7"/>
  <c r="AN120" i="7"/>
  <c r="AM120" i="7"/>
  <c r="AL120" i="7"/>
  <c r="AK120" i="7"/>
  <c r="AJ120" i="7"/>
  <c r="AI120" i="7"/>
  <c r="AH120" i="7"/>
  <c r="AG120" i="7"/>
  <c r="AF120" i="7"/>
  <c r="AE120" i="7"/>
  <c r="AD120" i="7"/>
  <c r="AC120" i="7"/>
  <c r="AB120" i="7"/>
  <c r="AA120" i="7"/>
  <c r="Z120" i="7"/>
  <c r="Y120" i="7"/>
  <c r="X120" i="7"/>
  <c r="W120" i="7"/>
  <c r="V120" i="7"/>
  <c r="U120" i="7"/>
  <c r="T120" i="7"/>
  <c r="S120" i="7"/>
  <c r="R120" i="7"/>
  <c r="Q120" i="7"/>
  <c r="P120" i="7"/>
  <c r="O120" i="7"/>
  <c r="N120" i="7"/>
  <c r="M120" i="7"/>
  <c r="L120" i="7"/>
  <c r="K120" i="7"/>
  <c r="J120" i="7"/>
  <c r="I120" i="7"/>
  <c r="H120" i="7"/>
  <c r="G120" i="7"/>
  <c r="F120" i="7"/>
  <c r="E120" i="7"/>
  <c r="D120" i="7"/>
  <c r="C120" i="7"/>
  <c r="BO119" i="7"/>
  <c r="BN119" i="7"/>
  <c r="BM119" i="7"/>
  <c r="BL119" i="7"/>
  <c r="BK119" i="7"/>
  <c r="BJ119" i="7"/>
  <c r="BI119" i="7"/>
  <c r="BH119" i="7"/>
  <c r="BG119" i="7"/>
  <c r="BF119" i="7"/>
  <c r="BE119" i="7"/>
  <c r="BD119" i="7"/>
  <c r="BC119" i="7"/>
  <c r="BB119" i="7"/>
  <c r="BA119" i="7"/>
  <c r="AZ119" i="7"/>
  <c r="AY119" i="7"/>
  <c r="AX119" i="7"/>
  <c r="AW119" i="7"/>
  <c r="AV119" i="7"/>
  <c r="AU119" i="7"/>
  <c r="AT119" i="7"/>
  <c r="AS119" i="7"/>
  <c r="AR119" i="7"/>
  <c r="AQ119" i="7"/>
  <c r="AP119" i="7"/>
  <c r="AO119" i="7"/>
  <c r="AN119" i="7"/>
  <c r="AM119" i="7"/>
  <c r="AL119" i="7"/>
  <c r="AK119" i="7"/>
  <c r="AJ119" i="7"/>
  <c r="AI119" i="7"/>
  <c r="AH119" i="7"/>
  <c r="AG119" i="7"/>
  <c r="AF119" i="7"/>
  <c r="AE119" i="7"/>
  <c r="AD119" i="7"/>
  <c r="AC119" i="7"/>
  <c r="AB119" i="7"/>
  <c r="AA119" i="7"/>
  <c r="Z119" i="7"/>
  <c r="Y119" i="7"/>
  <c r="X119" i="7"/>
  <c r="W119" i="7"/>
  <c r="V119" i="7"/>
  <c r="U119" i="7"/>
  <c r="T119" i="7"/>
  <c r="S119" i="7"/>
  <c r="R119" i="7"/>
  <c r="Q119" i="7"/>
  <c r="P119" i="7"/>
  <c r="O119" i="7"/>
  <c r="N119" i="7"/>
  <c r="M119" i="7"/>
  <c r="L119" i="7"/>
  <c r="K119" i="7"/>
  <c r="J119" i="7"/>
  <c r="I119" i="7"/>
  <c r="H119" i="7"/>
  <c r="G119" i="7"/>
  <c r="F119" i="7"/>
  <c r="E119" i="7"/>
  <c r="D119" i="7"/>
  <c r="C119" i="7"/>
  <c r="BO118" i="7"/>
  <c r="BN118" i="7"/>
  <c r="BM118" i="7"/>
  <c r="BL118" i="7"/>
  <c r="BK118" i="7"/>
  <c r="BJ118" i="7"/>
  <c r="BI118" i="7"/>
  <c r="BH118" i="7"/>
  <c r="BG118" i="7"/>
  <c r="BF118" i="7"/>
  <c r="BE118" i="7"/>
  <c r="BD118" i="7"/>
  <c r="BC118" i="7"/>
  <c r="BB118" i="7"/>
  <c r="BA118" i="7"/>
  <c r="AZ118" i="7"/>
  <c r="AY118" i="7"/>
  <c r="AX118" i="7"/>
  <c r="AW118" i="7"/>
  <c r="AV118" i="7"/>
  <c r="AU118" i="7"/>
  <c r="AT118" i="7"/>
  <c r="AS118" i="7"/>
  <c r="AR118" i="7"/>
  <c r="AQ118" i="7"/>
  <c r="AP118" i="7"/>
  <c r="AO118" i="7"/>
  <c r="AN118" i="7"/>
  <c r="AM118" i="7"/>
  <c r="AL118" i="7"/>
  <c r="AK118" i="7"/>
  <c r="AJ118" i="7"/>
  <c r="AI118" i="7"/>
  <c r="AH118" i="7"/>
  <c r="AG118" i="7"/>
  <c r="AF118" i="7"/>
  <c r="AE118" i="7"/>
  <c r="AD118" i="7"/>
  <c r="AC118" i="7"/>
  <c r="AB118" i="7"/>
  <c r="AA118" i="7"/>
  <c r="Z118" i="7"/>
  <c r="Y118" i="7"/>
  <c r="X118" i="7"/>
  <c r="W118" i="7"/>
  <c r="V118" i="7"/>
  <c r="U118" i="7"/>
  <c r="T118" i="7"/>
  <c r="S118" i="7"/>
  <c r="R118" i="7"/>
  <c r="Q118" i="7"/>
  <c r="P118" i="7"/>
  <c r="O118" i="7"/>
  <c r="N118" i="7"/>
  <c r="M118" i="7"/>
  <c r="L118" i="7"/>
  <c r="K118" i="7"/>
  <c r="J118" i="7"/>
  <c r="I118" i="7"/>
  <c r="H118" i="7"/>
  <c r="G118" i="7"/>
  <c r="F118" i="7"/>
  <c r="E118" i="7"/>
  <c r="D118" i="7"/>
  <c r="C118" i="7"/>
  <c r="BO117" i="7"/>
  <c r="BN117" i="7"/>
  <c r="BM117" i="7"/>
  <c r="BL117" i="7"/>
  <c r="BK117" i="7"/>
  <c r="BJ117" i="7"/>
  <c r="BI117" i="7"/>
  <c r="BH117" i="7"/>
  <c r="BG117" i="7"/>
  <c r="BF117" i="7"/>
  <c r="BE117" i="7"/>
  <c r="BD117" i="7"/>
  <c r="BC117" i="7"/>
  <c r="BB117" i="7"/>
  <c r="BA117" i="7"/>
  <c r="AZ117" i="7"/>
  <c r="AY117" i="7"/>
  <c r="AX117" i="7"/>
  <c r="AW117" i="7"/>
  <c r="AV117" i="7"/>
  <c r="AU117" i="7"/>
  <c r="AT117" i="7"/>
  <c r="AS117" i="7"/>
  <c r="AR117" i="7"/>
  <c r="AQ117" i="7"/>
  <c r="AP117" i="7"/>
  <c r="AO117" i="7"/>
  <c r="AN117" i="7"/>
  <c r="AM117" i="7"/>
  <c r="AL117" i="7"/>
  <c r="AK117" i="7"/>
  <c r="AJ117" i="7"/>
  <c r="AI117" i="7"/>
  <c r="AH117" i="7"/>
  <c r="AG117" i="7"/>
  <c r="AF117" i="7"/>
  <c r="AE117" i="7"/>
  <c r="AD117" i="7"/>
  <c r="AC117"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AZ116" i="7"/>
  <c r="AC116" i="7"/>
  <c r="B116" i="7"/>
  <c r="BO115" i="7"/>
  <c r="BN115" i="7"/>
  <c r="BM115" i="7"/>
  <c r="BL115" i="7"/>
  <c r="BK115" i="7"/>
  <c r="BJ115" i="7"/>
  <c r="BI115" i="7"/>
  <c r="BH115" i="7"/>
  <c r="BG115" i="7"/>
  <c r="BF115" i="7"/>
  <c r="BE115" i="7"/>
  <c r="BD115" i="7"/>
  <c r="BC115" i="7"/>
  <c r="BB115" i="7"/>
  <c r="BA115" i="7"/>
  <c r="AZ115" i="7"/>
  <c r="AY115" i="7"/>
  <c r="AX115" i="7"/>
  <c r="AW115" i="7"/>
  <c r="AV115" i="7"/>
  <c r="AU115" i="7"/>
  <c r="AT115" i="7"/>
  <c r="AS115" i="7"/>
  <c r="AR115" i="7"/>
  <c r="AQ115" i="7"/>
  <c r="AP115" i="7"/>
  <c r="AO115" i="7"/>
  <c r="AN115" i="7"/>
  <c r="AM115" i="7"/>
  <c r="AL115" i="7"/>
  <c r="AK115" i="7"/>
  <c r="AJ115" i="7"/>
  <c r="AI115" i="7"/>
  <c r="AH115" i="7"/>
  <c r="AG115" i="7"/>
  <c r="AF115" i="7"/>
  <c r="AE115" i="7"/>
  <c r="AD115" i="7"/>
  <c r="AC115" i="7"/>
  <c r="AB115" i="7"/>
  <c r="AA115" i="7"/>
  <c r="Z115" i="7"/>
  <c r="Y115" i="7"/>
  <c r="X115" i="7"/>
  <c r="W115" i="7"/>
  <c r="V115" i="7"/>
  <c r="U115" i="7"/>
  <c r="T115" i="7"/>
  <c r="S115" i="7"/>
  <c r="R115" i="7"/>
  <c r="Q115" i="7"/>
  <c r="P115" i="7"/>
  <c r="O115" i="7"/>
  <c r="N115" i="7"/>
  <c r="M115" i="7"/>
  <c r="L115" i="7"/>
  <c r="K115" i="7"/>
  <c r="J115" i="7"/>
  <c r="I115" i="7"/>
  <c r="H115" i="7"/>
  <c r="G115" i="7"/>
  <c r="F115" i="7"/>
  <c r="E115" i="7"/>
  <c r="D115" i="7"/>
  <c r="C115" i="7"/>
  <c r="BO114" i="7"/>
  <c r="BN114" i="7"/>
  <c r="BM114" i="7"/>
  <c r="BL114" i="7"/>
  <c r="BK114" i="7"/>
  <c r="BJ114" i="7"/>
  <c r="BI114" i="7"/>
  <c r="BH114" i="7"/>
  <c r="BG114" i="7"/>
  <c r="BF114" i="7"/>
  <c r="BE114" i="7"/>
  <c r="BD114" i="7"/>
  <c r="BC114" i="7"/>
  <c r="BB114" i="7"/>
  <c r="BA114" i="7"/>
  <c r="AZ114" i="7"/>
  <c r="AY114" i="7"/>
  <c r="AX114" i="7"/>
  <c r="AW114" i="7"/>
  <c r="AV114" i="7"/>
  <c r="AU114" i="7"/>
  <c r="AT114" i="7"/>
  <c r="AS114" i="7"/>
  <c r="AR114" i="7"/>
  <c r="AQ114" i="7"/>
  <c r="AP114" i="7"/>
  <c r="AO114" i="7"/>
  <c r="AN114" i="7"/>
  <c r="AM114" i="7"/>
  <c r="AL114" i="7"/>
  <c r="AK114" i="7"/>
  <c r="AJ114" i="7"/>
  <c r="AI114" i="7"/>
  <c r="AH114" i="7"/>
  <c r="AG114" i="7"/>
  <c r="AF114" i="7"/>
  <c r="AE114" i="7"/>
  <c r="AD114" i="7"/>
  <c r="AC114" i="7"/>
  <c r="AB114" i="7"/>
  <c r="AA114" i="7"/>
  <c r="Z114" i="7"/>
  <c r="Y114" i="7"/>
  <c r="X114" i="7"/>
  <c r="W114" i="7"/>
  <c r="V114" i="7"/>
  <c r="U114" i="7"/>
  <c r="T114" i="7"/>
  <c r="S114" i="7"/>
  <c r="R114" i="7"/>
  <c r="Q114" i="7"/>
  <c r="P114" i="7"/>
  <c r="O114" i="7"/>
  <c r="N114" i="7"/>
  <c r="M114" i="7"/>
  <c r="L114" i="7"/>
  <c r="K114" i="7"/>
  <c r="J114" i="7"/>
  <c r="I114" i="7"/>
  <c r="H114" i="7"/>
  <c r="G114" i="7"/>
  <c r="F114" i="7"/>
  <c r="E114" i="7"/>
  <c r="D114" i="7"/>
  <c r="C114" i="7"/>
  <c r="BO113" i="7"/>
  <c r="BN113" i="7"/>
  <c r="BM113" i="7"/>
  <c r="BL113" i="7"/>
  <c r="BK113" i="7"/>
  <c r="BJ113" i="7"/>
  <c r="BI113" i="7"/>
  <c r="BH113" i="7"/>
  <c r="BG113" i="7"/>
  <c r="BF113" i="7"/>
  <c r="BE113" i="7"/>
  <c r="BD113" i="7"/>
  <c r="BC113" i="7"/>
  <c r="BB113" i="7"/>
  <c r="BA113" i="7"/>
  <c r="AZ113" i="7"/>
  <c r="AY113" i="7"/>
  <c r="AX113" i="7"/>
  <c r="AW113" i="7"/>
  <c r="AV113" i="7"/>
  <c r="AU113" i="7"/>
  <c r="AT113" i="7"/>
  <c r="AS113" i="7"/>
  <c r="AR113" i="7"/>
  <c r="AQ113" i="7"/>
  <c r="AP113" i="7"/>
  <c r="AO113" i="7"/>
  <c r="AN113" i="7"/>
  <c r="AM113" i="7"/>
  <c r="AL113" i="7"/>
  <c r="AK113" i="7"/>
  <c r="AJ113" i="7"/>
  <c r="AI113" i="7"/>
  <c r="AH113" i="7"/>
  <c r="AG113" i="7"/>
  <c r="AF113" i="7"/>
  <c r="AE113" i="7"/>
  <c r="AD113" i="7"/>
  <c r="AC113" i="7"/>
  <c r="AB113" i="7"/>
  <c r="AA113" i="7"/>
  <c r="Z113" i="7"/>
  <c r="Y113" i="7"/>
  <c r="X113" i="7"/>
  <c r="W113" i="7"/>
  <c r="V113" i="7"/>
  <c r="U113" i="7"/>
  <c r="T113" i="7"/>
  <c r="S113" i="7"/>
  <c r="R113" i="7"/>
  <c r="Q113" i="7"/>
  <c r="P113" i="7"/>
  <c r="O113" i="7"/>
  <c r="N113" i="7"/>
  <c r="M113" i="7"/>
  <c r="L113" i="7"/>
  <c r="K113" i="7"/>
  <c r="J113" i="7"/>
  <c r="I113" i="7"/>
  <c r="H113" i="7"/>
  <c r="G113" i="7"/>
  <c r="F113" i="7"/>
  <c r="E113" i="7"/>
  <c r="D113" i="7"/>
  <c r="C113" i="7"/>
  <c r="BO112" i="7"/>
  <c r="BN112" i="7"/>
  <c r="BM112" i="7"/>
  <c r="BL112" i="7"/>
  <c r="BK112" i="7"/>
  <c r="BJ112" i="7"/>
  <c r="BI112" i="7"/>
  <c r="BH112" i="7"/>
  <c r="BG112" i="7"/>
  <c r="BF112" i="7"/>
  <c r="BE112" i="7"/>
  <c r="BD112" i="7"/>
  <c r="BC112" i="7"/>
  <c r="BB112" i="7"/>
  <c r="BA112" i="7"/>
  <c r="AZ112" i="7"/>
  <c r="AY112" i="7"/>
  <c r="AX112" i="7"/>
  <c r="AW112" i="7"/>
  <c r="AV112" i="7"/>
  <c r="AU112" i="7"/>
  <c r="AT112" i="7"/>
  <c r="AS112" i="7"/>
  <c r="AR112" i="7"/>
  <c r="AQ112" i="7"/>
  <c r="AP112" i="7"/>
  <c r="AO112" i="7"/>
  <c r="AN112" i="7"/>
  <c r="AM112" i="7"/>
  <c r="AL112" i="7"/>
  <c r="AK112" i="7"/>
  <c r="AJ112" i="7"/>
  <c r="AI112" i="7"/>
  <c r="AH112" i="7"/>
  <c r="AG112" i="7"/>
  <c r="AF112" i="7"/>
  <c r="AE112" i="7"/>
  <c r="AD112" i="7"/>
  <c r="AC112" i="7"/>
  <c r="AB112" i="7"/>
  <c r="AA112" i="7"/>
  <c r="Z112" i="7"/>
  <c r="Y112" i="7"/>
  <c r="X112" i="7"/>
  <c r="W112" i="7"/>
  <c r="V112" i="7"/>
  <c r="U112" i="7"/>
  <c r="T112" i="7"/>
  <c r="S112" i="7"/>
  <c r="R112" i="7"/>
  <c r="Q112" i="7"/>
  <c r="P112" i="7"/>
  <c r="O112" i="7"/>
  <c r="N112" i="7"/>
  <c r="M112" i="7"/>
  <c r="L112" i="7"/>
  <c r="K112" i="7"/>
  <c r="J112" i="7"/>
  <c r="I112" i="7"/>
  <c r="H112" i="7"/>
  <c r="G112" i="7"/>
  <c r="F112" i="7"/>
  <c r="E112" i="7"/>
  <c r="D112" i="7"/>
  <c r="C112" i="7"/>
  <c r="BO111" i="7"/>
  <c r="BN111" i="7"/>
  <c r="BM111" i="7"/>
  <c r="BL111" i="7"/>
  <c r="BK111" i="7"/>
  <c r="BJ111" i="7"/>
  <c r="BI111" i="7"/>
  <c r="BH111" i="7"/>
  <c r="BG111" i="7"/>
  <c r="BF111" i="7"/>
  <c r="BE111" i="7"/>
  <c r="BD111" i="7"/>
  <c r="BC111" i="7"/>
  <c r="BB111" i="7"/>
  <c r="BA111" i="7"/>
  <c r="AZ111" i="7"/>
  <c r="AY111" i="7"/>
  <c r="AX111" i="7"/>
  <c r="AW111" i="7"/>
  <c r="AV111" i="7"/>
  <c r="AU111" i="7"/>
  <c r="AT111" i="7"/>
  <c r="AS111" i="7"/>
  <c r="AR111" i="7"/>
  <c r="AQ111" i="7"/>
  <c r="AP111" i="7"/>
  <c r="AO111" i="7"/>
  <c r="AN111" i="7"/>
  <c r="AM111" i="7"/>
  <c r="AL111" i="7"/>
  <c r="AK111" i="7"/>
  <c r="AJ111" i="7"/>
  <c r="AI111" i="7"/>
  <c r="AH111" i="7"/>
  <c r="AG111" i="7"/>
  <c r="AF111" i="7"/>
  <c r="AE111" i="7"/>
  <c r="AD111" i="7"/>
  <c r="AC111" i="7"/>
  <c r="AB111" i="7"/>
  <c r="AA111" i="7"/>
  <c r="Z111" i="7"/>
  <c r="Y111" i="7"/>
  <c r="X111" i="7"/>
  <c r="W111" i="7"/>
  <c r="V111" i="7"/>
  <c r="U111" i="7"/>
  <c r="T111" i="7"/>
  <c r="S111" i="7"/>
  <c r="R111" i="7"/>
  <c r="Q111" i="7"/>
  <c r="P111" i="7"/>
  <c r="O111" i="7"/>
  <c r="N111" i="7"/>
  <c r="M111" i="7"/>
  <c r="L111" i="7"/>
  <c r="K111" i="7"/>
  <c r="J111" i="7"/>
  <c r="I111" i="7"/>
  <c r="H111" i="7"/>
  <c r="G111" i="7"/>
  <c r="F111" i="7"/>
  <c r="E111" i="7"/>
  <c r="D111" i="7"/>
  <c r="C111" i="7"/>
  <c r="BO110" i="7"/>
  <c r="BN110" i="7"/>
  <c r="BM110" i="7"/>
  <c r="BL110" i="7"/>
  <c r="BK110" i="7"/>
  <c r="BJ110" i="7"/>
  <c r="BI110" i="7"/>
  <c r="BH110" i="7"/>
  <c r="BG110" i="7"/>
  <c r="BF110" i="7"/>
  <c r="BE110" i="7"/>
  <c r="BD110" i="7"/>
  <c r="BC110" i="7"/>
  <c r="BB110" i="7"/>
  <c r="BA110" i="7"/>
  <c r="AZ110" i="7"/>
  <c r="AY110" i="7"/>
  <c r="AX110" i="7"/>
  <c r="AW110" i="7"/>
  <c r="AV110" i="7"/>
  <c r="AU110" i="7"/>
  <c r="AT110" i="7"/>
  <c r="AS110" i="7"/>
  <c r="AR110" i="7"/>
  <c r="AQ110" i="7"/>
  <c r="AP110" i="7"/>
  <c r="AO110" i="7"/>
  <c r="AN110" i="7"/>
  <c r="AM110" i="7"/>
  <c r="AL110" i="7"/>
  <c r="AK110" i="7"/>
  <c r="AJ110" i="7"/>
  <c r="AI110" i="7"/>
  <c r="AH110" i="7"/>
  <c r="AG110" i="7"/>
  <c r="AF110" i="7"/>
  <c r="AE110" i="7"/>
  <c r="AD110" i="7"/>
  <c r="AC110" i="7"/>
  <c r="AB110" i="7"/>
  <c r="AA110" i="7"/>
  <c r="Z110" i="7"/>
  <c r="Y110" i="7"/>
  <c r="X110" i="7"/>
  <c r="W110" i="7"/>
  <c r="V110" i="7"/>
  <c r="U110" i="7"/>
  <c r="T110" i="7"/>
  <c r="S110" i="7"/>
  <c r="R110" i="7"/>
  <c r="Q110" i="7"/>
  <c r="P110" i="7"/>
  <c r="O110" i="7"/>
  <c r="N110" i="7"/>
  <c r="M110" i="7"/>
  <c r="L110" i="7"/>
  <c r="K110" i="7"/>
  <c r="J110" i="7"/>
  <c r="I110" i="7"/>
  <c r="H110" i="7"/>
  <c r="G110" i="7"/>
  <c r="F110" i="7"/>
  <c r="E110" i="7"/>
  <c r="D110" i="7"/>
  <c r="C110" i="7"/>
  <c r="BO109" i="7"/>
  <c r="BN109" i="7"/>
  <c r="BM109" i="7"/>
  <c r="BL109" i="7"/>
  <c r="BK109" i="7"/>
  <c r="BJ109" i="7"/>
  <c r="BI109" i="7"/>
  <c r="BH109" i="7"/>
  <c r="BG109" i="7"/>
  <c r="BF109" i="7"/>
  <c r="BE109" i="7"/>
  <c r="BD109" i="7"/>
  <c r="BC109" i="7"/>
  <c r="BB109" i="7"/>
  <c r="BA109" i="7"/>
  <c r="AZ109" i="7"/>
  <c r="AY109" i="7"/>
  <c r="AX109" i="7"/>
  <c r="AW109" i="7"/>
  <c r="AV109" i="7"/>
  <c r="AU109" i="7"/>
  <c r="AT109" i="7"/>
  <c r="AS109" i="7"/>
  <c r="AR109" i="7"/>
  <c r="AQ109" i="7"/>
  <c r="AP109" i="7"/>
  <c r="AO109" i="7"/>
  <c r="AN109" i="7"/>
  <c r="AM109" i="7"/>
  <c r="AL109" i="7"/>
  <c r="AK109" i="7"/>
  <c r="AJ109" i="7"/>
  <c r="AI109" i="7"/>
  <c r="AH109" i="7"/>
  <c r="AG109" i="7"/>
  <c r="AF109" i="7"/>
  <c r="AE109" i="7"/>
  <c r="AD109" i="7"/>
  <c r="AC109" i="7"/>
  <c r="AB109" i="7"/>
  <c r="AA109" i="7"/>
  <c r="Z109" i="7"/>
  <c r="Y109" i="7"/>
  <c r="X109" i="7"/>
  <c r="W109" i="7"/>
  <c r="V109" i="7"/>
  <c r="U109" i="7"/>
  <c r="T109" i="7"/>
  <c r="S109" i="7"/>
  <c r="R109" i="7"/>
  <c r="Q109" i="7"/>
  <c r="P109" i="7"/>
  <c r="O109" i="7"/>
  <c r="N109" i="7"/>
  <c r="M109" i="7"/>
  <c r="L109" i="7"/>
  <c r="K109" i="7"/>
  <c r="J109" i="7"/>
  <c r="I109" i="7"/>
  <c r="H109" i="7"/>
  <c r="G109" i="7"/>
  <c r="F109" i="7"/>
  <c r="E109" i="7"/>
  <c r="D109" i="7"/>
  <c r="C109" i="7"/>
  <c r="BO108" i="7"/>
  <c r="BN108" i="7"/>
  <c r="BM108" i="7"/>
  <c r="BL108" i="7"/>
  <c r="BK108" i="7"/>
  <c r="BJ108" i="7"/>
  <c r="BI108" i="7"/>
  <c r="BH108" i="7"/>
  <c r="BG108" i="7"/>
  <c r="BF108" i="7"/>
  <c r="BE108" i="7"/>
  <c r="BD108" i="7"/>
  <c r="BC108" i="7"/>
  <c r="BB108" i="7"/>
  <c r="BA108" i="7"/>
  <c r="AZ108" i="7"/>
  <c r="AY108" i="7"/>
  <c r="AX108" i="7"/>
  <c r="AW108" i="7"/>
  <c r="AV108" i="7"/>
  <c r="AU108" i="7"/>
  <c r="AT108" i="7"/>
  <c r="AS108" i="7"/>
  <c r="AR108" i="7"/>
  <c r="AQ108" i="7"/>
  <c r="AP108" i="7"/>
  <c r="AO108" i="7"/>
  <c r="AN108" i="7"/>
  <c r="AM108" i="7"/>
  <c r="AL108" i="7"/>
  <c r="AK108" i="7"/>
  <c r="AJ108"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D108" i="7"/>
  <c r="C108" i="7"/>
  <c r="BO107" i="7"/>
  <c r="BN107" i="7"/>
  <c r="BM107" i="7"/>
  <c r="BL107" i="7"/>
  <c r="BK107" i="7"/>
  <c r="BJ107" i="7"/>
  <c r="BI107" i="7"/>
  <c r="BH107" i="7"/>
  <c r="BG107" i="7"/>
  <c r="BF107" i="7"/>
  <c r="BE107" i="7"/>
  <c r="BD107" i="7"/>
  <c r="BC107" i="7"/>
  <c r="BB107" i="7"/>
  <c r="BA107" i="7"/>
  <c r="AZ107" i="7"/>
  <c r="AY107" i="7"/>
  <c r="AX107" i="7"/>
  <c r="AW107" i="7"/>
  <c r="AV107" i="7"/>
  <c r="AU107" i="7"/>
  <c r="AT107" i="7"/>
  <c r="AS107" i="7"/>
  <c r="AR107" i="7"/>
  <c r="AQ107" i="7"/>
  <c r="AP107" i="7"/>
  <c r="AO107" i="7"/>
  <c r="AN107" i="7"/>
  <c r="AM107" i="7"/>
  <c r="AL107" i="7"/>
  <c r="AK107" i="7"/>
  <c r="AJ107" i="7"/>
  <c r="AI107" i="7"/>
  <c r="AH107" i="7"/>
  <c r="AG107" i="7"/>
  <c r="AF107" i="7"/>
  <c r="AE107" i="7"/>
  <c r="AD107" i="7"/>
  <c r="AC107" i="7"/>
  <c r="AB107" i="7"/>
  <c r="AA107" i="7"/>
  <c r="Z107" i="7"/>
  <c r="Y107" i="7"/>
  <c r="X107" i="7"/>
  <c r="W107" i="7"/>
  <c r="V107" i="7"/>
  <c r="U107" i="7"/>
  <c r="T107" i="7"/>
  <c r="S107" i="7"/>
  <c r="R107" i="7"/>
  <c r="Q107" i="7"/>
  <c r="P107" i="7"/>
  <c r="O107" i="7"/>
  <c r="N107" i="7"/>
  <c r="M107" i="7"/>
  <c r="L107" i="7"/>
  <c r="K107" i="7"/>
  <c r="J107" i="7"/>
  <c r="I107" i="7"/>
  <c r="H107" i="7"/>
  <c r="G107" i="7"/>
  <c r="F107" i="7"/>
  <c r="E107" i="7"/>
  <c r="D107" i="7"/>
  <c r="C107" i="7"/>
  <c r="BO106" i="7"/>
  <c r="BN106" i="7"/>
  <c r="BM106" i="7"/>
  <c r="BL106" i="7"/>
  <c r="BK106" i="7"/>
  <c r="BJ106" i="7"/>
  <c r="BI106" i="7"/>
  <c r="BH106" i="7"/>
  <c r="BG106" i="7"/>
  <c r="BF106" i="7"/>
  <c r="BE106" i="7"/>
  <c r="BD106" i="7"/>
  <c r="BC106" i="7"/>
  <c r="BB106" i="7"/>
  <c r="BA106" i="7"/>
  <c r="AZ106" i="7"/>
  <c r="AY106" i="7"/>
  <c r="AX106" i="7"/>
  <c r="AW106" i="7"/>
  <c r="AV106" i="7"/>
  <c r="AU106" i="7"/>
  <c r="AT106" i="7"/>
  <c r="AS106" i="7"/>
  <c r="AR106" i="7"/>
  <c r="AQ106" i="7"/>
  <c r="AP106" i="7"/>
  <c r="AO106" i="7"/>
  <c r="AN106" i="7"/>
  <c r="AM106" i="7"/>
  <c r="AL106" i="7"/>
  <c r="AK106" i="7"/>
  <c r="AJ106" i="7"/>
  <c r="AI106" i="7"/>
  <c r="AH106" i="7"/>
  <c r="AG106" i="7"/>
  <c r="AF106" i="7"/>
  <c r="AE106" i="7"/>
  <c r="AD106" i="7"/>
  <c r="AC106" i="7"/>
  <c r="AB106" i="7"/>
  <c r="AA106" i="7"/>
  <c r="Z106" i="7"/>
  <c r="Y106" i="7"/>
  <c r="X106" i="7"/>
  <c r="W106" i="7"/>
  <c r="V106" i="7"/>
  <c r="U106" i="7"/>
  <c r="T106" i="7"/>
  <c r="S106" i="7"/>
  <c r="R106" i="7"/>
  <c r="Q106" i="7"/>
  <c r="P106" i="7"/>
  <c r="O106" i="7"/>
  <c r="N106" i="7"/>
  <c r="M106" i="7"/>
  <c r="L106" i="7"/>
  <c r="K106" i="7"/>
  <c r="J106" i="7"/>
  <c r="I106" i="7"/>
  <c r="H106" i="7"/>
  <c r="G106" i="7"/>
  <c r="F106" i="7"/>
  <c r="E106" i="7"/>
  <c r="D106" i="7"/>
  <c r="C106" i="7"/>
  <c r="BO105" i="7"/>
  <c r="BN105" i="7"/>
  <c r="BM105" i="7"/>
  <c r="BL105" i="7"/>
  <c r="BK105" i="7"/>
  <c r="BJ105" i="7"/>
  <c r="BI105" i="7"/>
  <c r="BH105" i="7"/>
  <c r="BG105" i="7"/>
  <c r="BF105" i="7"/>
  <c r="BE105" i="7"/>
  <c r="BD105" i="7"/>
  <c r="BC105" i="7"/>
  <c r="BB105" i="7"/>
  <c r="BA105" i="7"/>
  <c r="AZ105" i="7"/>
  <c r="AY105" i="7"/>
  <c r="AX105" i="7"/>
  <c r="AW105" i="7"/>
  <c r="AV105" i="7"/>
  <c r="AU105" i="7"/>
  <c r="AT105" i="7"/>
  <c r="AS105" i="7"/>
  <c r="AR105" i="7"/>
  <c r="AQ105" i="7"/>
  <c r="AP105" i="7"/>
  <c r="AO105" i="7"/>
  <c r="AN105" i="7"/>
  <c r="AM105" i="7"/>
  <c r="AL105" i="7"/>
  <c r="AK105" i="7"/>
  <c r="AJ105" i="7"/>
  <c r="AI105" i="7"/>
  <c r="AH105" i="7"/>
  <c r="AG105" i="7"/>
  <c r="AF105" i="7"/>
  <c r="AE105" i="7"/>
  <c r="AD105" i="7"/>
  <c r="AC105" i="7"/>
  <c r="AB105" i="7"/>
  <c r="AA105" i="7"/>
  <c r="Z105" i="7"/>
  <c r="Y105" i="7"/>
  <c r="X105" i="7"/>
  <c r="W105" i="7"/>
  <c r="V105" i="7"/>
  <c r="U105" i="7"/>
  <c r="T105" i="7"/>
  <c r="S105" i="7"/>
  <c r="R105" i="7"/>
  <c r="Q105" i="7"/>
  <c r="P105" i="7"/>
  <c r="O105" i="7"/>
  <c r="N105" i="7"/>
  <c r="M105" i="7"/>
  <c r="L105" i="7"/>
  <c r="K105" i="7"/>
  <c r="J105" i="7"/>
  <c r="I105" i="7"/>
  <c r="H105" i="7"/>
  <c r="G105" i="7"/>
  <c r="F105" i="7"/>
  <c r="E105" i="7"/>
  <c r="D105" i="7"/>
  <c r="C105" i="7"/>
  <c r="BJ104" i="7"/>
  <c r="BB104" i="7"/>
  <c r="AZ104" i="7"/>
  <c r="AP104" i="7"/>
  <c r="AE104" i="7"/>
  <c r="U104" i="7"/>
  <c r="M104" i="7"/>
  <c r="K104" i="7"/>
  <c r="B104" i="7"/>
  <c r="BD103" i="7"/>
  <c r="AT103" i="7"/>
  <c r="O103" i="7"/>
  <c r="B103" i="7"/>
  <c r="BT102" i="7"/>
  <c r="BM102" i="7"/>
  <c r="BL102" i="7"/>
  <c r="BK102" i="7"/>
  <c r="BJ102" i="7"/>
  <c r="BI102" i="7"/>
  <c r="BH102" i="7"/>
  <c r="BG102" i="7"/>
  <c r="BF102" i="7"/>
  <c r="BE102" i="7"/>
  <c r="BD102" i="7"/>
  <c r="BC102" i="7"/>
  <c r="BB102" i="7"/>
  <c r="BA102" i="7"/>
  <c r="AZ102" i="7"/>
  <c r="AY102" i="7"/>
  <c r="AX102" i="7"/>
  <c r="AW102" i="7"/>
  <c r="AV102" i="7"/>
  <c r="AU102" i="7"/>
  <c r="AT102" i="7"/>
  <c r="AS102" i="7"/>
  <c r="AR102" i="7"/>
  <c r="AQ102" i="7"/>
  <c r="AP102" i="7"/>
  <c r="AO102" i="7"/>
  <c r="AN102" i="7"/>
  <c r="AM102" i="7"/>
  <c r="AL102" i="7"/>
  <c r="AK102" i="7"/>
  <c r="AJ102" i="7"/>
  <c r="AI102" i="7"/>
  <c r="AH102" i="7"/>
  <c r="AG102" i="7"/>
  <c r="AF102" i="7"/>
  <c r="AE102" i="7"/>
  <c r="AD102" i="7"/>
  <c r="AC102" i="7"/>
  <c r="AB102" i="7"/>
  <c r="AA102" i="7"/>
  <c r="Z102" i="7"/>
  <c r="Y102" i="7"/>
  <c r="X102" i="7"/>
  <c r="W102" i="7"/>
  <c r="V102" i="7"/>
  <c r="U102" i="7"/>
  <c r="T102" i="7"/>
  <c r="S102" i="7"/>
  <c r="R102" i="7"/>
  <c r="Q102" i="7"/>
  <c r="P102" i="7"/>
  <c r="O102" i="7"/>
  <c r="N102" i="7"/>
  <c r="M102" i="7"/>
  <c r="L102" i="7"/>
  <c r="K102" i="7"/>
  <c r="J102" i="7"/>
  <c r="I102" i="7"/>
  <c r="H102" i="7"/>
  <c r="G102" i="7"/>
  <c r="F102" i="7"/>
  <c r="E102" i="7"/>
  <c r="D102" i="7"/>
  <c r="C102" i="7"/>
  <c r="B102" i="7"/>
  <c r="B101" i="7"/>
  <c r="AU100" i="7"/>
  <c r="AC100" i="7"/>
  <c r="BO98" i="7"/>
  <c r="BN98" i="7"/>
  <c r="BM98" i="7"/>
  <c r="BM146" i="7" s="1"/>
  <c r="BL98" i="7"/>
  <c r="BL146" i="7" s="1"/>
  <c r="BK98" i="7"/>
  <c r="BJ98" i="7"/>
  <c r="BJ146" i="7" s="1"/>
  <c r="BI98" i="7"/>
  <c r="BI146" i="7" s="1"/>
  <c r="BH98" i="7"/>
  <c r="BH146" i="7" s="1"/>
  <c r="BG98" i="7"/>
  <c r="BF98" i="7"/>
  <c r="BE98" i="7"/>
  <c r="BD98" i="7"/>
  <c r="BD146" i="7" s="1"/>
  <c r="BC98" i="7"/>
  <c r="BB98" i="7"/>
  <c r="BB146" i="7" s="1"/>
  <c r="BA98" i="7"/>
  <c r="BA146" i="7" s="1"/>
  <c r="AZ98" i="7"/>
  <c r="AY98" i="7"/>
  <c r="AY146" i="7" s="1"/>
  <c r="AX98" i="7"/>
  <c r="AW98" i="7"/>
  <c r="AW146" i="7" s="1"/>
  <c r="AV98" i="7"/>
  <c r="AV146" i="7" s="1"/>
  <c r="AU98" i="7"/>
  <c r="AT98" i="7"/>
  <c r="AT146" i="7" s="1"/>
  <c r="AS98" i="7"/>
  <c r="AS146" i="7" s="1"/>
  <c r="AR98" i="7"/>
  <c r="AQ98" i="7"/>
  <c r="AP98" i="7"/>
  <c r="AO98" i="7"/>
  <c r="AO146" i="7" s="1"/>
  <c r="AN98" i="7"/>
  <c r="AN146" i="7" s="1"/>
  <c r="AM98" i="7"/>
  <c r="AL98" i="7"/>
  <c r="AL146" i="7" s="1"/>
  <c r="AK98" i="7"/>
  <c r="AK146" i="7" s="1"/>
  <c r="AJ98" i="7"/>
  <c r="AI98" i="7"/>
  <c r="AH98" i="7"/>
  <c r="AG98" i="7"/>
  <c r="AF98" i="7"/>
  <c r="AF146" i="7" s="1"/>
  <c r="AE98" i="7"/>
  <c r="AD98" i="7"/>
  <c r="AD146" i="7" s="1"/>
  <c r="AC98" i="7"/>
  <c r="AC146" i="7" s="1"/>
  <c r="AB98" i="7"/>
  <c r="AB146" i="7" s="1"/>
  <c r="AA98" i="7"/>
  <c r="Z98" i="7"/>
  <c r="Y98" i="7"/>
  <c r="Y146" i="7" s="1"/>
  <c r="X98" i="7"/>
  <c r="X146" i="7" s="1"/>
  <c r="W98" i="7"/>
  <c r="V98" i="7"/>
  <c r="V146" i="7" s="1"/>
  <c r="U98" i="7"/>
  <c r="U146" i="7" s="1"/>
  <c r="T98" i="7"/>
  <c r="T146" i="7" s="1"/>
  <c r="S98" i="7"/>
  <c r="S146" i="7" s="1"/>
  <c r="R98" i="7"/>
  <c r="Q98" i="7"/>
  <c r="Q146" i="7" s="1"/>
  <c r="P98" i="7"/>
  <c r="P146" i="7" s="1"/>
  <c r="O98" i="7"/>
  <c r="N98" i="7"/>
  <c r="N146" i="7" s="1"/>
  <c r="M98" i="7"/>
  <c r="M146" i="7" s="1"/>
  <c r="L98" i="7"/>
  <c r="K98" i="7"/>
  <c r="K146" i="7" s="1"/>
  <c r="J98" i="7"/>
  <c r="I98" i="7"/>
  <c r="I146" i="7" s="1"/>
  <c r="H98" i="7"/>
  <c r="H146" i="7" s="1"/>
  <c r="G98" i="7"/>
  <c r="F98" i="7"/>
  <c r="F146" i="7" s="1"/>
  <c r="E98" i="7"/>
  <c r="E146" i="7" s="1"/>
  <c r="D98" i="7"/>
  <c r="C98" i="7"/>
  <c r="B98" i="7"/>
  <c r="BO86" i="7"/>
  <c r="BN86" i="7"/>
  <c r="BN134" i="7" s="1"/>
  <c r="BM86" i="7"/>
  <c r="BM134" i="7" s="1"/>
  <c r="BL86" i="7"/>
  <c r="BK86" i="7"/>
  <c r="BJ86" i="7"/>
  <c r="BJ134" i="7" s="1"/>
  <c r="BI86" i="7"/>
  <c r="BI134" i="7" s="1"/>
  <c r="BH86" i="7"/>
  <c r="BH134" i="7" s="1"/>
  <c r="BG86" i="7"/>
  <c r="BF86" i="7"/>
  <c r="BF134" i="7" s="1"/>
  <c r="BE86" i="7"/>
  <c r="BE134" i="7" s="1"/>
  <c r="BD86" i="7"/>
  <c r="BD134" i="7" s="1"/>
  <c r="BC86" i="7"/>
  <c r="BB86" i="7"/>
  <c r="BB134" i="7" s="1"/>
  <c r="BA86" i="7"/>
  <c r="BA134" i="7" s="1"/>
  <c r="AZ86" i="7"/>
  <c r="AZ134" i="7" s="1"/>
  <c r="AY86" i="7"/>
  <c r="AX86" i="7"/>
  <c r="AX134" i="7" s="1"/>
  <c r="AW86" i="7"/>
  <c r="AW134" i="7" s="1"/>
  <c r="AV86" i="7"/>
  <c r="AV134" i="7" s="1"/>
  <c r="AU86" i="7"/>
  <c r="AT86" i="7"/>
  <c r="AT134" i="7" s="1"/>
  <c r="AS86" i="7"/>
  <c r="AS134" i="7" s="1"/>
  <c r="AR86" i="7"/>
  <c r="AR134" i="7" s="1"/>
  <c r="AQ86" i="7"/>
  <c r="AP86" i="7"/>
  <c r="AP134" i="7" s="1"/>
  <c r="AO86" i="7"/>
  <c r="AO134" i="7" s="1"/>
  <c r="AN86" i="7"/>
  <c r="AM86" i="7"/>
  <c r="AM134" i="7" s="1"/>
  <c r="AL86" i="7"/>
  <c r="AL134" i="7" s="1"/>
  <c r="AK86" i="7"/>
  <c r="AK134" i="7" s="1"/>
  <c r="AJ86" i="7"/>
  <c r="AJ134" i="7" s="1"/>
  <c r="AI86" i="7"/>
  <c r="AH86" i="7"/>
  <c r="AH134" i="7" s="1"/>
  <c r="AG86" i="7"/>
  <c r="AG134" i="7" s="1"/>
  <c r="AF86" i="7"/>
  <c r="AE86" i="7"/>
  <c r="AD86" i="7"/>
  <c r="AD134" i="7" s="1"/>
  <c r="AC86" i="7"/>
  <c r="AC134" i="7" s="1"/>
  <c r="AB86" i="7"/>
  <c r="AB134" i="7" s="1"/>
  <c r="AA86" i="7"/>
  <c r="Z86" i="7"/>
  <c r="Z134" i="7" s="1"/>
  <c r="Y86" i="7"/>
  <c r="Y134" i="7" s="1"/>
  <c r="X86" i="7"/>
  <c r="X134" i="7" s="1"/>
  <c r="W86" i="7"/>
  <c r="V86" i="7"/>
  <c r="V134" i="7" s="1"/>
  <c r="U86" i="7"/>
  <c r="T86" i="7"/>
  <c r="T134" i="7" s="1"/>
  <c r="S86" i="7"/>
  <c r="R86" i="7"/>
  <c r="R134" i="7" s="1"/>
  <c r="Q86" i="7"/>
  <c r="Q134" i="7" s="1"/>
  <c r="P86" i="7"/>
  <c r="O86" i="7"/>
  <c r="O134" i="7" s="1"/>
  <c r="N86" i="7"/>
  <c r="N134" i="7" s="1"/>
  <c r="M86" i="7"/>
  <c r="M134" i="7" s="1"/>
  <c r="L86" i="7"/>
  <c r="L134" i="7" s="1"/>
  <c r="K86" i="7"/>
  <c r="J86" i="7"/>
  <c r="J134" i="7" s="1"/>
  <c r="I86" i="7"/>
  <c r="I134" i="7" s="1"/>
  <c r="H86" i="7"/>
  <c r="G86" i="7"/>
  <c r="F86" i="7"/>
  <c r="F134" i="7" s="1"/>
  <c r="E86" i="7"/>
  <c r="E134" i="7" s="1"/>
  <c r="D86" i="7"/>
  <c r="D134" i="7" s="1"/>
  <c r="C86" i="7"/>
  <c r="B86" i="7"/>
  <c r="BO77" i="7"/>
  <c r="BO125" i="7" s="1"/>
  <c r="BN77" i="7"/>
  <c r="BN125" i="7" s="1"/>
  <c r="BM77" i="7"/>
  <c r="BL77" i="7"/>
  <c r="BL125" i="7" s="1"/>
  <c r="BK77" i="7"/>
  <c r="BK125" i="7" s="1"/>
  <c r="BJ77" i="7"/>
  <c r="BI77" i="7"/>
  <c r="BI125" i="7" s="1"/>
  <c r="BH77" i="7"/>
  <c r="BH125" i="7" s="1"/>
  <c r="BG77" i="7"/>
  <c r="BG125" i="7" s="1"/>
  <c r="BF77" i="7"/>
  <c r="BF125" i="7" s="1"/>
  <c r="BE77" i="7"/>
  <c r="BD77" i="7"/>
  <c r="BD125" i="7" s="1"/>
  <c r="BC77" i="7"/>
  <c r="BC125" i="7" s="1"/>
  <c r="BB77" i="7"/>
  <c r="BA77" i="7"/>
  <c r="AZ77" i="7"/>
  <c r="AZ125" i="7" s="1"/>
  <c r="AY77" i="7"/>
  <c r="AY125" i="7" s="1"/>
  <c r="AX77" i="7"/>
  <c r="AW77" i="7"/>
  <c r="AV77" i="7"/>
  <c r="AV125" i="7" s="1"/>
  <c r="AU77" i="7"/>
  <c r="AU125" i="7" s="1"/>
  <c r="AT77" i="7"/>
  <c r="AS77" i="7"/>
  <c r="AR77" i="7"/>
  <c r="AR125" i="7" s="1"/>
  <c r="AQ77" i="7"/>
  <c r="AQ125" i="7" s="1"/>
  <c r="AP77" i="7"/>
  <c r="AO77" i="7"/>
  <c r="AN77" i="7"/>
  <c r="AN125" i="7" s="1"/>
  <c r="AM77" i="7"/>
  <c r="AM125" i="7" s="1"/>
  <c r="AL77" i="7"/>
  <c r="AK77" i="7"/>
  <c r="AJ77" i="7"/>
  <c r="AJ125" i="7" s="1"/>
  <c r="AI77" i="7"/>
  <c r="AI125" i="7" s="1"/>
  <c r="AH77" i="7"/>
  <c r="AH125" i="7" s="1"/>
  <c r="AG77" i="7"/>
  <c r="AF77" i="7"/>
  <c r="AF125" i="7" s="1"/>
  <c r="AE77" i="7"/>
  <c r="AE125" i="7" s="1"/>
  <c r="AD77" i="7"/>
  <c r="AC77" i="7"/>
  <c r="AC125" i="7" s="1"/>
  <c r="AB77" i="7"/>
  <c r="AB125" i="7" s="1"/>
  <c r="AA77" i="7"/>
  <c r="AA125" i="7" s="1"/>
  <c r="Z77" i="7"/>
  <c r="Y77" i="7"/>
  <c r="X77" i="7"/>
  <c r="X125" i="7" s="1"/>
  <c r="W77" i="7"/>
  <c r="W125" i="7" s="1"/>
  <c r="V77" i="7"/>
  <c r="U77" i="7"/>
  <c r="U125" i="7" s="1"/>
  <c r="T77" i="7"/>
  <c r="T125" i="7" s="1"/>
  <c r="S77" i="7"/>
  <c r="S125" i="7" s="1"/>
  <c r="R77" i="7"/>
  <c r="Q77" i="7"/>
  <c r="P77" i="7"/>
  <c r="P125" i="7" s="1"/>
  <c r="O77" i="7"/>
  <c r="O125" i="7" s="1"/>
  <c r="N77" i="7"/>
  <c r="M77" i="7"/>
  <c r="L77" i="7"/>
  <c r="L125" i="7" s="1"/>
  <c r="K77" i="7"/>
  <c r="K125" i="7" s="1"/>
  <c r="J77" i="7"/>
  <c r="I77" i="7"/>
  <c r="H77" i="7"/>
  <c r="H125" i="7" s="1"/>
  <c r="G77" i="7"/>
  <c r="G125" i="7" s="1"/>
  <c r="F77" i="7"/>
  <c r="E77" i="7"/>
  <c r="D77" i="7"/>
  <c r="D125" i="7" s="1"/>
  <c r="C77" i="7"/>
  <c r="C125" i="7" s="1"/>
  <c r="BO68" i="7"/>
  <c r="BO116" i="7" s="1"/>
  <c r="BN68" i="7"/>
  <c r="BN116" i="7" s="1"/>
  <c r="BM68" i="7"/>
  <c r="BM116" i="7" s="1"/>
  <c r="BL68" i="7"/>
  <c r="BK68" i="7"/>
  <c r="BK116" i="7" s="1"/>
  <c r="BJ68" i="7"/>
  <c r="BI68" i="7"/>
  <c r="BI116" i="7" s="1"/>
  <c r="BH68" i="7"/>
  <c r="BH116" i="7" s="1"/>
  <c r="BG68" i="7"/>
  <c r="BF68" i="7"/>
  <c r="BF116" i="7" s="1"/>
  <c r="BE68" i="7"/>
  <c r="BE116" i="7" s="1"/>
  <c r="BD68" i="7"/>
  <c r="BC68" i="7"/>
  <c r="BC116" i="7" s="1"/>
  <c r="BB68" i="7"/>
  <c r="BA68" i="7"/>
  <c r="BA116" i="7" s="1"/>
  <c r="AZ68" i="7"/>
  <c r="AY68" i="7"/>
  <c r="AX68" i="7"/>
  <c r="AW68" i="7"/>
  <c r="AW116" i="7" s="1"/>
  <c r="AV68" i="7"/>
  <c r="AU68" i="7"/>
  <c r="AU116" i="7" s="1"/>
  <c r="AT68" i="7"/>
  <c r="AS68" i="7"/>
  <c r="AS116" i="7" s="1"/>
  <c r="AR68" i="7"/>
  <c r="AR116" i="7" s="1"/>
  <c r="AQ68" i="7"/>
  <c r="AQ116" i="7" s="1"/>
  <c r="AP68" i="7"/>
  <c r="AO68" i="7"/>
  <c r="AO116" i="7" s="1"/>
  <c r="AN68" i="7"/>
  <c r="AM68" i="7"/>
  <c r="AM116" i="7" s="1"/>
  <c r="AL68" i="7"/>
  <c r="AL116" i="7" s="1"/>
  <c r="AK68" i="7"/>
  <c r="AK116" i="7" s="1"/>
  <c r="AJ68" i="7"/>
  <c r="AJ116" i="7" s="1"/>
  <c r="AI68" i="7"/>
  <c r="AH68" i="7"/>
  <c r="AH116" i="7" s="1"/>
  <c r="AG68" i="7"/>
  <c r="AG116" i="7" s="1"/>
  <c r="AF68" i="7"/>
  <c r="AE68" i="7"/>
  <c r="AE116" i="7" s="1"/>
  <c r="AD68" i="7"/>
  <c r="AD116" i="7" s="1"/>
  <c r="AC68" i="7"/>
  <c r="AC55" i="7" s="1"/>
  <c r="AC103" i="7" s="1"/>
  <c r="AB68" i="7"/>
  <c r="AB116" i="7" s="1"/>
  <c r="AA68" i="7"/>
  <c r="Z68" i="7"/>
  <c r="Y68" i="7"/>
  <c r="Y116" i="7" s="1"/>
  <c r="X68" i="7"/>
  <c r="W68" i="7"/>
  <c r="W116" i="7" s="1"/>
  <c r="V68" i="7"/>
  <c r="U68" i="7"/>
  <c r="U55" i="7" s="1"/>
  <c r="U103" i="7" s="1"/>
  <c r="T68" i="7"/>
  <c r="T116" i="7" s="1"/>
  <c r="S68" i="7"/>
  <c r="R68" i="7"/>
  <c r="Q68" i="7"/>
  <c r="Q116" i="7" s="1"/>
  <c r="P68" i="7"/>
  <c r="O68" i="7"/>
  <c r="O116" i="7" s="1"/>
  <c r="N68" i="7"/>
  <c r="M68" i="7"/>
  <c r="M116" i="7" s="1"/>
  <c r="L68" i="7"/>
  <c r="L116" i="7" s="1"/>
  <c r="K68" i="7"/>
  <c r="K116" i="7" s="1"/>
  <c r="J68" i="7"/>
  <c r="I68" i="7"/>
  <c r="I116" i="7" s="1"/>
  <c r="H68" i="7"/>
  <c r="G68" i="7"/>
  <c r="G116" i="7" s="1"/>
  <c r="F68" i="7"/>
  <c r="F116" i="7" s="1"/>
  <c r="E68" i="7"/>
  <c r="E116" i="7" s="1"/>
  <c r="D68" i="7"/>
  <c r="D116" i="7" s="1"/>
  <c r="C68" i="7"/>
  <c r="C116" i="7" s="1"/>
  <c r="B68" i="7"/>
  <c r="BO56" i="7"/>
  <c r="BO104" i="7" s="1"/>
  <c r="BN56" i="7"/>
  <c r="BN55" i="7" s="1"/>
  <c r="BN100" i="7" s="1"/>
  <c r="BM56" i="7"/>
  <c r="BM55" i="7" s="1"/>
  <c r="BM103" i="7" s="1"/>
  <c r="BL56" i="7"/>
  <c r="BL104" i="7" s="1"/>
  <c r="BK56" i="7"/>
  <c r="BK104" i="7" s="1"/>
  <c r="BJ56" i="7"/>
  <c r="BI56" i="7"/>
  <c r="BI104" i="7" s="1"/>
  <c r="BH56" i="7"/>
  <c r="BH104" i="7" s="1"/>
  <c r="BG56" i="7"/>
  <c r="BG55" i="7" s="1"/>
  <c r="BG100" i="7" s="1"/>
  <c r="BF56" i="7"/>
  <c r="BF55" i="7" s="1"/>
  <c r="BE56" i="7"/>
  <c r="BE55" i="7" s="1"/>
  <c r="BD56" i="7"/>
  <c r="BD104" i="7" s="1"/>
  <c r="BC56" i="7"/>
  <c r="BC104" i="7" s="1"/>
  <c r="BB56" i="7"/>
  <c r="BA56" i="7"/>
  <c r="BA104" i="7" s="1"/>
  <c r="AZ56" i="7"/>
  <c r="AY56" i="7"/>
  <c r="AY104" i="7" s="1"/>
  <c r="AX56" i="7"/>
  <c r="AX55" i="7" s="1"/>
  <c r="AX100" i="7" s="1"/>
  <c r="AW56" i="7"/>
  <c r="AW55" i="7" s="1"/>
  <c r="AV56" i="7"/>
  <c r="AV104" i="7" s="1"/>
  <c r="AU56" i="7"/>
  <c r="AU104" i="7" s="1"/>
  <c r="AT56" i="7"/>
  <c r="AS56" i="7"/>
  <c r="AS104" i="7" s="1"/>
  <c r="AR56" i="7"/>
  <c r="AR104" i="7" s="1"/>
  <c r="AQ56" i="7"/>
  <c r="AQ104" i="7" s="1"/>
  <c r="AP56" i="7"/>
  <c r="AP55" i="7" s="1"/>
  <c r="AP100" i="7" s="1"/>
  <c r="AO56" i="7"/>
  <c r="AO55" i="7" s="1"/>
  <c r="AN56" i="7"/>
  <c r="AN104" i="7" s="1"/>
  <c r="AM56" i="7"/>
  <c r="AM104" i="7" s="1"/>
  <c r="AL56" i="7"/>
  <c r="AL104" i="7" s="1"/>
  <c r="AK56" i="7"/>
  <c r="AK104" i="7" s="1"/>
  <c r="AJ56" i="7"/>
  <c r="AJ104" i="7" s="1"/>
  <c r="AI56" i="7"/>
  <c r="AI104" i="7" s="1"/>
  <c r="AH56" i="7"/>
  <c r="AH55" i="7" s="1"/>
  <c r="AH100" i="7" s="1"/>
  <c r="AG56" i="7"/>
  <c r="AG55" i="7" s="1"/>
  <c r="AF56" i="7"/>
  <c r="AF104" i="7" s="1"/>
  <c r="AE56" i="7"/>
  <c r="AD56" i="7"/>
  <c r="AD104" i="7" s="1"/>
  <c r="AC56" i="7"/>
  <c r="AC104" i="7" s="1"/>
  <c r="AB56" i="7"/>
  <c r="AB104" i="7" s="1"/>
  <c r="AA56" i="7"/>
  <c r="AA55" i="7" s="1"/>
  <c r="AA100" i="7" s="1"/>
  <c r="Z56" i="7"/>
  <c r="Z55" i="7" s="1"/>
  <c r="Z100" i="7" s="1"/>
  <c r="Y56" i="7"/>
  <c r="Y55" i="7" s="1"/>
  <c r="Y100" i="7" s="1"/>
  <c r="X56" i="7"/>
  <c r="X104" i="7" s="1"/>
  <c r="W56" i="7"/>
  <c r="W104" i="7" s="1"/>
  <c r="V56" i="7"/>
  <c r="V104" i="7" s="1"/>
  <c r="U56" i="7"/>
  <c r="T56" i="7"/>
  <c r="T104" i="7" s="1"/>
  <c r="S56" i="7"/>
  <c r="S104" i="7" s="1"/>
  <c r="R56" i="7"/>
  <c r="R55" i="7" s="1"/>
  <c r="R100" i="7" s="1"/>
  <c r="Q56" i="7"/>
  <c r="Q55" i="7" s="1"/>
  <c r="P56" i="7"/>
  <c r="P104" i="7" s="1"/>
  <c r="O56" i="7"/>
  <c r="O104" i="7" s="1"/>
  <c r="N56" i="7"/>
  <c r="N104" i="7" s="1"/>
  <c r="M56" i="7"/>
  <c r="L56" i="7"/>
  <c r="L104" i="7" s="1"/>
  <c r="K56" i="7"/>
  <c r="K55" i="7" s="1"/>
  <c r="K100" i="7" s="1"/>
  <c r="J56" i="7"/>
  <c r="J55" i="7" s="1"/>
  <c r="J100" i="7" s="1"/>
  <c r="I56" i="7"/>
  <c r="I55" i="7" s="1"/>
  <c r="H56" i="7"/>
  <c r="H104" i="7" s="1"/>
  <c r="G56" i="7"/>
  <c r="G104" i="7" s="1"/>
  <c r="F56" i="7"/>
  <c r="F104" i="7" s="1"/>
  <c r="E56" i="7"/>
  <c r="E104" i="7" s="1"/>
  <c r="D56" i="7"/>
  <c r="D104" i="7" s="1"/>
  <c r="C56" i="7"/>
  <c r="C104" i="7" s="1"/>
  <c r="B56" i="7"/>
  <c r="BL55" i="7"/>
  <c r="BK55" i="7"/>
  <c r="BK100" i="7" s="1"/>
  <c r="BJ55" i="7"/>
  <c r="BJ101" i="7" s="1"/>
  <c r="BH55" i="7"/>
  <c r="BH100" i="7" s="1"/>
  <c r="BD55" i="7"/>
  <c r="BC55" i="7"/>
  <c r="BC103" i="7" s="1"/>
  <c r="BB55" i="7"/>
  <c r="BB103" i="7" s="1"/>
  <c r="AZ55" i="7"/>
  <c r="AZ100" i="7" s="1"/>
  <c r="AV55" i="7"/>
  <c r="AU55" i="7"/>
  <c r="AU103" i="7" s="1"/>
  <c r="AT55" i="7"/>
  <c r="AR55" i="7"/>
  <c r="AR100" i="7" s="1"/>
  <c r="AN55" i="7"/>
  <c r="AM55" i="7"/>
  <c r="AM103" i="7" s="1"/>
  <c r="AL55" i="7"/>
  <c r="AJ55" i="7"/>
  <c r="AJ100" i="7" s="1"/>
  <c r="AF55" i="7"/>
  <c r="AE55" i="7"/>
  <c r="AE103" i="7" s="1"/>
  <c r="AD55" i="7"/>
  <c r="AB55" i="7"/>
  <c r="AB100" i="7" s="1"/>
  <c r="AB148" i="7" s="1"/>
  <c r="X55" i="7"/>
  <c r="W55" i="7"/>
  <c r="W100" i="7" s="1"/>
  <c r="V55" i="7"/>
  <c r="V100" i="7" s="1"/>
  <c r="T55" i="7"/>
  <c r="T100" i="7" s="1"/>
  <c r="P55" i="7"/>
  <c r="O55" i="7"/>
  <c r="O100" i="7" s="1"/>
  <c r="N55" i="7"/>
  <c r="L55" i="7"/>
  <c r="L100" i="7" s="1"/>
  <c r="H55" i="7"/>
  <c r="G55" i="7"/>
  <c r="G103" i="7" s="1"/>
  <c r="F55" i="7"/>
  <c r="F103" i="7" s="1"/>
  <c r="D55" i="7"/>
  <c r="D100" i="7" s="1"/>
  <c r="B55" i="7"/>
  <c r="BT54" i="7"/>
  <c r="BT131" i="7" s="1"/>
  <c r="BM54" i="7"/>
  <c r="BL54" i="7"/>
  <c r="BK54" i="7"/>
  <c r="BJ54" i="7"/>
  <c r="BI54" i="7"/>
  <c r="BH54" i="7"/>
  <c r="BG54" i="7"/>
  <c r="BF54" i="7"/>
  <c r="BE54" i="7"/>
  <c r="BD54" i="7"/>
  <c r="BC54"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E54" i="7"/>
  <c r="D54" i="7"/>
  <c r="C54" i="7"/>
  <c r="B54" i="7"/>
  <c r="BT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BT38" i="7"/>
  <c r="BO38" i="7"/>
  <c r="BN38" i="7"/>
  <c r="BM38" i="7"/>
  <c r="BL38" i="7"/>
  <c r="BK38" i="7"/>
  <c r="BJ38"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BT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C29" i="7"/>
  <c r="BT20" i="7"/>
  <c r="BO20" i="7"/>
  <c r="BN20" i="7"/>
  <c r="BM20" i="7"/>
  <c r="BL20" i="7"/>
  <c r="BL7" i="7" s="1"/>
  <c r="BL52" i="7" s="1"/>
  <c r="BK20" i="7"/>
  <c r="BJ20" i="7"/>
  <c r="BI20" i="7"/>
  <c r="BH20" i="7"/>
  <c r="BG20" i="7"/>
  <c r="BF20" i="7"/>
  <c r="BE20" i="7"/>
  <c r="BE7" i="7" s="1"/>
  <c r="BE52" i="7" s="1"/>
  <c r="BD20" i="7"/>
  <c r="BD7" i="7" s="1"/>
  <c r="BD52" i="7" s="1"/>
  <c r="BC20" i="7"/>
  <c r="BB20" i="7"/>
  <c r="BA20" i="7"/>
  <c r="AZ20" i="7"/>
  <c r="AY20" i="7"/>
  <c r="AX20" i="7"/>
  <c r="AW20" i="7"/>
  <c r="AW7" i="7" s="1"/>
  <c r="AW52" i="7" s="1"/>
  <c r="AV20" i="7"/>
  <c r="AU20" i="7"/>
  <c r="AT20" i="7"/>
  <c r="AS20" i="7"/>
  <c r="AR20" i="7"/>
  <c r="AQ20" i="7"/>
  <c r="AP20" i="7"/>
  <c r="AO20" i="7"/>
  <c r="AO7" i="7" s="1"/>
  <c r="AO52" i="7" s="1"/>
  <c r="AN20" i="7"/>
  <c r="AM20" i="7"/>
  <c r="AL20" i="7"/>
  <c r="AK20" i="7"/>
  <c r="AJ20" i="7"/>
  <c r="AI20" i="7"/>
  <c r="AH20" i="7"/>
  <c r="AG20" i="7"/>
  <c r="AG7" i="7" s="1"/>
  <c r="AG52" i="7" s="1"/>
  <c r="AF20" i="7"/>
  <c r="AE20" i="7"/>
  <c r="AD20" i="7"/>
  <c r="AC20" i="7"/>
  <c r="AB20" i="7"/>
  <c r="AA20" i="7"/>
  <c r="Z20" i="7"/>
  <c r="Y20" i="7"/>
  <c r="Y7" i="7" s="1"/>
  <c r="Y52" i="7" s="1"/>
  <c r="X20" i="7"/>
  <c r="X7" i="7" s="1"/>
  <c r="X52" i="7" s="1"/>
  <c r="W20" i="7"/>
  <c r="V20" i="7"/>
  <c r="U20" i="7"/>
  <c r="T20" i="7"/>
  <c r="S20" i="7"/>
  <c r="R20" i="7"/>
  <c r="Q20" i="7"/>
  <c r="Q7" i="7" s="1"/>
  <c r="Q52" i="7" s="1"/>
  <c r="P20" i="7"/>
  <c r="O20" i="7"/>
  <c r="N20" i="7"/>
  <c r="M20" i="7"/>
  <c r="L20" i="7"/>
  <c r="K20" i="7"/>
  <c r="J20" i="7"/>
  <c r="I20" i="7"/>
  <c r="I7" i="7" s="1"/>
  <c r="I52" i="7" s="1"/>
  <c r="H20" i="7"/>
  <c r="G20" i="7"/>
  <c r="F20" i="7"/>
  <c r="E20" i="7"/>
  <c r="D20" i="7"/>
  <c r="C20" i="7"/>
  <c r="B20" i="7"/>
  <c r="BT8" i="7"/>
  <c r="BT7" i="7" s="1"/>
  <c r="BT52" i="7" s="1"/>
  <c r="BO8" i="7"/>
  <c r="BN8" i="7"/>
  <c r="BM8" i="7"/>
  <c r="BL8" i="7"/>
  <c r="BK8" i="7"/>
  <c r="BK7" i="7" s="1"/>
  <c r="BK52" i="7" s="1"/>
  <c r="BJ8" i="7"/>
  <c r="BJ7" i="7" s="1"/>
  <c r="BJ52" i="7" s="1"/>
  <c r="BI8" i="7"/>
  <c r="BH8" i="7"/>
  <c r="BH7" i="7" s="1"/>
  <c r="BG8" i="7"/>
  <c r="BF8" i="7"/>
  <c r="BE8" i="7"/>
  <c r="BD8" i="7"/>
  <c r="BC8" i="7"/>
  <c r="BC7" i="7" s="1"/>
  <c r="BC52" i="7" s="1"/>
  <c r="BB8" i="7"/>
  <c r="BB7" i="7" s="1"/>
  <c r="BB52" i="7" s="1"/>
  <c r="BA8" i="7"/>
  <c r="AZ8" i="7"/>
  <c r="AZ7" i="7" s="1"/>
  <c r="AY8" i="7"/>
  <c r="AX8" i="7"/>
  <c r="AW8" i="7"/>
  <c r="AV8" i="7"/>
  <c r="AU8" i="7"/>
  <c r="AU7" i="7" s="1"/>
  <c r="AU52" i="7" s="1"/>
  <c r="AT8" i="7"/>
  <c r="AT7" i="7" s="1"/>
  <c r="AT52" i="7" s="1"/>
  <c r="AS8" i="7"/>
  <c r="AR8" i="7"/>
  <c r="AR7" i="7" s="1"/>
  <c r="AQ8" i="7"/>
  <c r="AP8" i="7"/>
  <c r="AO8" i="7"/>
  <c r="AN8" i="7"/>
  <c r="AM8" i="7"/>
  <c r="AM7" i="7" s="1"/>
  <c r="AM52" i="7" s="1"/>
  <c r="AL8" i="7"/>
  <c r="AL7" i="7" s="1"/>
  <c r="AL52" i="7" s="1"/>
  <c r="AK8" i="7"/>
  <c r="AJ8" i="7"/>
  <c r="AJ7" i="7" s="1"/>
  <c r="AI8" i="7"/>
  <c r="AH8" i="7"/>
  <c r="AG8" i="7"/>
  <c r="AF8" i="7"/>
  <c r="AE8" i="7"/>
  <c r="AE7" i="7" s="1"/>
  <c r="AE52" i="7" s="1"/>
  <c r="AD8" i="7"/>
  <c r="AD7" i="7" s="1"/>
  <c r="AD52" i="7" s="1"/>
  <c r="AC8" i="7"/>
  <c r="AB8" i="7"/>
  <c r="AB7" i="7" s="1"/>
  <c r="AA8" i="7"/>
  <c r="Z8" i="7"/>
  <c r="Y8" i="7"/>
  <c r="X8" i="7"/>
  <c r="W8" i="7"/>
  <c r="W7" i="7" s="1"/>
  <c r="W52" i="7" s="1"/>
  <c r="V8" i="7"/>
  <c r="V7" i="7" s="1"/>
  <c r="V52" i="7" s="1"/>
  <c r="U8" i="7"/>
  <c r="T8" i="7"/>
  <c r="T7" i="7" s="1"/>
  <c r="S8" i="7"/>
  <c r="R8" i="7"/>
  <c r="Q8" i="7"/>
  <c r="P8" i="7"/>
  <c r="O8" i="7"/>
  <c r="O7" i="7" s="1"/>
  <c r="O52" i="7" s="1"/>
  <c r="N8" i="7"/>
  <c r="N7" i="7" s="1"/>
  <c r="N52" i="7" s="1"/>
  <c r="M8" i="7"/>
  <c r="L8" i="7"/>
  <c r="L7" i="7" s="1"/>
  <c r="K8" i="7"/>
  <c r="J8" i="7"/>
  <c r="I8" i="7"/>
  <c r="H8" i="7"/>
  <c r="G8" i="7"/>
  <c r="G7" i="7" s="1"/>
  <c r="G52" i="7" s="1"/>
  <c r="F8" i="7"/>
  <c r="F7" i="7" s="1"/>
  <c r="F52" i="7" s="1"/>
  <c r="E8" i="7"/>
  <c r="D8" i="7"/>
  <c r="D7" i="7" s="1"/>
  <c r="C8" i="7"/>
  <c r="B8" i="7"/>
  <c r="BO7" i="7"/>
  <c r="BN7" i="7"/>
  <c r="BN52" i="7" s="1"/>
  <c r="BM7" i="7"/>
  <c r="BM52" i="7" s="1"/>
  <c r="BI7" i="7"/>
  <c r="BI52" i="7" s="1"/>
  <c r="BG7" i="7"/>
  <c r="BF7" i="7"/>
  <c r="BF52" i="7" s="1"/>
  <c r="BA7" i="7"/>
  <c r="BA52" i="7" s="1"/>
  <c r="AY7" i="7"/>
  <c r="AY52" i="7" s="1"/>
  <c r="AX7" i="7"/>
  <c r="AX52" i="7" s="1"/>
  <c r="AV7" i="7"/>
  <c r="AV52" i="7" s="1"/>
  <c r="AS7" i="7"/>
  <c r="AS52" i="7" s="1"/>
  <c r="AQ7" i="7"/>
  <c r="AP7" i="7"/>
  <c r="AP52" i="7" s="1"/>
  <c r="AN7" i="7"/>
  <c r="AN52" i="7" s="1"/>
  <c r="AK7" i="7"/>
  <c r="AK52" i="7" s="1"/>
  <c r="AI7" i="7"/>
  <c r="AI52" i="7" s="1"/>
  <c r="AH7" i="7"/>
  <c r="AH52" i="7" s="1"/>
  <c r="AF7" i="7"/>
  <c r="AF52" i="7" s="1"/>
  <c r="AC7" i="7"/>
  <c r="AC52" i="7" s="1"/>
  <c r="AA7" i="7"/>
  <c r="Z7" i="7"/>
  <c r="Z52" i="7" s="1"/>
  <c r="U7" i="7"/>
  <c r="U52" i="7" s="1"/>
  <c r="S7" i="7"/>
  <c r="S52" i="7" s="1"/>
  <c r="R7" i="7"/>
  <c r="R52" i="7" s="1"/>
  <c r="P7" i="7"/>
  <c r="P52" i="7" s="1"/>
  <c r="M7" i="7"/>
  <c r="M52" i="7" s="1"/>
  <c r="K7" i="7"/>
  <c r="J7" i="7"/>
  <c r="J52" i="7" s="1"/>
  <c r="H7" i="7"/>
  <c r="H52" i="7" s="1"/>
  <c r="E7" i="7"/>
  <c r="E52" i="7" s="1"/>
  <c r="C7" i="7"/>
  <c r="C52" i="7" s="1"/>
  <c r="B7" i="7"/>
  <c r="B6" i="7"/>
  <c r="B5" i="7"/>
  <c r="B65" i="6"/>
  <c r="B64" i="6"/>
  <c r="B63" i="6"/>
  <c r="B62" i="6"/>
  <c r="B61" i="6"/>
  <c r="B60" i="6"/>
  <c r="B59" i="6"/>
  <c r="B58" i="6"/>
  <c r="B57" i="6"/>
  <c r="B56" i="6"/>
  <c r="B55" i="6"/>
  <c r="B54" i="6"/>
  <c r="AI52" i="6"/>
  <c r="B53" i="6"/>
  <c r="AF52" i="6"/>
  <c r="AE52" i="6"/>
  <c r="AD52" i="6"/>
  <c r="AC52" i="6"/>
  <c r="AB52" i="6"/>
  <c r="AA52" i="6"/>
  <c r="Z52" i="6"/>
  <c r="Y52" i="6"/>
  <c r="X52" i="6"/>
  <c r="W52" i="6"/>
  <c r="V52" i="6"/>
  <c r="U52" i="6"/>
  <c r="T52" i="6"/>
  <c r="S52" i="6"/>
  <c r="R52" i="6"/>
  <c r="Q52" i="6"/>
  <c r="P52" i="6"/>
  <c r="O52" i="6"/>
  <c r="B52" i="6"/>
  <c r="B51" i="6"/>
  <c r="B50" i="6"/>
  <c r="B49" i="6"/>
  <c r="B48" i="6"/>
  <c r="B47" i="6"/>
  <c r="B46" i="6"/>
  <c r="B45" i="6"/>
  <c r="B44" i="6"/>
  <c r="B43" i="6"/>
  <c r="B42" i="6"/>
  <c r="B41" i="6"/>
  <c r="B40" i="6"/>
  <c r="B39" i="6"/>
  <c r="B38" i="6"/>
  <c r="AN35" i="6"/>
  <c r="B37" i="6"/>
  <c r="AI35" i="6"/>
  <c r="B36" i="6"/>
  <c r="AF35" i="6"/>
  <c r="AF34" i="6" s="1"/>
  <c r="AE35" i="6"/>
  <c r="AD35" i="6"/>
  <c r="AD34" i="6" s="1"/>
  <c r="AC35" i="6"/>
  <c r="AB35" i="6"/>
  <c r="AB34" i="6" s="1"/>
  <c r="AA35" i="6"/>
  <c r="AA34" i="6" s="1"/>
  <c r="Z35" i="6"/>
  <c r="Y35" i="6"/>
  <c r="Y34" i="6" s="1"/>
  <c r="X35" i="6"/>
  <c r="X34" i="6" s="1"/>
  <c r="W35" i="6"/>
  <c r="V35" i="6"/>
  <c r="V34" i="6" s="1"/>
  <c r="U35" i="6"/>
  <c r="T35" i="6"/>
  <c r="S35" i="6"/>
  <c r="S34" i="6" s="1"/>
  <c r="R35" i="6"/>
  <c r="Q35" i="6"/>
  <c r="Q34" i="6" s="1"/>
  <c r="P35" i="6"/>
  <c r="P34" i="6" s="1"/>
  <c r="O35" i="6"/>
  <c r="B35" i="6"/>
  <c r="AE34" i="6"/>
  <c r="AC34" i="6"/>
  <c r="Z34" i="6"/>
  <c r="W34" i="6"/>
  <c r="U34" i="6"/>
  <c r="T34" i="6"/>
  <c r="R34" i="6"/>
  <c r="O34" i="6"/>
  <c r="B34" i="6"/>
  <c r="B33" i="6"/>
  <c r="B32" i="6"/>
  <c r="B31" i="6"/>
  <c r="AN28" i="6"/>
  <c r="B30" i="6"/>
  <c r="B29" i="6"/>
  <c r="AF28" i="6"/>
  <c r="AE28" i="6"/>
  <c r="AD28" i="6"/>
  <c r="AC28" i="6"/>
  <c r="AB28" i="6"/>
  <c r="AA28" i="6"/>
  <c r="Z28" i="6"/>
  <c r="Y28" i="6"/>
  <c r="X28" i="6"/>
  <c r="W28" i="6"/>
  <c r="V28" i="6"/>
  <c r="U28" i="6"/>
  <c r="T28" i="6"/>
  <c r="S28" i="6"/>
  <c r="R28" i="6"/>
  <c r="Q28" i="6"/>
  <c r="P28" i="6"/>
  <c r="O28" i="6"/>
  <c r="B28" i="6"/>
  <c r="B27" i="6"/>
  <c r="B26" i="6"/>
  <c r="B25" i="6"/>
  <c r="B24" i="6"/>
  <c r="B23" i="6"/>
  <c r="B22" i="6"/>
  <c r="B21" i="6"/>
  <c r="B20" i="6"/>
  <c r="B19" i="6"/>
  <c r="AF18" i="6"/>
  <c r="AE18" i="6"/>
  <c r="AD18" i="6"/>
  <c r="AD6" i="6" s="1"/>
  <c r="AD65" i="6" s="1"/>
  <c r="AC18" i="6"/>
  <c r="AB18" i="6"/>
  <c r="AA18" i="6"/>
  <c r="AA6" i="6" s="1"/>
  <c r="Z18" i="6"/>
  <c r="Y18" i="6"/>
  <c r="X18" i="6"/>
  <c r="W18" i="6"/>
  <c r="V18" i="6"/>
  <c r="V6" i="6" s="1"/>
  <c r="V65" i="6" s="1"/>
  <c r="U18" i="6"/>
  <c r="T18" i="6"/>
  <c r="S18" i="6"/>
  <c r="S6" i="6" s="1"/>
  <c r="R18" i="6"/>
  <c r="Q18" i="6"/>
  <c r="P18" i="6"/>
  <c r="O18" i="6"/>
  <c r="B18" i="6"/>
  <c r="B17" i="6"/>
  <c r="B15" i="6"/>
  <c r="B14" i="6"/>
  <c r="B13" i="6"/>
  <c r="B12" i="6"/>
  <c r="B11" i="6"/>
  <c r="AI7" i="6"/>
  <c r="B10" i="6"/>
  <c r="AN7" i="6"/>
  <c r="B9" i="6"/>
  <c r="B8" i="6"/>
  <c r="AF7" i="6"/>
  <c r="AF6" i="6" s="1"/>
  <c r="AF65" i="6" s="1"/>
  <c r="AE7" i="6"/>
  <c r="AD7" i="6"/>
  <c r="AC7" i="6"/>
  <c r="AB7" i="6"/>
  <c r="AB6" i="6" s="1"/>
  <c r="AB65" i="6" s="1"/>
  <c r="AA7" i="6"/>
  <c r="Z7" i="6"/>
  <c r="Z6" i="6" s="1"/>
  <c r="Z65" i="6" s="1"/>
  <c r="Y7" i="6"/>
  <c r="Y6" i="6" s="1"/>
  <c r="Y65" i="6" s="1"/>
  <c r="X7" i="6"/>
  <c r="X6" i="6" s="1"/>
  <c r="X65" i="6" s="1"/>
  <c r="W7" i="6"/>
  <c r="V7" i="6"/>
  <c r="U7" i="6"/>
  <c r="T7" i="6"/>
  <c r="T6" i="6" s="1"/>
  <c r="T65" i="6" s="1"/>
  <c r="S7" i="6"/>
  <c r="R7" i="6"/>
  <c r="R6" i="6" s="1"/>
  <c r="R65" i="6" s="1"/>
  <c r="Q7" i="6"/>
  <c r="Q6" i="6" s="1"/>
  <c r="Q65" i="6" s="1"/>
  <c r="P7" i="6"/>
  <c r="P6" i="6" s="1"/>
  <c r="P65" i="6" s="1"/>
  <c r="O7" i="6"/>
  <c r="B7" i="6"/>
  <c r="AE6" i="6"/>
  <c r="AE65" i="6" s="1"/>
  <c r="AC6" i="6"/>
  <c r="W6" i="6"/>
  <c r="W65" i="6" s="1"/>
  <c r="U6" i="6"/>
  <c r="U65" i="6" s="1"/>
  <c r="O6" i="6"/>
  <c r="O65" i="6" s="1"/>
  <c r="B6" i="6"/>
  <c r="B5" i="6"/>
  <c r="B66" i="5"/>
  <c r="B65" i="5"/>
  <c r="B64" i="5"/>
  <c r="B63" i="5"/>
  <c r="B62" i="5"/>
  <c r="B61" i="5"/>
  <c r="B60" i="5"/>
  <c r="B59" i="5"/>
  <c r="B58" i="5"/>
  <c r="B57" i="5"/>
  <c r="B56" i="5"/>
  <c r="B55" i="5"/>
  <c r="BA53" i="5"/>
  <c r="B54" i="5"/>
  <c r="AS53" i="5"/>
  <c r="AR53" i="5"/>
  <c r="AQ53" i="5"/>
  <c r="AP53" i="5"/>
  <c r="AO53" i="5"/>
  <c r="AN53" i="5"/>
  <c r="AN35" i="5" s="1"/>
  <c r="AM53" i="5"/>
  <c r="AL53" i="5"/>
  <c r="AK53" i="5"/>
  <c r="AJ53" i="5"/>
  <c r="AI53" i="5"/>
  <c r="AH53" i="5"/>
  <c r="AG53" i="5"/>
  <c r="AF53" i="5"/>
  <c r="AF35" i="5" s="1"/>
  <c r="AE53" i="5"/>
  <c r="AD53" i="5"/>
  <c r="AC53" i="5"/>
  <c r="AB53" i="5"/>
  <c r="AA53" i="5"/>
  <c r="Z53" i="5"/>
  <c r="Y53" i="5"/>
  <c r="X53" i="5"/>
  <c r="X35" i="5" s="1"/>
  <c r="W53" i="5"/>
  <c r="V53" i="5"/>
  <c r="U53" i="5"/>
  <c r="T53" i="5"/>
  <c r="B53" i="5"/>
  <c r="B52" i="5"/>
  <c r="B51" i="5"/>
  <c r="B50" i="5"/>
  <c r="B49" i="5"/>
  <c r="B48" i="5"/>
  <c r="B47" i="5"/>
  <c r="B46" i="5"/>
  <c r="B45" i="5"/>
  <c r="B44" i="5"/>
  <c r="B43" i="5"/>
  <c r="B42" i="5"/>
  <c r="B41" i="5"/>
  <c r="B40" i="5"/>
  <c r="B39" i="5"/>
  <c r="B38" i="5"/>
  <c r="BA36" i="5"/>
  <c r="BA35" i="5" s="1"/>
  <c r="B37" i="5"/>
  <c r="AS36" i="5"/>
  <c r="AR36" i="5"/>
  <c r="AQ36" i="5"/>
  <c r="AP36" i="5"/>
  <c r="AP35" i="5" s="1"/>
  <c r="AO36" i="5"/>
  <c r="AO35" i="5" s="1"/>
  <c r="AN36" i="5"/>
  <c r="AM36" i="5"/>
  <c r="AM35" i="5" s="1"/>
  <c r="AL36" i="5"/>
  <c r="AK36" i="5"/>
  <c r="AJ36" i="5"/>
  <c r="AI36" i="5"/>
  <c r="AH36" i="5"/>
  <c r="AH35" i="5" s="1"/>
  <c r="AG36" i="5"/>
  <c r="AG35" i="5" s="1"/>
  <c r="AF36" i="5"/>
  <c r="AE36" i="5"/>
  <c r="AE35" i="5" s="1"/>
  <c r="AD36" i="5"/>
  <c r="AC36" i="5"/>
  <c r="AB36" i="5"/>
  <c r="AA36" i="5"/>
  <c r="Z36" i="5"/>
  <c r="Z35" i="5" s="1"/>
  <c r="Y36" i="5"/>
  <c r="Y35" i="5" s="1"/>
  <c r="X36" i="5"/>
  <c r="W36" i="5"/>
  <c r="W35" i="5" s="1"/>
  <c r="V36" i="5"/>
  <c r="U36" i="5"/>
  <c r="T36" i="5"/>
  <c r="B36" i="5"/>
  <c r="AS35" i="5"/>
  <c r="AR35" i="5"/>
  <c r="AQ35" i="5"/>
  <c r="AL35" i="5"/>
  <c r="AK35" i="5"/>
  <c r="AJ35" i="5"/>
  <c r="AI35" i="5"/>
  <c r="AD35" i="5"/>
  <c r="AC35" i="5"/>
  <c r="AB35" i="5"/>
  <c r="AA35" i="5"/>
  <c r="V35" i="5"/>
  <c r="U35" i="5"/>
  <c r="T35" i="5"/>
  <c r="B35" i="5"/>
  <c r="B34" i="5"/>
  <c r="B33" i="5"/>
  <c r="BA29" i="5"/>
  <c r="B32" i="5"/>
  <c r="B31" i="5"/>
  <c r="B30"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B29" i="5"/>
  <c r="B28" i="5"/>
  <c r="B27" i="5"/>
  <c r="B26" i="5"/>
  <c r="B25" i="5"/>
  <c r="B24" i="5"/>
  <c r="B23" i="5"/>
  <c r="B22" i="5"/>
  <c r="B21" i="5"/>
  <c r="BA18" i="5"/>
  <c r="B20" i="5"/>
  <c r="B19" i="5"/>
  <c r="AU18" i="5"/>
  <c r="AS18" i="5"/>
  <c r="AS6" i="5" s="1"/>
  <c r="AS66" i="5" s="1"/>
  <c r="AR18" i="5"/>
  <c r="AQ18" i="5"/>
  <c r="AP18" i="5"/>
  <c r="AO18" i="5"/>
  <c r="AN18" i="5"/>
  <c r="AM18" i="5"/>
  <c r="AL18" i="5"/>
  <c r="AK18" i="5"/>
  <c r="AK6" i="5" s="1"/>
  <c r="AK66" i="5" s="1"/>
  <c r="AJ18" i="5"/>
  <c r="AI18" i="5"/>
  <c r="AH18" i="5"/>
  <c r="AG18" i="5"/>
  <c r="AF18" i="5"/>
  <c r="AE18" i="5"/>
  <c r="AE6" i="5" s="1"/>
  <c r="AD18" i="5"/>
  <c r="AC18" i="5"/>
  <c r="AC6" i="5" s="1"/>
  <c r="AC66" i="5" s="1"/>
  <c r="AB18" i="5"/>
  <c r="AA18" i="5"/>
  <c r="Z18" i="5"/>
  <c r="Y18" i="5"/>
  <c r="X18" i="5"/>
  <c r="W18" i="5"/>
  <c r="V18" i="5"/>
  <c r="U18" i="5"/>
  <c r="U6" i="5" s="1"/>
  <c r="U66" i="5" s="1"/>
  <c r="T18" i="5"/>
  <c r="B18" i="5"/>
  <c r="B17" i="5"/>
  <c r="B15" i="5"/>
  <c r="B14" i="5"/>
  <c r="B13" i="5"/>
  <c r="B12" i="5"/>
  <c r="B11" i="5"/>
  <c r="B10" i="5"/>
  <c r="BA7" i="5"/>
  <c r="BA6" i="5" s="1"/>
  <c r="B9" i="5"/>
  <c r="B8" i="5"/>
  <c r="AS7" i="5"/>
  <c r="AR7" i="5"/>
  <c r="AR6" i="5" s="1"/>
  <c r="AR66" i="5" s="1"/>
  <c r="AQ7" i="5"/>
  <c r="AP7" i="5"/>
  <c r="AO7" i="5"/>
  <c r="AO6" i="5" s="1"/>
  <c r="AO66" i="5" s="1"/>
  <c r="AN7" i="5"/>
  <c r="AM7" i="5"/>
  <c r="AL7" i="5"/>
  <c r="AL6" i="5" s="1"/>
  <c r="AL66" i="5" s="1"/>
  <c r="AK7" i="5"/>
  <c r="AJ7" i="5"/>
  <c r="AJ6" i="5" s="1"/>
  <c r="AJ66" i="5" s="1"/>
  <c r="AI7" i="5"/>
  <c r="AH7" i="5"/>
  <c r="AH6" i="5" s="1"/>
  <c r="AH66" i="5" s="1"/>
  <c r="AG7" i="5"/>
  <c r="AG6" i="5" s="1"/>
  <c r="AG66" i="5" s="1"/>
  <c r="AF7" i="5"/>
  <c r="AE7" i="5"/>
  <c r="AD7" i="5"/>
  <c r="AC7" i="5"/>
  <c r="AB7" i="5"/>
  <c r="AB6" i="5" s="1"/>
  <c r="AB66" i="5" s="1"/>
  <c r="AA7" i="5"/>
  <c r="Z7" i="5"/>
  <c r="Z6" i="5" s="1"/>
  <c r="Z66" i="5" s="1"/>
  <c r="Y7" i="5"/>
  <c r="Y6" i="5" s="1"/>
  <c r="Y66" i="5" s="1"/>
  <c r="X7" i="5"/>
  <c r="W7" i="5"/>
  <c r="V7" i="5"/>
  <c r="V6" i="5" s="1"/>
  <c r="V66" i="5" s="1"/>
  <c r="U7" i="5"/>
  <c r="T7" i="5"/>
  <c r="T6" i="5" s="1"/>
  <c r="T66" i="5" s="1"/>
  <c r="B7" i="5"/>
  <c r="AP6" i="5"/>
  <c r="AP66" i="5" s="1"/>
  <c r="AN6" i="5"/>
  <c r="AN66" i="5" s="1"/>
  <c r="AM6" i="5"/>
  <c r="AF6" i="5"/>
  <c r="AF66" i="5" s="1"/>
  <c r="AD6" i="5"/>
  <c r="AD66" i="5" s="1"/>
  <c r="X6" i="5"/>
  <c r="X66" i="5" s="1"/>
  <c r="W6" i="5"/>
  <c r="B6" i="5"/>
  <c r="B5" i="5"/>
  <c r="BJ73" i="4"/>
  <c r="BQ72" i="4"/>
  <c r="BQ73" i="4" s="1"/>
  <c r="BQ74" i="4" s="1"/>
  <c r="BF72" i="4"/>
  <c r="BF73" i="4" s="1"/>
  <c r="BF74" i="4" s="1"/>
  <c r="BD72" i="4"/>
  <c r="BC72" i="4"/>
  <c r="AX72" i="4"/>
  <c r="AV72" i="4"/>
  <c r="AU72" i="4"/>
  <c r="AS72" i="4"/>
  <c r="AP72" i="4"/>
  <c r="AP73" i="4" s="1"/>
  <c r="AP74" i="4" s="1"/>
  <c r="AN72" i="4"/>
  <c r="AM72" i="4"/>
  <c r="AH72" i="4"/>
  <c r="AF72" i="4"/>
  <c r="AE72" i="4"/>
  <c r="BQ71" i="4"/>
  <c r="BJ71" i="4"/>
  <c r="BJ72" i="4" s="1"/>
  <c r="BI71" i="4"/>
  <c r="BH71" i="4"/>
  <c r="BH72" i="4" s="1"/>
  <c r="BH73" i="4" s="1"/>
  <c r="BH74" i="4" s="1"/>
  <c r="BG71" i="4"/>
  <c r="BG72" i="4" s="1"/>
  <c r="BG73" i="4" s="1"/>
  <c r="BG74" i="4" s="1"/>
  <c r="BF71" i="4"/>
  <c r="BE71" i="4"/>
  <c r="BD71" i="4"/>
  <c r="BC71" i="4"/>
  <c r="BB71" i="4"/>
  <c r="BB72" i="4" s="1"/>
  <c r="BB73" i="4" s="1"/>
  <c r="BB74" i="4" s="1"/>
  <c r="BA71" i="4"/>
  <c r="AZ71" i="4"/>
  <c r="AZ72" i="4" s="1"/>
  <c r="AY71" i="4"/>
  <c r="AY72" i="4" s="1"/>
  <c r="AY73" i="4" s="1"/>
  <c r="AX71" i="4"/>
  <c r="AW71" i="4"/>
  <c r="AW72" i="4" s="1"/>
  <c r="AV71" i="4"/>
  <c r="AU71" i="4"/>
  <c r="AT71" i="4"/>
  <c r="AT72" i="4" s="1"/>
  <c r="AT73" i="4" s="1"/>
  <c r="AS71" i="4"/>
  <c r="AR71" i="4"/>
  <c r="AR72" i="4" s="1"/>
  <c r="AQ71" i="4"/>
  <c r="AQ72" i="4" s="1"/>
  <c r="AP71" i="4"/>
  <c r="AO71" i="4"/>
  <c r="AN71" i="4"/>
  <c r="AM71" i="4"/>
  <c r="AL71" i="4"/>
  <c r="AL72" i="4" s="1"/>
  <c r="AL73" i="4" s="1"/>
  <c r="AL74" i="4" s="1"/>
  <c r="AK71" i="4"/>
  <c r="AJ71" i="4"/>
  <c r="AJ72" i="4" s="1"/>
  <c r="AJ73" i="4" s="1"/>
  <c r="AI71" i="4"/>
  <c r="AI72" i="4" s="1"/>
  <c r="AI73" i="4" s="1"/>
  <c r="AH71" i="4"/>
  <c r="AG71" i="4"/>
  <c r="AG72" i="4" s="1"/>
  <c r="AF71" i="4"/>
  <c r="AE71" i="4"/>
  <c r="AD71" i="4"/>
  <c r="AD72" i="4" s="1"/>
  <c r="AD73" i="4" s="1"/>
  <c r="AC71" i="4"/>
  <c r="AB71" i="4"/>
  <c r="AB72" i="4" s="1"/>
  <c r="B68" i="4"/>
  <c r="B67" i="4"/>
  <c r="B66" i="4"/>
  <c r="B65" i="4"/>
  <c r="B64" i="4"/>
  <c r="B63" i="4"/>
  <c r="B62" i="4"/>
  <c r="B61" i="4"/>
  <c r="B60" i="4"/>
  <c r="B59" i="4"/>
  <c r="B57" i="4"/>
  <c r="B56" i="4"/>
  <c r="B55" i="4"/>
  <c r="B54" i="4"/>
  <c r="B53" i="4"/>
  <c r="B51" i="4"/>
  <c r="B50" i="4"/>
  <c r="B49" i="4"/>
  <c r="BQ48" i="4"/>
  <c r="B48" i="4"/>
  <c r="B47" i="4"/>
  <c r="B46" i="4"/>
  <c r="B45" i="4"/>
  <c r="B44" i="4"/>
  <c r="B42" i="4"/>
  <c r="B41" i="4"/>
  <c r="BQ39" i="4"/>
  <c r="B40" i="4"/>
  <c r="B39" i="4"/>
  <c r="B38" i="4"/>
  <c r="BQ36" i="4"/>
  <c r="BQ41" i="4" s="1"/>
  <c r="B37" i="4"/>
  <c r="B36" i="4"/>
  <c r="B35" i="4"/>
  <c r="A34" i="4"/>
  <c r="B33" i="4"/>
  <c r="BM31"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BQ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BH24" i="4"/>
  <c r="BG24" i="4"/>
  <c r="BD24" i="4"/>
  <c r="BC24" i="4"/>
  <c r="BB24" i="4"/>
  <c r="BA24" i="4"/>
  <c r="BQ31" i="4"/>
  <c r="B20" i="4"/>
  <c r="B18" i="4"/>
  <c r="BM17"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B16" i="4"/>
  <c r="BM15" i="4"/>
  <c r="BL15"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B15" i="4"/>
  <c r="B14" i="4"/>
  <c r="B13"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B11" i="4"/>
  <c r="B10" i="4"/>
  <c r="B9" i="4"/>
  <c r="BQ15" i="4"/>
  <c r="B8" i="4"/>
  <c r="B7" i="4"/>
  <c r="B6" i="4"/>
  <c r="B5" i="4"/>
  <c r="AY44" i="3"/>
  <c r="B44" i="3"/>
  <c r="B43" i="3"/>
  <c r="B42" i="3"/>
  <c r="AY41" i="3"/>
  <c r="B41" i="3"/>
  <c r="B40" i="3"/>
  <c r="AY39" i="3"/>
  <c r="B39" i="3"/>
  <c r="AY38" i="3"/>
  <c r="AW37" i="3"/>
  <c r="B38"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AY37" i="3" s="1"/>
  <c r="F37" i="3"/>
  <c r="E37" i="3"/>
  <c r="D37" i="3"/>
  <c r="C37" i="3"/>
  <c r="B37" i="3"/>
  <c r="AV36" i="3"/>
  <c r="AV40" i="3" s="1"/>
  <c r="AV42" i="3" s="1"/>
  <c r="AV43" i="3" s="1"/>
  <c r="AF36" i="3"/>
  <c r="AF40" i="3" s="1"/>
  <c r="AF42" i="3" s="1"/>
  <c r="AF43" i="3" s="1"/>
  <c r="AE36" i="3"/>
  <c r="AE40" i="3" s="1"/>
  <c r="AE42" i="3" s="1"/>
  <c r="AE43" i="3" s="1"/>
  <c r="P36" i="3"/>
  <c r="P40" i="3" s="1"/>
  <c r="P42" i="3" s="1"/>
  <c r="P43" i="3" s="1"/>
  <c r="B36" i="3"/>
  <c r="AY35" i="3"/>
  <c r="B35" i="3"/>
  <c r="AY34" i="3"/>
  <c r="B34" i="3"/>
  <c r="AU33" i="3"/>
  <c r="AU36" i="3" s="1"/>
  <c r="AU40" i="3" s="1"/>
  <c r="AU42" i="3" s="1"/>
  <c r="AU43" i="3" s="1"/>
  <c r="AT33" i="3"/>
  <c r="AT36" i="3" s="1"/>
  <c r="AT40" i="3" s="1"/>
  <c r="AT42" i="3" s="1"/>
  <c r="AT43" i="3" s="1"/>
  <c r="AS33" i="3"/>
  <c r="AS36" i="3" s="1"/>
  <c r="AS40" i="3" s="1"/>
  <c r="AS42" i="3" s="1"/>
  <c r="AS43" i="3" s="1"/>
  <c r="AE33" i="3"/>
  <c r="AC33" i="3"/>
  <c r="AC36" i="3" s="1"/>
  <c r="AC40" i="3" s="1"/>
  <c r="AC42" i="3" s="1"/>
  <c r="AC43" i="3" s="1"/>
  <c r="Z33" i="3"/>
  <c r="Z36" i="3" s="1"/>
  <c r="M33" i="3"/>
  <c r="M36" i="3" s="1"/>
  <c r="M40" i="3" s="1"/>
  <c r="M42" i="3" s="1"/>
  <c r="M43" i="3" s="1"/>
  <c r="J33" i="3"/>
  <c r="J36" i="3" s="1"/>
  <c r="E33" i="3"/>
  <c r="E36" i="3" s="1"/>
  <c r="E40" i="3" s="1"/>
  <c r="E42" i="3" s="1"/>
  <c r="E43" i="3" s="1"/>
  <c r="B33" i="3"/>
  <c r="F32" i="3"/>
  <c r="AY32" i="3" s="1"/>
  <c r="B32" i="3"/>
  <c r="AY31" i="3"/>
  <c r="B31" i="3"/>
  <c r="AY30" i="3"/>
  <c r="F30" i="3"/>
  <c r="B30" i="3"/>
  <c r="AY29" i="3"/>
  <c r="F29" i="3"/>
  <c r="B29" i="3"/>
  <c r="AY28" i="3"/>
  <c r="F28" i="3"/>
  <c r="B28" i="3"/>
  <c r="AY27" i="3"/>
  <c r="AW24" i="3"/>
  <c r="B27" i="3"/>
  <c r="AY26" i="3"/>
  <c r="F26" i="3"/>
  <c r="B26" i="3"/>
  <c r="F25" i="3"/>
  <c r="AY25" i="3" s="1"/>
  <c r="B25" i="3"/>
  <c r="AV24" i="3"/>
  <c r="AU24" i="3"/>
  <c r="AT24" i="3"/>
  <c r="AS24" i="3"/>
  <c r="AR24" i="3"/>
  <c r="AQ24" i="3"/>
  <c r="AP24" i="3"/>
  <c r="AP33" i="3" s="1"/>
  <c r="AP36" i="3" s="1"/>
  <c r="AP40" i="3" s="1"/>
  <c r="AP42" i="3" s="1"/>
  <c r="AP43" i="3" s="1"/>
  <c r="AO24" i="3"/>
  <c r="AN24" i="3"/>
  <c r="AM24" i="3"/>
  <c r="AL24" i="3"/>
  <c r="AK24" i="3"/>
  <c r="AJ24" i="3"/>
  <c r="AI24" i="3"/>
  <c r="AH24" i="3"/>
  <c r="AH33" i="3" s="1"/>
  <c r="AH36" i="3" s="1"/>
  <c r="AH40" i="3" s="1"/>
  <c r="AH42" i="3" s="1"/>
  <c r="AH43" i="3" s="1"/>
  <c r="AG24" i="3"/>
  <c r="AF24" i="3"/>
  <c r="AE24" i="3"/>
  <c r="AD24" i="3"/>
  <c r="AC24" i="3"/>
  <c r="AB24" i="3"/>
  <c r="AA24" i="3"/>
  <c r="Z24" i="3"/>
  <c r="Y24" i="3"/>
  <c r="X24" i="3"/>
  <c r="W24" i="3"/>
  <c r="V24" i="3"/>
  <c r="U24" i="3"/>
  <c r="T24" i="3"/>
  <c r="S24" i="3"/>
  <c r="R24" i="3"/>
  <c r="R33" i="3" s="1"/>
  <c r="R36" i="3" s="1"/>
  <c r="R40" i="3" s="1"/>
  <c r="R42" i="3" s="1"/>
  <c r="R43" i="3" s="1"/>
  <c r="Q24" i="3"/>
  <c r="P24" i="3"/>
  <c r="O24" i="3"/>
  <c r="N24" i="3"/>
  <c r="M24" i="3"/>
  <c r="L24" i="3"/>
  <c r="K24" i="3"/>
  <c r="J24" i="3"/>
  <c r="I24" i="3"/>
  <c r="H24" i="3"/>
  <c r="G24" i="3"/>
  <c r="E24" i="3"/>
  <c r="D24" i="3"/>
  <c r="C24" i="3"/>
  <c r="B24" i="3"/>
  <c r="AN23" i="3"/>
  <c r="AL23" i="3"/>
  <c r="AD23" i="3"/>
  <c r="X23" i="3"/>
  <c r="V23" i="3"/>
  <c r="R23" i="3"/>
  <c r="G23" i="3"/>
  <c r="F23" i="3"/>
  <c r="B23" i="3"/>
  <c r="AU22" i="3"/>
  <c r="AU23" i="3" s="1"/>
  <c r="AT22" i="3"/>
  <c r="AT23" i="3" s="1"/>
  <c r="AR22" i="3"/>
  <c r="AM22" i="3"/>
  <c r="AM23" i="3" s="1"/>
  <c r="AL22" i="3"/>
  <c r="AJ22" i="3"/>
  <c r="AE22" i="3"/>
  <c r="AE23" i="3" s="1"/>
  <c r="AD22" i="3"/>
  <c r="AD33" i="3" s="1"/>
  <c r="AD36" i="3" s="1"/>
  <c r="AD40" i="3" s="1"/>
  <c r="AD42" i="3" s="1"/>
  <c r="AD43" i="3" s="1"/>
  <c r="AB22" i="3"/>
  <c r="X22" i="3"/>
  <c r="X33" i="3" s="1"/>
  <c r="X36" i="3" s="1"/>
  <c r="X40" i="3" s="1"/>
  <c r="X42" i="3" s="1"/>
  <c r="X43" i="3" s="1"/>
  <c r="W22" i="3"/>
  <c r="W23" i="3" s="1"/>
  <c r="V22" i="3"/>
  <c r="O22" i="3"/>
  <c r="O23" i="3" s="1"/>
  <c r="N22" i="3"/>
  <c r="N23" i="3" s="1"/>
  <c r="L22" i="3"/>
  <c r="G22" i="3"/>
  <c r="F22" i="3"/>
  <c r="B22" i="3"/>
  <c r="AV21" i="3"/>
  <c r="AU21" i="3"/>
  <c r="AT21" i="3"/>
  <c r="AS21" i="3"/>
  <c r="AR21" i="3"/>
  <c r="AQ21" i="3"/>
  <c r="AP21" i="3"/>
  <c r="AO21" i="3"/>
  <c r="AO22" i="3" s="1"/>
  <c r="AN21" i="3"/>
  <c r="AN22" i="3" s="1"/>
  <c r="AN33" i="3" s="1"/>
  <c r="AN36" i="3" s="1"/>
  <c r="AN40" i="3" s="1"/>
  <c r="AN42" i="3" s="1"/>
  <c r="AN43" i="3" s="1"/>
  <c r="AM21" i="3"/>
  <c r="AL21" i="3"/>
  <c r="AK21" i="3"/>
  <c r="AJ21" i="3"/>
  <c r="AI21" i="3"/>
  <c r="AH21" i="3"/>
  <c r="AG21" i="3"/>
  <c r="AG22" i="3" s="1"/>
  <c r="AF21" i="3"/>
  <c r="AE21" i="3"/>
  <c r="AD21" i="3"/>
  <c r="AC21" i="3"/>
  <c r="AB21" i="3"/>
  <c r="AA21" i="3"/>
  <c r="Z21" i="3"/>
  <c r="Y21" i="3"/>
  <c r="Y22" i="3" s="1"/>
  <c r="X21" i="3"/>
  <c r="W21" i="3"/>
  <c r="V21" i="3"/>
  <c r="U21" i="3"/>
  <c r="T21" i="3"/>
  <c r="T22" i="3" s="1"/>
  <c r="S21" i="3"/>
  <c r="R21" i="3"/>
  <c r="Q21" i="3"/>
  <c r="Q22" i="3" s="1"/>
  <c r="P21" i="3"/>
  <c r="O21" i="3"/>
  <c r="N21" i="3"/>
  <c r="M21" i="3"/>
  <c r="L21" i="3"/>
  <c r="K21" i="3"/>
  <c r="J21" i="3"/>
  <c r="I21" i="3"/>
  <c r="I22" i="3" s="1"/>
  <c r="H21" i="3"/>
  <c r="H22" i="3" s="1"/>
  <c r="H33" i="3" s="1"/>
  <c r="H36" i="3" s="1"/>
  <c r="H40" i="3" s="1"/>
  <c r="H42" i="3" s="1"/>
  <c r="H43" i="3" s="1"/>
  <c r="G21" i="3"/>
  <c r="F21" i="3"/>
  <c r="E21" i="3"/>
  <c r="D21" i="3"/>
  <c r="D22" i="3" s="1"/>
  <c r="C21" i="3"/>
  <c r="B21" i="3"/>
  <c r="AY20" i="3"/>
  <c r="B20" i="3"/>
  <c r="AY19" i="3"/>
  <c r="B19" i="3"/>
  <c r="AY18" i="3"/>
  <c r="B18" i="3"/>
  <c r="AY17" i="3"/>
  <c r="B17" i="3"/>
  <c r="AY16" i="3"/>
  <c r="B16" i="3"/>
  <c r="AY15" i="3"/>
  <c r="AW21" i="3"/>
  <c r="B15" i="3"/>
  <c r="AV14" i="3"/>
  <c r="AV22" i="3" s="1"/>
  <c r="AV33" i="3" s="1"/>
  <c r="AU14" i="3"/>
  <c r="AT14" i="3"/>
  <c r="AS14" i="3"/>
  <c r="AS22" i="3" s="1"/>
  <c r="AS23" i="3" s="1"/>
  <c r="AR14" i="3"/>
  <c r="AQ14" i="3"/>
  <c r="AQ22" i="3" s="1"/>
  <c r="AQ33" i="3" s="1"/>
  <c r="AQ36" i="3" s="1"/>
  <c r="AQ40" i="3" s="1"/>
  <c r="AQ42" i="3" s="1"/>
  <c r="AQ43" i="3" s="1"/>
  <c r="AP14" i="3"/>
  <c r="AP22" i="3" s="1"/>
  <c r="AP23" i="3" s="1"/>
  <c r="AO14" i="3"/>
  <c r="AN14" i="3"/>
  <c r="AM14" i="3"/>
  <c r="AL14" i="3"/>
  <c r="AK14" i="3"/>
  <c r="AK22" i="3" s="1"/>
  <c r="AK23" i="3" s="1"/>
  <c r="AJ14" i="3"/>
  <c r="AI14" i="3"/>
  <c r="AI22" i="3" s="1"/>
  <c r="AH14" i="3"/>
  <c r="AH22" i="3" s="1"/>
  <c r="AH23" i="3" s="1"/>
  <c r="AG14" i="3"/>
  <c r="AF14" i="3"/>
  <c r="AF22" i="3" s="1"/>
  <c r="AF33" i="3" s="1"/>
  <c r="AE14" i="3"/>
  <c r="AD14" i="3"/>
  <c r="AC14" i="3"/>
  <c r="AC22" i="3" s="1"/>
  <c r="AC23" i="3" s="1"/>
  <c r="AB14" i="3"/>
  <c r="AA14" i="3"/>
  <c r="AA22" i="3" s="1"/>
  <c r="AA33" i="3" s="1"/>
  <c r="AA36" i="3" s="1"/>
  <c r="AA40" i="3" s="1"/>
  <c r="AA42" i="3" s="1"/>
  <c r="AA43" i="3" s="1"/>
  <c r="Z14" i="3"/>
  <c r="Z22" i="3" s="1"/>
  <c r="Z23" i="3" s="1"/>
  <c r="Y14" i="3"/>
  <c r="X14" i="3"/>
  <c r="W14" i="3"/>
  <c r="V14" i="3"/>
  <c r="U14" i="3"/>
  <c r="U22" i="3" s="1"/>
  <c r="U23" i="3" s="1"/>
  <c r="T14" i="3"/>
  <c r="S14" i="3"/>
  <c r="S22" i="3" s="1"/>
  <c r="S33" i="3" s="1"/>
  <c r="S36" i="3" s="1"/>
  <c r="S40" i="3" s="1"/>
  <c r="S42" i="3" s="1"/>
  <c r="S43" i="3" s="1"/>
  <c r="R14" i="3"/>
  <c r="R22" i="3" s="1"/>
  <c r="Q14" i="3"/>
  <c r="P14" i="3"/>
  <c r="P22" i="3" s="1"/>
  <c r="P33" i="3" s="1"/>
  <c r="O14" i="3"/>
  <c r="N14" i="3"/>
  <c r="M14" i="3"/>
  <c r="M22" i="3" s="1"/>
  <c r="M23" i="3" s="1"/>
  <c r="L14" i="3"/>
  <c r="K14" i="3"/>
  <c r="K22" i="3" s="1"/>
  <c r="K33" i="3" s="1"/>
  <c r="K36" i="3" s="1"/>
  <c r="K40" i="3" s="1"/>
  <c r="K42" i="3" s="1"/>
  <c r="K43" i="3" s="1"/>
  <c r="J14" i="3"/>
  <c r="J22" i="3" s="1"/>
  <c r="J23" i="3" s="1"/>
  <c r="I14" i="3"/>
  <c r="H14" i="3"/>
  <c r="G14" i="3"/>
  <c r="AY14" i="3" s="1"/>
  <c r="F14" i="3"/>
  <c r="E14" i="3"/>
  <c r="E22" i="3" s="1"/>
  <c r="E23" i="3" s="1"/>
  <c r="D14" i="3"/>
  <c r="C14" i="3"/>
  <c r="C22" i="3" s="1"/>
  <c r="B14" i="3"/>
  <c r="AY13" i="3"/>
  <c r="B13" i="3"/>
  <c r="AY12" i="3"/>
  <c r="B12" i="3"/>
  <c r="AY11" i="3"/>
  <c r="B11" i="3"/>
  <c r="AY10" i="3"/>
  <c r="B10" i="3"/>
  <c r="AY9" i="3"/>
  <c r="B9" i="3"/>
  <c r="AY8" i="3"/>
  <c r="B8" i="3"/>
  <c r="AY7" i="3"/>
  <c r="B7" i="3"/>
  <c r="AY6" i="3"/>
  <c r="B6" i="3"/>
  <c r="B5" i="3"/>
  <c r="BF24" i="4" s="1"/>
  <c r="B44" i="2"/>
  <c r="Z43" i="2"/>
  <c r="Y43" i="2"/>
  <c r="X43" i="2"/>
  <c r="W43" i="2"/>
  <c r="V43" i="2"/>
  <c r="U43" i="2"/>
  <c r="T43" i="2"/>
  <c r="S43" i="2"/>
  <c r="R43" i="2"/>
  <c r="Q43" i="2"/>
  <c r="P43" i="2"/>
  <c r="O43" i="2"/>
  <c r="N43" i="2"/>
  <c r="M43" i="2"/>
  <c r="L43" i="2"/>
  <c r="K43" i="2"/>
  <c r="J43" i="2"/>
  <c r="I43" i="2"/>
  <c r="H43" i="2"/>
  <c r="G43" i="2"/>
  <c r="B43" i="2"/>
  <c r="B42" i="2"/>
  <c r="B41" i="2"/>
  <c r="B40" i="2"/>
  <c r="BQ37" i="2"/>
  <c r="B39" i="2"/>
  <c r="B38" i="2"/>
  <c r="BP37" i="2"/>
  <c r="BO37" i="2"/>
  <c r="BN37" i="2"/>
  <c r="BM37" i="2"/>
  <c r="BL37" i="2"/>
  <c r="BK37" i="2"/>
  <c r="BJ37" i="2"/>
  <c r="BI37" i="2"/>
  <c r="BH37" i="2"/>
  <c r="BG37" i="2"/>
  <c r="BF37" i="2"/>
  <c r="BE37" i="2"/>
  <c r="BD37" i="2"/>
  <c r="BC37" i="2"/>
  <c r="BB37" i="2"/>
  <c r="BA37" i="2"/>
  <c r="AZ37"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B37" i="2"/>
  <c r="BJ36" i="2"/>
  <c r="BJ40" i="2" s="1"/>
  <c r="B36" i="2"/>
  <c r="B35" i="2"/>
  <c r="B34" i="2"/>
  <c r="BO33" i="2"/>
  <c r="BO36" i="2" s="1"/>
  <c r="BO40" i="2" s="1"/>
  <c r="AY33" i="2"/>
  <c r="AY36" i="2" s="1"/>
  <c r="AY40" i="2" s="1"/>
  <c r="AQ33" i="2"/>
  <c r="AQ36" i="2" s="1"/>
  <c r="AQ40" i="2" s="1"/>
  <c r="AL33" i="2"/>
  <c r="AL36" i="2" s="1"/>
  <c r="AL40" i="2" s="1"/>
  <c r="AA33" i="2"/>
  <c r="AA36" i="2" s="1"/>
  <c r="AA40" i="2" s="1"/>
  <c r="B33" i="2"/>
  <c r="B32" i="2"/>
  <c r="B31" i="2"/>
  <c r="B30" i="2"/>
  <c r="B29" i="2"/>
  <c r="B28" i="2"/>
  <c r="B27" i="2"/>
  <c r="B26" i="2"/>
  <c r="BQ24" i="2"/>
  <c r="B25" i="2"/>
  <c r="BP24" i="2"/>
  <c r="BO24" i="2"/>
  <c r="BN24" i="2"/>
  <c r="BM24" i="2"/>
  <c r="BL24" i="2"/>
  <c r="BL33" i="2" s="1"/>
  <c r="BL36" i="2" s="1"/>
  <c r="BL40" i="2" s="1"/>
  <c r="BK24" i="2"/>
  <c r="BJ24" i="2"/>
  <c r="BI24" i="2"/>
  <c r="BH24" i="2"/>
  <c r="BG24" i="2"/>
  <c r="BF24" i="2"/>
  <c r="BE24" i="2"/>
  <c r="BD24" i="2"/>
  <c r="BC24" i="2"/>
  <c r="BB24" i="2"/>
  <c r="BA24" i="2"/>
  <c r="AZ24" i="2"/>
  <c r="AY24" i="2"/>
  <c r="AX24" i="2"/>
  <c r="AW24" i="2"/>
  <c r="AV24" i="2"/>
  <c r="AV33" i="2" s="1"/>
  <c r="AV36" i="2" s="1"/>
  <c r="AV40" i="2" s="1"/>
  <c r="AU24" i="2"/>
  <c r="AT24" i="2"/>
  <c r="AS24" i="2"/>
  <c r="AR24" i="2"/>
  <c r="AQ24" i="2"/>
  <c r="AP24" i="2"/>
  <c r="AO24" i="2"/>
  <c r="AN24" i="2"/>
  <c r="AM24" i="2"/>
  <c r="AL24" i="2"/>
  <c r="AK24" i="2"/>
  <c r="AJ24" i="2"/>
  <c r="AI24" i="2"/>
  <c r="AH24" i="2"/>
  <c r="AG24" i="2"/>
  <c r="AF24" i="2"/>
  <c r="AE24" i="2"/>
  <c r="AD24" i="2"/>
  <c r="AC24" i="2"/>
  <c r="AB24" i="2"/>
  <c r="AA24" i="2"/>
  <c r="B24" i="2"/>
  <c r="BO23" i="2"/>
  <c r="BG23" i="2"/>
  <c r="BB23" i="2"/>
  <c r="AQ23" i="2"/>
  <c r="AI23" i="2"/>
  <c r="AF23" i="2"/>
  <c r="AA23" i="2"/>
  <c r="B23" i="2"/>
  <c r="BN22" i="2"/>
  <c r="BL22" i="2"/>
  <c r="BL23" i="2" s="1"/>
  <c r="BK22" i="2"/>
  <c r="BF22" i="2"/>
  <c r="BE22" i="2"/>
  <c r="BE23" i="2" s="1"/>
  <c r="BD22" i="2"/>
  <c r="BD23" i="2" s="1"/>
  <c r="BC22" i="2"/>
  <c r="AX22" i="2"/>
  <c r="AW22" i="2"/>
  <c r="AW23" i="2" s="1"/>
  <c r="AV22" i="2"/>
  <c r="AV23" i="2" s="1"/>
  <c r="AU22" i="2"/>
  <c r="AS22" i="2"/>
  <c r="AS23" i="2" s="1"/>
  <c r="AP22" i="2"/>
  <c r="AM22" i="2"/>
  <c r="AH22" i="2"/>
  <c r="AF22" i="2"/>
  <c r="AF33" i="2" s="1"/>
  <c r="AF36" i="2" s="1"/>
  <c r="AF40" i="2" s="1"/>
  <c r="AE22" i="2"/>
  <c r="B22"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B21" i="2"/>
  <c r="B20" i="2"/>
  <c r="B19" i="2"/>
  <c r="BQ21" i="2"/>
  <c r="B18" i="2"/>
  <c r="B17" i="2"/>
  <c r="B16" i="2"/>
  <c r="B15" i="2"/>
  <c r="BP14" i="2"/>
  <c r="BP22" i="2" s="1"/>
  <c r="BO14" i="2"/>
  <c r="BO22" i="2" s="1"/>
  <c r="BN14" i="2"/>
  <c r="BM14" i="2"/>
  <c r="BM22" i="2" s="1"/>
  <c r="BL14" i="2"/>
  <c r="BK14" i="2"/>
  <c r="BJ14" i="2"/>
  <c r="BJ22" i="2" s="1"/>
  <c r="BJ33" i="2" s="1"/>
  <c r="BI14" i="2"/>
  <c r="BI22" i="2" s="1"/>
  <c r="BH14" i="2"/>
  <c r="BH22" i="2" s="1"/>
  <c r="BG14" i="2"/>
  <c r="BG22" i="2" s="1"/>
  <c r="BG33" i="2" s="1"/>
  <c r="BG36" i="2" s="1"/>
  <c r="BG40" i="2" s="1"/>
  <c r="BF14" i="2"/>
  <c r="BE14" i="2"/>
  <c r="BD14" i="2"/>
  <c r="BC14" i="2"/>
  <c r="BB14" i="2"/>
  <c r="BB22" i="2" s="1"/>
  <c r="BB33" i="2" s="1"/>
  <c r="BB36" i="2" s="1"/>
  <c r="BB40" i="2" s="1"/>
  <c r="BA14" i="2"/>
  <c r="BA22" i="2" s="1"/>
  <c r="AZ14" i="2"/>
  <c r="AZ22" i="2" s="1"/>
  <c r="AY14" i="2"/>
  <c r="AY22" i="2" s="1"/>
  <c r="AY23" i="2" s="1"/>
  <c r="AX14" i="2"/>
  <c r="AW14" i="2"/>
  <c r="AV14" i="2"/>
  <c r="AU14" i="2"/>
  <c r="AT14" i="2"/>
  <c r="AT22" i="2" s="1"/>
  <c r="AT33" i="2" s="1"/>
  <c r="AT36" i="2" s="1"/>
  <c r="AT40" i="2" s="1"/>
  <c r="AS14" i="2"/>
  <c r="AR14" i="2"/>
  <c r="AR22" i="2" s="1"/>
  <c r="AQ14" i="2"/>
  <c r="AQ22" i="2" s="1"/>
  <c r="AP14" i="2"/>
  <c r="AO14" i="2"/>
  <c r="AO22" i="2" s="1"/>
  <c r="AN14" i="2"/>
  <c r="AN22" i="2" s="1"/>
  <c r="AM14" i="2"/>
  <c r="AL14" i="2"/>
  <c r="AL22" i="2" s="1"/>
  <c r="AL23" i="2" s="1"/>
  <c r="AK14" i="2"/>
  <c r="AK22" i="2" s="1"/>
  <c r="AJ14" i="2"/>
  <c r="AJ22" i="2" s="1"/>
  <c r="AI14" i="2"/>
  <c r="AI22" i="2" s="1"/>
  <c r="AI33" i="2" s="1"/>
  <c r="AI36" i="2" s="1"/>
  <c r="AI40" i="2" s="1"/>
  <c r="AH14" i="2"/>
  <c r="AG14" i="2"/>
  <c r="AG22" i="2" s="1"/>
  <c r="AF14" i="2"/>
  <c r="AE14" i="2"/>
  <c r="AD14" i="2"/>
  <c r="AD22" i="2" s="1"/>
  <c r="AD33" i="2" s="1"/>
  <c r="AD36" i="2" s="1"/>
  <c r="AD40" i="2" s="1"/>
  <c r="AC14" i="2"/>
  <c r="AC22" i="2" s="1"/>
  <c r="AB14" i="2"/>
  <c r="AB22" i="2" s="1"/>
  <c r="AA14" i="2"/>
  <c r="AA22" i="2" s="1"/>
  <c r="B14" i="2"/>
  <c r="B13" i="2"/>
  <c r="B12" i="2"/>
  <c r="B11" i="2"/>
  <c r="B10" i="2"/>
  <c r="B9" i="2"/>
  <c r="B8" i="2"/>
  <c r="BQ14" i="2"/>
  <c r="BQ22" i="2" s="1"/>
  <c r="B7" i="2"/>
  <c r="B6" i="2"/>
  <c r="B5" i="2"/>
  <c r="BQ10" i="4" s="1"/>
  <c r="AB33" i="2" l="1"/>
  <c r="AB36" i="2" s="1"/>
  <c r="AB40" i="2" s="1"/>
  <c r="AB23" i="2"/>
  <c r="AJ33" i="2"/>
  <c r="AJ36" i="2" s="1"/>
  <c r="AJ40" i="2" s="1"/>
  <c r="AJ23" i="2"/>
  <c r="AR23" i="2"/>
  <c r="AR33" i="2"/>
  <c r="AR36" i="2" s="1"/>
  <c r="AR40" i="2" s="1"/>
  <c r="AZ33" i="2"/>
  <c r="AZ36" i="2" s="1"/>
  <c r="AZ40" i="2" s="1"/>
  <c r="AZ23" i="2"/>
  <c r="BH23" i="2"/>
  <c r="BH33" i="2"/>
  <c r="BH36" i="2" s="1"/>
  <c r="BH40" i="2" s="1"/>
  <c r="BP23" i="2"/>
  <c r="BP33" i="2"/>
  <c r="BP36" i="2" s="1"/>
  <c r="BP40" i="2" s="1"/>
  <c r="I33" i="3"/>
  <c r="I36" i="3" s="1"/>
  <c r="I40" i="3" s="1"/>
  <c r="I42" i="3" s="1"/>
  <c r="I43" i="3" s="1"/>
  <c r="I23" i="3"/>
  <c r="Q33" i="3"/>
  <c r="Q36" i="3" s="1"/>
  <c r="Q40" i="3" s="1"/>
  <c r="Q42" i="3" s="1"/>
  <c r="Q43" i="3" s="1"/>
  <c r="Q23" i="3"/>
  <c r="Y33" i="3"/>
  <c r="Y36" i="3" s="1"/>
  <c r="Y40" i="3" s="1"/>
  <c r="Y42" i="3" s="1"/>
  <c r="Y43" i="3" s="1"/>
  <c r="Y23" i="3"/>
  <c r="AG33" i="3"/>
  <c r="AG36" i="3" s="1"/>
  <c r="AG40" i="3" s="1"/>
  <c r="AG42" i="3" s="1"/>
  <c r="AG43" i="3" s="1"/>
  <c r="AG23" i="3"/>
  <c r="AO33" i="3"/>
  <c r="AO36" i="3" s="1"/>
  <c r="AO40" i="3" s="1"/>
  <c r="AO42" i="3" s="1"/>
  <c r="AO43" i="3" s="1"/>
  <c r="AO23" i="3"/>
  <c r="BA23" i="2"/>
  <c r="BA33" i="2"/>
  <c r="BA36" i="2" s="1"/>
  <c r="BA40" i="2" s="1"/>
  <c r="BQ23" i="2"/>
  <c r="BQ33" i="2"/>
  <c r="BQ36" i="2" s="1"/>
  <c r="BQ40" i="2" s="1"/>
  <c r="BQ42" i="2" s="1"/>
  <c r="BQ43" i="2" s="1"/>
  <c r="AK33" i="2"/>
  <c r="AK36" i="2" s="1"/>
  <c r="AK40" i="2" s="1"/>
  <c r="AK23" i="2"/>
  <c r="C23" i="3"/>
  <c r="C33" i="3"/>
  <c r="C36" i="3" s="1"/>
  <c r="C40" i="3" s="1"/>
  <c r="C42" i="3" s="1"/>
  <c r="C43" i="3" s="1"/>
  <c r="D33" i="3"/>
  <c r="D36" i="3" s="1"/>
  <c r="D40" i="3" s="1"/>
  <c r="D42" i="3" s="1"/>
  <c r="D43" i="3" s="1"/>
  <c r="D23" i="3"/>
  <c r="T33" i="3"/>
  <c r="T36" i="3" s="1"/>
  <c r="T40" i="3" s="1"/>
  <c r="T42" i="3" s="1"/>
  <c r="T43" i="3" s="1"/>
  <c r="T23" i="3"/>
  <c r="AC23" i="2"/>
  <c r="AC33" i="2"/>
  <c r="AC36" i="2" s="1"/>
  <c r="AC40" i="2" s="1"/>
  <c r="BI33" i="2"/>
  <c r="BI36" i="2" s="1"/>
  <c r="BI40" i="2" s="1"/>
  <c r="BI23" i="2"/>
  <c r="AI23" i="3"/>
  <c r="AI33" i="3"/>
  <c r="AI36" i="3" s="1"/>
  <c r="AI40" i="3" s="1"/>
  <c r="AI42" i="3" s="1"/>
  <c r="AI43" i="3" s="1"/>
  <c r="AN23" i="2"/>
  <c r="AN33" i="2"/>
  <c r="AN36" i="2" s="1"/>
  <c r="AN40" i="2" s="1"/>
  <c r="AY23" i="3"/>
  <c r="AG23" i="2"/>
  <c r="AG33" i="2"/>
  <c r="AG36" i="2" s="1"/>
  <c r="AG40" i="2" s="1"/>
  <c r="AO33" i="2"/>
  <c r="AO36" i="2" s="1"/>
  <c r="AO40" i="2" s="1"/>
  <c r="AO23" i="2"/>
  <c r="BM23" i="2"/>
  <c r="BM33" i="2"/>
  <c r="BM36" i="2" s="1"/>
  <c r="BM40" i="2" s="1"/>
  <c r="AH33" i="2"/>
  <c r="AH36" i="2" s="1"/>
  <c r="AH40" i="2" s="1"/>
  <c r="AH23" i="2"/>
  <c r="BN33" i="2"/>
  <c r="BN36" i="2" s="1"/>
  <c r="BN40" i="2" s="1"/>
  <c r="BN23" i="2"/>
  <c r="BA66" i="5"/>
  <c r="AR33" i="3"/>
  <c r="AR36" i="3" s="1"/>
  <c r="AR40" i="3" s="1"/>
  <c r="AR42" i="3" s="1"/>
  <c r="AR43" i="3" s="1"/>
  <c r="AR23" i="3"/>
  <c r="H23" i="3"/>
  <c r="AA23" i="3"/>
  <c r="AQ23" i="3"/>
  <c r="F24" i="3"/>
  <c r="AY24" i="3" s="1"/>
  <c r="N33" i="3"/>
  <c r="N36" i="3" s="1"/>
  <c r="N40" i="3" s="1"/>
  <c r="N42" i="3" s="1"/>
  <c r="N43" i="3" s="1"/>
  <c r="BQ26" i="4"/>
  <c r="AI74" i="4"/>
  <c r="AY74" i="4"/>
  <c r="AH73" i="4"/>
  <c r="AB33" i="3"/>
  <c r="AB36" i="3" s="1"/>
  <c r="AB40" i="3" s="1"/>
  <c r="AB42" i="3" s="1"/>
  <c r="AB43" i="3" s="1"/>
  <c r="AB23" i="3"/>
  <c r="AM33" i="2"/>
  <c r="AM36" i="2" s="1"/>
  <c r="AM40" i="2" s="1"/>
  <c r="AM23" i="2"/>
  <c r="AT23" i="2"/>
  <c r="BD33" i="2"/>
  <c r="BD36" i="2" s="1"/>
  <c r="BD40" i="2" s="1"/>
  <c r="K23" i="3"/>
  <c r="O33" i="3"/>
  <c r="O36" i="3" s="1"/>
  <c r="O40" i="3" s="1"/>
  <c r="O42" i="3" s="1"/>
  <c r="O43" i="3" s="1"/>
  <c r="AB73" i="4"/>
  <c r="AR73" i="4"/>
  <c r="BD73" i="4"/>
  <c r="AT74" i="4"/>
  <c r="W66" i="5"/>
  <c r="AU33" i="2"/>
  <c r="AU36" i="2" s="1"/>
  <c r="AU40" i="2" s="1"/>
  <c r="AU23" i="2"/>
  <c r="BF33" i="2"/>
  <c r="BF36" i="2" s="1"/>
  <c r="BF40" i="2" s="1"/>
  <c r="BF23" i="2"/>
  <c r="AS33" i="2"/>
  <c r="AS36" i="2" s="1"/>
  <c r="AS40" i="2" s="1"/>
  <c r="BE33" i="2"/>
  <c r="BE36" i="2" s="1"/>
  <c r="BE40" i="2" s="1"/>
  <c r="AV23" i="3"/>
  <c r="AK72" i="4"/>
  <c r="BA72" i="4"/>
  <c r="AN73" i="4"/>
  <c r="AZ73" i="4"/>
  <c r="AX73" i="4"/>
  <c r="AX33" i="2"/>
  <c r="AX36" i="2" s="1"/>
  <c r="AX40" i="2" s="1"/>
  <c r="AX23" i="2"/>
  <c r="AE33" i="2"/>
  <c r="AE36" i="2" s="1"/>
  <c r="AE40" i="2" s="1"/>
  <c r="AE23" i="2"/>
  <c r="BK33" i="2"/>
  <c r="BK36" i="2" s="1"/>
  <c r="BK40" i="2" s="1"/>
  <c r="BK23" i="2"/>
  <c r="BJ23" i="2"/>
  <c r="F33" i="3"/>
  <c r="F36" i="3" s="1"/>
  <c r="F40" i="3" s="1"/>
  <c r="F42" i="3" s="1"/>
  <c r="F43" i="3" s="1"/>
  <c r="V33" i="3"/>
  <c r="V36" i="3" s="1"/>
  <c r="V40" i="3" s="1"/>
  <c r="V42" i="3" s="1"/>
  <c r="V43" i="3" s="1"/>
  <c r="P23" i="3"/>
  <c r="AF23" i="3"/>
  <c r="U33" i="3"/>
  <c r="U36" i="3" s="1"/>
  <c r="U40" i="3" s="1"/>
  <c r="U42" i="3" s="1"/>
  <c r="U43" i="3" s="1"/>
  <c r="AK33" i="3"/>
  <c r="AK36" i="3" s="1"/>
  <c r="AK40" i="3" s="1"/>
  <c r="AK42" i="3" s="1"/>
  <c r="AK43" i="3" s="1"/>
  <c r="BQ17" i="4"/>
  <c r="BI72" i="4"/>
  <c r="AE66" i="5"/>
  <c r="AY22" i="3"/>
  <c r="W33" i="3"/>
  <c r="W36" i="3" s="1"/>
  <c r="W40" i="3" s="1"/>
  <c r="W42" i="3" s="1"/>
  <c r="W43" i="3" s="1"/>
  <c r="BQ12" i="4"/>
  <c r="AS73" i="4"/>
  <c r="AP33" i="2"/>
  <c r="AP36" i="2" s="1"/>
  <c r="AP40" i="2" s="1"/>
  <c r="AP23" i="2"/>
  <c r="AJ33" i="3"/>
  <c r="AJ36" i="3" s="1"/>
  <c r="AJ40" i="3" s="1"/>
  <c r="AJ42" i="3" s="1"/>
  <c r="AJ43" i="3" s="1"/>
  <c r="AJ23" i="3"/>
  <c r="AM33" i="3"/>
  <c r="AM36" i="3" s="1"/>
  <c r="AM40" i="3" s="1"/>
  <c r="AM42" i="3" s="1"/>
  <c r="AM43" i="3" s="1"/>
  <c r="BC33" i="2"/>
  <c r="BC36" i="2" s="1"/>
  <c r="BC40" i="2" s="1"/>
  <c r="BC23" i="2"/>
  <c r="AD23" i="2"/>
  <c r="AW33" i="2"/>
  <c r="AW36" i="2" s="1"/>
  <c r="AW40" i="2" s="1"/>
  <c r="AW14" i="3"/>
  <c r="AW22" i="3" s="1"/>
  <c r="AY21" i="3"/>
  <c r="AL33" i="3"/>
  <c r="AL36" i="3" s="1"/>
  <c r="AL40" i="3" s="1"/>
  <c r="AL42" i="3" s="1"/>
  <c r="AL43" i="3" s="1"/>
  <c r="S23" i="3"/>
  <c r="G33" i="3"/>
  <c r="AC72" i="4"/>
  <c r="AD74" i="4"/>
  <c r="BJ74" i="4"/>
  <c r="L33" i="3"/>
  <c r="L36" i="3" s="1"/>
  <c r="L40" i="3" s="1"/>
  <c r="L42" i="3" s="1"/>
  <c r="L43" i="3" s="1"/>
  <c r="L23" i="3"/>
  <c r="J40" i="3"/>
  <c r="J42" i="3" s="1"/>
  <c r="J43" i="3" s="1"/>
  <c r="Z40" i="3"/>
  <c r="Z42" i="3" s="1"/>
  <c r="Z43" i="3" s="1"/>
  <c r="AG73" i="4"/>
  <c r="AO72" i="4"/>
  <c r="AW73" i="4"/>
  <c r="BE72" i="4"/>
  <c r="AJ74" i="4"/>
  <c r="AM66" i="5"/>
  <c r="AE73" i="4"/>
  <c r="AV73" i="4"/>
  <c r="AN18" i="6"/>
  <c r="AN6" i="6" s="1"/>
  <c r="BQ45" i="4"/>
  <c r="BQ50" i="4" s="1"/>
  <c r="BC73" i="4"/>
  <c r="AC65" i="6"/>
  <c r="AI28" i="6"/>
  <c r="AI6" i="6" s="1"/>
  <c r="AI65" i="6" s="1"/>
  <c r="BQ24" i="4"/>
  <c r="AU73" i="4"/>
  <c r="AF73" i="4"/>
  <c r="AQ73" i="4"/>
  <c r="AI18" i="6"/>
  <c r="AM73" i="4"/>
  <c r="AA6" i="5"/>
  <c r="AA66" i="5" s="1"/>
  <c r="AI6" i="5"/>
  <c r="AI66" i="5" s="1"/>
  <c r="AQ6" i="5"/>
  <c r="AQ66" i="5" s="1"/>
  <c r="S65" i="6"/>
  <c r="AA65" i="6"/>
  <c r="AI34" i="6"/>
  <c r="AN52" i="6"/>
  <c r="AN34" i="6" s="1"/>
  <c r="K52" i="7"/>
  <c r="AQ52" i="7"/>
  <c r="Y103" i="7"/>
  <c r="BO52" i="7"/>
  <c r="H100" i="7"/>
  <c r="X100" i="7"/>
  <c r="X148" i="7" s="1"/>
  <c r="AN100" i="7"/>
  <c r="BD100" i="7"/>
  <c r="T103" i="7"/>
  <c r="T196" i="7"/>
  <c r="T148" i="7" s="1"/>
  <c r="AL103" i="7"/>
  <c r="AL196" i="7"/>
  <c r="AL148" i="7" s="1"/>
  <c r="AY196" i="7"/>
  <c r="J151" i="7"/>
  <c r="J104" i="7"/>
  <c r="R151" i="7"/>
  <c r="R104" i="7"/>
  <c r="Z151" i="7"/>
  <c r="Z104" i="7"/>
  <c r="AH151" i="7"/>
  <c r="AH104" i="7"/>
  <c r="AP196" i="7"/>
  <c r="AP148" i="7" s="1"/>
  <c r="AP103" i="7"/>
  <c r="AX151" i="7"/>
  <c r="AX104" i="7"/>
  <c r="BF151" i="7"/>
  <c r="BF104" i="7"/>
  <c r="BN151" i="7"/>
  <c r="BN104" i="7"/>
  <c r="BM100" i="7"/>
  <c r="BM148" i="7" s="1"/>
  <c r="G196" i="7"/>
  <c r="W196" i="7"/>
  <c r="W148" i="7" s="1"/>
  <c r="N100" i="7"/>
  <c r="N148" i="7" s="1"/>
  <c r="AD100" i="7"/>
  <c r="AD148" i="7" s="1"/>
  <c r="AT100" i="7"/>
  <c r="AT148" i="7" s="1"/>
  <c r="AA52" i="7"/>
  <c r="BG52" i="7"/>
  <c r="D52" i="7"/>
  <c r="L52" i="7"/>
  <c r="T52" i="7"/>
  <c r="AB52" i="7"/>
  <c r="AJ52" i="7"/>
  <c r="AR52" i="7"/>
  <c r="AZ52" i="7"/>
  <c r="BH52" i="7"/>
  <c r="BD148" i="7"/>
  <c r="K196" i="7"/>
  <c r="K148" i="7" s="1"/>
  <c r="K103" i="7"/>
  <c r="I125" i="7"/>
  <c r="Q125" i="7"/>
  <c r="AG125" i="7"/>
  <c r="AO125" i="7"/>
  <c r="BE125" i="7"/>
  <c r="BM125" i="7"/>
  <c r="BC196" i="7"/>
  <c r="BC148" i="7" s="1"/>
  <c r="P100" i="7"/>
  <c r="P148" i="7" s="1"/>
  <c r="AF100" i="7"/>
  <c r="AV100" i="7"/>
  <c r="BL100" i="7"/>
  <c r="BL148" i="7" s="1"/>
  <c r="U100" i="7"/>
  <c r="AC148" i="7"/>
  <c r="BT123" i="7"/>
  <c r="I103" i="7"/>
  <c r="I100" i="7"/>
  <c r="I148" i="7" s="1"/>
  <c r="Q103" i="7"/>
  <c r="Q100" i="7"/>
  <c r="AG103" i="7"/>
  <c r="AG100" i="7"/>
  <c r="AO100" i="7"/>
  <c r="AO148" i="7" s="1"/>
  <c r="AO103" i="7"/>
  <c r="AW103" i="7"/>
  <c r="AW100" i="7"/>
  <c r="BE103" i="7"/>
  <c r="BE100" i="7"/>
  <c r="BH148" i="7"/>
  <c r="BF100" i="7"/>
  <c r="BF101" i="7"/>
  <c r="AL100" i="7"/>
  <c r="AF148" i="7"/>
  <c r="BT77" i="7"/>
  <c r="AD103" i="7"/>
  <c r="BJ103" i="7"/>
  <c r="O196" i="7"/>
  <c r="O148" i="7" s="1"/>
  <c r="BH103" i="7"/>
  <c r="V196" i="7"/>
  <c r="V148" i="7" s="1"/>
  <c r="V103" i="7"/>
  <c r="AT104" i="7"/>
  <c r="BT111" i="7"/>
  <c r="E125" i="7"/>
  <c r="M125" i="7"/>
  <c r="AK125" i="7"/>
  <c r="AS125" i="7"/>
  <c r="BA125" i="7"/>
  <c r="H134" i="7"/>
  <c r="P134" i="7"/>
  <c r="AF134" i="7"/>
  <c r="AN134" i="7"/>
  <c r="BL134" i="7"/>
  <c r="C146" i="7"/>
  <c r="AA146" i="7"/>
  <c r="AI146" i="7"/>
  <c r="AQ146" i="7"/>
  <c r="BG146" i="7"/>
  <c r="BO146" i="7"/>
  <c r="BT128" i="7"/>
  <c r="BT121" i="7"/>
  <c r="BT115" i="7"/>
  <c r="BT107" i="7"/>
  <c r="BT110" i="7"/>
  <c r="BT133" i="7"/>
  <c r="BT109" i="7"/>
  <c r="BT137" i="7"/>
  <c r="BT130" i="7"/>
  <c r="BT122" i="7"/>
  <c r="BT145" i="7"/>
  <c r="BT136" i="7"/>
  <c r="BT120" i="7"/>
  <c r="BT113" i="7"/>
  <c r="BT144" i="7"/>
  <c r="BT119" i="7"/>
  <c r="BT112" i="7"/>
  <c r="BT98" i="7"/>
  <c r="BJ100" i="7"/>
  <c r="BJ148" i="7" s="1"/>
  <c r="AF103" i="7"/>
  <c r="BK103" i="7"/>
  <c r="AA104" i="7"/>
  <c r="BG104" i="7"/>
  <c r="AE196" i="7"/>
  <c r="AE148" i="7" s="1"/>
  <c r="BK196" i="7"/>
  <c r="BK148" i="7" s="1"/>
  <c r="J116" i="7"/>
  <c r="R116" i="7"/>
  <c r="Z116" i="7"/>
  <c r="AP116" i="7"/>
  <c r="AX116" i="7"/>
  <c r="BT132" i="7"/>
  <c r="D146" i="7"/>
  <c r="L146" i="7"/>
  <c r="AJ146" i="7"/>
  <c r="AR146" i="7"/>
  <c r="AZ146" i="7"/>
  <c r="BB100" i="7"/>
  <c r="BB148" i="7" s="1"/>
  <c r="W103" i="7"/>
  <c r="BL103" i="7"/>
  <c r="U116" i="7"/>
  <c r="Q196" i="7"/>
  <c r="Q148" i="7" s="1"/>
  <c r="C196" i="7"/>
  <c r="C148" i="7" s="1"/>
  <c r="S116" i="7"/>
  <c r="AA151" i="7"/>
  <c r="AA116" i="7"/>
  <c r="AI151" i="7"/>
  <c r="AI116" i="7"/>
  <c r="AY116" i="7"/>
  <c r="BG151" i="7"/>
  <c r="BG116" i="7"/>
  <c r="BO196" i="7"/>
  <c r="BO148" i="7" s="1"/>
  <c r="BO103" i="7"/>
  <c r="C55" i="7"/>
  <c r="C100" i="7" s="1"/>
  <c r="S55" i="7"/>
  <c r="AI55" i="7"/>
  <c r="AI100" i="7" s="1"/>
  <c r="AQ55" i="7"/>
  <c r="AY55" i="7"/>
  <c r="AY100" i="7" s="1"/>
  <c r="BO55" i="7"/>
  <c r="BO100" i="7" s="1"/>
  <c r="BT68" i="7"/>
  <c r="BC100" i="7"/>
  <c r="N103" i="7"/>
  <c r="X103" i="7"/>
  <c r="AW196" i="7"/>
  <c r="AW148" i="7" s="1"/>
  <c r="AG196" i="7"/>
  <c r="AG148" i="7" s="1"/>
  <c r="BE196" i="7"/>
  <c r="BE148" i="7" s="1"/>
  <c r="BT118" i="7"/>
  <c r="C134" i="7"/>
  <c r="K134" i="7"/>
  <c r="S134" i="7"/>
  <c r="AA134" i="7"/>
  <c r="AI134" i="7"/>
  <c r="AQ134" i="7"/>
  <c r="AY134" i="7"/>
  <c r="BG134" i="7"/>
  <c r="BO134" i="7"/>
  <c r="E55" i="7"/>
  <c r="M55" i="7"/>
  <c r="M100" i="7" s="1"/>
  <c r="AK55" i="7"/>
  <c r="AS55" i="7"/>
  <c r="BA55" i="7"/>
  <c r="BI55" i="7"/>
  <c r="F100" i="7"/>
  <c r="F148" i="7" s="1"/>
  <c r="AM100" i="7"/>
  <c r="P103" i="7"/>
  <c r="AM196" i="7"/>
  <c r="N116" i="7"/>
  <c r="V116" i="7"/>
  <c r="AT116" i="7"/>
  <c r="BB116" i="7"/>
  <c r="BJ116" i="7"/>
  <c r="BT124" i="7"/>
  <c r="J125" i="7"/>
  <c r="R125" i="7"/>
  <c r="Z125" i="7"/>
  <c r="AP125" i="7"/>
  <c r="AX125" i="7"/>
  <c r="BT139" i="7"/>
  <c r="G100" i="7"/>
  <c r="AE100" i="7"/>
  <c r="Y196" i="7"/>
  <c r="Y148" i="7" s="1"/>
  <c r="D103" i="7"/>
  <c r="D196" i="7"/>
  <c r="D148" i="7" s="1"/>
  <c r="L103" i="7"/>
  <c r="L196" i="7"/>
  <c r="L148" i="7" s="1"/>
  <c r="AJ103" i="7"/>
  <c r="AJ196" i="7"/>
  <c r="AJ148" i="7" s="1"/>
  <c r="AZ103" i="7"/>
  <c r="AZ196" i="7"/>
  <c r="AZ148" i="7" s="1"/>
  <c r="BT106" i="7"/>
  <c r="BT143" i="7"/>
  <c r="AG146" i="7"/>
  <c r="BE146" i="7"/>
  <c r="AB103" i="7"/>
  <c r="M196" i="7"/>
  <c r="M148" i="7" s="1"/>
  <c r="U148" i="7"/>
  <c r="G134" i="7"/>
  <c r="W134" i="7"/>
  <c r="AE134" i="7"/>
  <c r="BC134" i="7"/>
  <c r="BK134" i="7"/>
  <c r="F125" i="7"/>
  <c r="N125" i="7"/>
  <c r="V125" i="7"/>
  <c r="AD125" i="7"/>
  <c r="AL125" i="7"/>
  <c r="AT125" i="7"/>
  <c r="BB125" i="7"/>
  <c r="BJ125" i="7"/>
  <c r="AR103" i="7"/>
  <c r="H116" i="7"/>
  <c r="P116" i="7"/>
  <c r="X116" i="7"/>
  <c r="AF116" i="7"/>
  <c r="AN116" i="7"/>
  <c r="AV116" i="7"/>
  <c r="BD116" i="7"/>
  <c r="BL116" i="7"/>
  <c r="AR196" i="7"/>
  <c r="AR148" i="7" s="1"/>
  <c r="H151" i="7"/>
  <c r="J146" i="7"/>
  <c r="R146" i="7"/>
  <c r="Z146" i="7"/>
  <c r="AH146" i="7"/>
  <c r="AP146" i="7"/>
  <c r="AX146" i="7"/>
  <c r="BF146" i="7"/>
  <c r="BN146" i="7"/>
  <c r="AV151" i="7"/>
  <c r="AN151" i="7"/>
  <c r="I104" i="7"/>
  <c r="Q104" i="7"/>
  <c r="Y104" i="7"/>
  <c r="AG104" i="7"/>
  <c r="AO104" i="7"/>
  <c r="AW104" i="7"/>
  <c r="BE104" i="7"/>
  <c r="BM104" i="7"/>
  <c r="AN65" i="6" l="1"/>
  <c r="E103" i="7"/>
  <c r="E100" i="7"/>
  <c r="E148" i="7" s="1"/>
  <c r="AQ103" i="7"/>
  <c r="AQ100" i="7"/>
  <c r="AQ148" i="7" s="1"/>
  <c r="BT126" i="7"/>
  <c r="BT173" i="7"/>
  <c r="BT125" i="7" s="1"/>
  <c r="BI103" i="7"/>
  <c r="BI100" i="7"/>
  <c r="BI148" i="7" s="1"/>
  <c r="AM148" i="7"/>
  <c r="AS103" i="7"/>
  <c r="AS100" i="7"/>
  <c r="AS148" i="7" s="1"/>
  <c r="M103" i="7"/>
  <c r="AK103" i="7"/>
  <c r="AK100" i="7"/>
  <c r="AK148" i="7" s="1"/>
  <c r="C103" i="7"/>
  <c r="BT129" i="7"/>
  <c r="BN196" i="7"/>
  <c r="BN148" i="7" s="1"/>
  <c r="BN103" i="7"/>
  <c r="AH196" i="7"/>
  <c r="AH148" i="7" s="1"/>
  <c r="AH103" i="7"/>
  <c r="AY148" i="7"/>
  <c r="AW33" i="3"/>
  <c r="AW36" i="3" s="1"/>
  <c r="AW40" i="3" s="1"/>
  <c r="AW42" i="3" s="1"/>
  <c r="AW43" i="3" s="1"/>
  <c r="AW23" i="3"/>
  <c r="AK73" i="4"/>
  <c r="BG196" i="7"/>
  <c r="BG148" i="7" s="1"/>
  <c r="BG103" i="7"/>
  <c r="AG74" i="4"/>
  <c r="AB74" i="4"/>
  <c r="BF196" i="7"/>
  <c r="BF148" i="7" s="1"/>
  <c r="BF103" i="7"/>
  <c r="Z196" i="7"/>
  <c r="Z148" i="7" s="1"/>
  <c r="Z103" i="7"/>
  <c r="AS74" i="4"/>
  <c r="AX74" i="4"/>
  <c r="AN196" i="7"/>
  <c r="AN148" i="7" s="1"/>
  <c r="AN103" i="7"/>
  <c r="BT127" i="7"/>
  <c r="BT152" i="7"/>
  <c r="BT105" i="7"/>
  <c r="BT147" i="7"/>
  <c r="BT194" i="7"/>
  <c r="BT146" i="7" s="1"/>
  <c r="BT142" i="7"/>
  <c r="BE73" i="4"/>
  <c r="AC73" i="4"/>
  <c r="AZ74" i="4"/>
  <c r="BI73" i="4"/>
  <c r="AV196" i="7"/>
  <c r="AV148" i="7" s="1"/>
  <c r="AV103" i="7"/>
  <c r="BT86" i="7"/>
  <c r="S100" i="7"/>
  <c r="S148" i="7" s="1"/>
  <c r="S103" i="7"/>
  <c r="AI196" i="7"/>
  <c r="AI148" i="7" s="1"/>
  <c r="AI103" i="7"/>
  <c r="BT182" i="7"/>
  <c r="BT134" i="7" s="1"/>
  <c r="BT135" i="7"/>
  <c r="BT114" i="7"/>
  <c r="G148" i="7"/>
  <c r="AX103" i="7"/>
  <c r="AX196" i="7"/>
  <c r="AX148" i="7" s="1"/>
  <c r="R103" i="7"/>
  <c r="R196" i="7"/>
  <c r="R148" i="7" s="1"/>
  <c r="AQ74" i="4"/>
  <c r="AV74" i="4"/>
  <c r="G36" i="3"/>
  <c r="AY33" i="3"/>
  <c r="AN74" i="4"/>
  <c r="AH74" i="4"/>
  <c r="H196" i="7"/>
  <c r="H148" i="7" s="1"/>
  <c r="H103" i="7"/>
  <c r="BT164" i="7"/>
  <c r="BT116" i="7" s="1"/>
  <c r="BT117" i="7"/>
  <c r="BT56" i="7"/>
  <c r="BT55" i="7" s="1"/>
  <c r="BT100" i="7" s="1"/>
  <c r="AF74" i="4"/>
  <c r="BC74" i="4"/>
  <c r="AE74" i="4"/>
  <c r="AW74" i="4"/>
  <c r="BD74" i="4"/>
  <c r="BT108" i="7"/>
  <c r="BA103" i="7"/>
  <c r="BA100" i="7"/>
  <c r="BA148" i="7" s="1"/>
  <c r="AA196" i="7"/>
  <c r="AA148" i="7" s="1"/>
  <c r="AA103" i="7"/>
  <c r="BT141" i="7"/>
  <c r="J103" i="7"/>
  <c r="J196" i="7"/>
  <c r="J148" i="7" s="1"/>
  <c r="AM74" i="4"/>
  <c r="AU74" i="4"/>
  <c r="BA73" i="4"/>
  <c r="BT140" i="7"/>
  <c r="AY103" i="7"/>
  <c r="BQ51" i="4"/>
  <c r="AO73" i="4"/>
  <c r="AR74" i="4"/>
  <c r="BA74" i="4" l="1"/>
  <c r="AY36" i="3"/>
  <c r="G40" i="3"/>
  <c r="AC74" i="4"/>
  <c r="BT151" i="7"/>
  <c r="BT104" i="7"/>
  <c r="AO74" i="4"/>
  <c r="BI74" i="4"/>
  <c r="AK74" i="4"/>
  <c r="BE74" i="4"/>
  <c r="BT103" i="7" l="1"/>
  <c r="BT196" i="7"/>
  <c r="BT148" i="7" s="1"/>
  <c r="AY40" i="3"/>
  <c r="G42" i="3"/>
  <c r="G43" i="3" l="1"/>
  <c r="AY43" i="3" s="1"/>
  <c r="AY42" i="3"/>
</calcChain>
</file>

<file path=xl/sharedStrings.xml><?xml version="1.0" encoding="utf-8"?>
<sst xmlns="http://schemas.openxmlformats.org/spreadsheetml/2006/main" count="2847" uniqueCount="335">
  <si>
    <t>Portuguese</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</si>
  <si>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</si>
  <si>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</si>
  <si>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</si>
  <si>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</si>
  <si>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</si>
  <si>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</si>
  <si>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</si>
  <si>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</si>
  <si>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</si>
  <si>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</si>
  <si>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</si>
  <si>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</si>
  <si>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</si>
  <si>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</si>
  <si>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</si>
  <si>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</si>
  <si>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</si>
  <si>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</si>
  <si>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</si>
  <si>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</si>
  <si>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</si>
  <si>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</si>
  <si>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</si>
  <si>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</si>
  <si>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</si>
  <si>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</si>
  <si>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</si>
  <si>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</si>
  <si>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</si>
  <si>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</si>
  <si>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</si>
  <si>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</si>
  <si>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</si>
  <si>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</si>
  <si>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</si>
  <si>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</si>
  <si>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2020</t>
  </si>
  <si>
    <t>1T21</t>
  </si>
  <si>
    <t>2T21</t>
  </si>
  <si>
    <t>3T21</t>
  </si>
  <si>
    <t>4T21</t>
  </si>
  <si>
    <t>1T22</t>
  </si>
  <si>
    <t>2T22</t>
  </si>
  <si>
    <t>3T22</t>
  </si>
  <si>
    <t>4T22</t>
  </si>
  <si>
    <t>2022</t>
  </si>
  <si>
    <t>1T23</t>
  </si>
  <si>
    <t>2T23</t>
  </si>
  <si>
    <t>3T23</t>
  </si>
  <si>
    <t>4T23</t>
  </si>
  <si>
    <t>2023</t>
  </si>
  <si>
    <t>1T24</t>
  </si>
  <si>
    <t>2T24</t>
  </si>
  <si>
    <t>3T24</t>
  </si>
  <si>
    <t>4T24</t>
  </si>
  <si>
    <t>1T25</t>
  </si>
  <si>
    <t>2T25</t>
  </si>
  <si>
    <t>Receita Bruta</t>
  </si>
  <si>
    <t>Receita Edifícios Corporativos</t>
  </si>
  <si>
    <t>Receita Shopping Centers</t>
  </si>
  <si>
    <t>Receita Centros de Distribução</t>
  </si>
  <si>
    <t>Receita de Outros Empreendimentos</t>
  </si>
  <si>
    <t>Prestação de Serviços + Estacionamento</t>
  </si>
  <si>
    <t>Vendas e Incorporação</t>
  </si>
  <si>
    <t>Deduções da Receita Bruta</t>
  </si>
  <si>
    <t>Receita Líquida</t>
  </si>
  <si>
    <t>Custo Edifícios Corporativos</t>
  </si>
  <si>
    <t>Custo Shopping Centers</t>
  </si>
  <si>
    <t>Custo Galpões</t>
  </si>
  <si>
    <t>Custo Prestação de Serviços (ex Estacionamento)</t>
  </si>
  <si>
    <t>Custo Estacionamento</t>
  </si>
  <si>
    <t>Custo de Vendas de Propriedades</t>
  </si>
  <si>
    <t>-</t>
  </si>
  <si>
    <t>Custo de locação, vendas e serviços prestados</t>
  </si>
  <si>
    <t>Lucro Bruto</t>
  </si>
  <si>
    <t>Margem Bruta</t>
  </si>
  <si>
    <t>Despesas/ Receitas Operacionais</t>
  </si>
  <si>
    <t>Despesas Comerciais</t>
  </si>
  <si>
    <t>Despesas Gerais e Administrativas</t>
  </si>
  <si>
    <t>Plano de Opções</t>
  </si>
  <si>
    <t>Despesas com Remuneração da administração</t>
  </si>
  <si>
    <t>Despesas com Participação de empregados e administradores</t>
  </si>
  <si>
    <t>Resultados de Equivalência patrimonial</t>
  </si>
  <si>
    <t>Amortização de Ágios e outros resultados em investimentos</t>
  </si>
  <si>
    <t>Outras receitas (despesas) operacionais líquidas</t>
  </si>
  <si>
    <t>Lucro antes do Resultado Financeiro</t>
  </si>
  <si>
    <t>Despesas Financeiras</t>
  </si>
  <si>
    <t>Receita Financeira</t>
  </si>
  <si>
    <t>Lucro/ Prejuízo do Período</t>
  </si>
  <si>
    <t>(+) IRPJ e CSSL</t>
  </si>
  <si>
    <t>Diferidos</t>
  </si>
  <si>
    <t>Correntes</t>
  </si>
  <si>
    <t>Lucro Antes da Participação de Minoritários</t>
  </si>
  <si>
    <t>Participação dos não controladores</t>
  </si>
  <si>
    <t>Lucro Líquido do Exercício</t>
  </si>
  <si>
    <t>Margem Líquida</t>
  </si>
  <si>
    <t>Lucro Líquido por ação</t>
  </si>
  <si>
    <t>English</t>
  </si>
  <si>
    <t>2019</t>
  </si>
  <si>
    <t>2021</t>
  </si>
  <si>
    <t>NOI TOTAL</t>
  </si>
  <si>
    <t>Margem NOI (%)</t>
  </si>
  <si>
    <t>EBITDA</t>
  </si>
  <si>
    <t>Margem EBITDA (%)</t>
  </si>
  <si>
    <t>EBITDA Ajustado</t>
  </si>
  <si>
    <t>Margem Líquida (%)</t>
  </si>
  <si>
    <t>FFO</t>
  </si>
  <si>
    <t>Margem FFO (%)</t>
  </si>
  <si>
    <t>FFO Ajustado</t>
  </si>
  <si>
    <t>Receita Bruta (R mil)</t>
  </si>
  <si>
    <t>Receita Líquida (R mil)</t>
  </si>
  <si>
    <t>NOI (R mil) ¹</t>
  </si>
  <si>
    <t>EBITDA (R mil)</t>
  </si>
  <si>
    <t>EBITDA Ajustado (R mil)</t>
  </si>
  <si>
    <t>Lucro/Prejuízo do Período (R mil)</t>
  </si>
  <si>
    <t>FFO (R mil)</t>
  </si>
  <si>
    <t>FFO Ajustado (R mil)</t>
  </si>
  <si>
    <t>Endividamento</t>
  </si>
  <si>
    <t>Financiamentos e Empréstimos</t>
  </si>
  <si>
    <t>Debêntures e Notas Promissórias</t>
  </si>
  <si>
    <t>Disponibilidades</t>
  </si>
  <si>
    <t>Caixa, Investimento e Valores Imobiliários</t>
  </si>
  <si>
    <t>Dívida Líquida Total</t>
  </si>
  <si>
    <t>Dívida Líquida Total/ EBITDA UDM</t>
  </si>
  <si>
    <t>Área Privativa SPE - Edifícios</t>
  </si>
  <si>
    <t>Área Privativa SYN - Edifícios</t>
  </si>
  <si>
    <t>Ocupação Física Edifícios Ex-ITM</t>
  </si>
  <si>
    <t>Ocupação Financeira Edifícios Ex-ITM</t>
  </si>
  <si>
    <t>Área Privativa SPE - Shoppings</t>
  </si>
  <si>
    <t>Área Privativa SYN - Shoppings</t>
  </si>
  <si>
    <t>Vendas Total</t>
  </si>
  <si>
    <t>SSS (%)</t>
  </si>
  <si>
    <t>SSR (%)</t>
  </si>
  <si>
    <t>Custo de Ocupação / Vendas (%)</t>
  </si>
  <si>
    <t>Ocupação Física Shopping Centers</t>
  </si>
  <si>
    <t>Ocupação Financeira Shoppings</t>
  </si>
  <si>
    <t>Inadimplência Líquida (%)</t>
  </si>
  <si>
    <t>Turnover (%)</t>
  </si>
  <si>
    <t>ATIVOS</t>
  </si>
  <si>
    <t>Total Circulante</t>
  </si>
  <si>
    <t>Ativo circulante - Caixa e equivalentes de caixa</t>
  </si>
  <si>
    <t>Ativo circulante - Títulos e valores mobiliários e derivativos</t>
  </si>
  <si>
    <t>Ativo circulante - Contas a receber</t>
  </si>
  <si>
    <t>Ativo circulante - Estoques</t>
  </si>
  <si>
    <t>Ativo circulante - Impostos a compensar</t>
  </si>
  <si>
    <t>Ativo circulante - Adiantamento a fornecedores</t>
  </si>
  <si>
    <t>Ativo circulante - Dividendos a receber</t>
  </si>
  <si>
    <t>Ativo circulante - Ativo disponível para venda</t>
  </si>
  <si>
    <t>Ativo circulante - Instrumento Financeiro Derivativo</t>
  </si>
  <si>
    <t>Instrumento Financeiro Derivativo</t>
  </si>
  <si>
    <t>Ativo circulante - Demais contas a receber</t>
  </si>
  <si>
    <t>Realizável a longo prazo</t>
  </si>
  <si>
    <t>Ativo não circulante - Contas a receber</t>
  </si>
  <si>
    <t>Ativo não circulante - Estoques</t>
  </si>
  <si>
    <t>Ativo não circulante - Ativos disponíveis para venda</t>
  </si>
  <si>
    <t>Ativo não circulante - Adiantamento para futuro aumento de capital</t>
  </si>
  <si>
    <t>Ativo não circulante - Conta corrente com parceiros nos empreendimentos</t>
  </si>
  <si>
    <t>Ativo não circulante - Mútuo a receber</t>
  </si>
  <si>
    <t>Ativo não circulante - Impostos a compensar</t>
  </si>
  <si>
    <t>Ativo não circulante - Depósitos judiciais</t>
  </si>
  <si>
    <t>Ativo não circulante - Demais contas a receber</t>
  </si>
  <si>
    <t>Ativo não circulante - Títulos e valores mobiliários</t>
  </si>
  <si>
    <t>Ativo não circulante - Investimentos</t>
  </si>
  <si>
    <t>Ativo não circulante - Propriedades para investimento</t>
  </si>
  <si>
    <t>Ativo não circulante - Imobilizado</t>
  </si>
  <si>
    <t>Ativo não circulante - Intangíveis</t>
  </si>
  <si>
    <t>Ativo não circulante - Outros</t>
  </si>
  <si>
    <t>Total de Passivos e Patrimônio Líquido</t>
  </si>
  <si>
    <t>Passivo Circulante</t>
  </si>
  <si>
    <t>Passivo circulante - Empréstimos e financiamentos</t>
  </si>
  <si>
    <t>Passivo circulante - Debêntures</t>
  </si>
  <si>
    <t>Passivo circulante - Notas promissórias</t>
  </si>
  <si>
    <t>Passivo circulante - Fornecedores</t>
  </si>
  <si>
    <t>Passivo circulante - Contas a pagar por aquisição de imóveis</t>
  </si>
  <si>
    <t>Passivo circulante - Impostos e contribuições a recolher</t>
  </si>
  <si>
    <t>Passivo circulante - Débitos com partes relacionadas nos empreendimentos</t>
  </si>
  <si>
    <t>Passivo circulante - Impostos e contribuições diferidos</t>
  </si>
  <si>
    <t>Passivo circulante - Adiantamentos de clientes</t>
  </si>
  <si>
    <t>Passivo circulante - Adiantamentos de clientes - permuta</t>
  </si>
  <si>
    <t>Passivo circulante - Partes relacionadas</t>
  </si>
  <si>
    <t>Passivo circulante - Receita res-sperata a apropriar</t>
  </si>
  <si>
    <t>Passivo circulante - Dividendos a pagar</t>
  </si>
  <si>
    <t>CDU a apropriar</t>
  </si>
  <si>
    <t>Passivo circulante - Passivo de arrendamento</t>
  </si>
  <si>
    <t>Passivo circulante - Demais contas a pagar</t>
  </si>
  <si>
    <t>Exigível a longo prazo</t>
  </si>
  <si>
    <t>Passivo não circulante - Empréstimos e financiamentos</t>
  </si>
  <si>
    <t>Passivo não circulante - Debêntures</t>
  </si>
  <si>
    <t>Passivo não circulante - Notas promissórias</t>
  </si>
  <si>
    <t>Passivo não circulante - Impostos e contribuições diferidos</t>
  </si>
  <si>
    <t>Passivo não circulante - Receita res-sperata a apropriar</t>
  </si>
  <si>
    <t>Passivo não circulante - Demais contas a pagar</t>
  </si>
  <si>
    <t>Passivo não circulante - Obrigações por aquisição de imóvel</t>
  </si>
  <si>
    <t>Passivo não circulante - Provisões para riscos trabalhistas, fiscais e cíveis</t>
  </si>
  <si>
    <t>Passivo não circulante - Adiantamento de clientes</t>
  </si>
  <si>
    <t>Passivo não circulante - Passivo de arrendamento</t>
  </si>
  <si>
    <t>Participação de não controladores</t>
  </si>
  <si>
    <t>Patrimônio Líquido</t>
  </si>
  <si>
    <t>Passivo circulante - Aquisição de imóveis</t>
  </si>
  <si>
    <t xml:space="preserve"> </t>
  </si>
  <si>
    <t>1T08</t>
  </si>
  <si>
    <t>2T08</t>
  </si>
  <si>
    <t>3T08</t>
  </si>
  <si>
    <t>4T08</t>
  </si>
  <si>
    <t>1T09</t>
  </si>
  <si>
    <t>2T09</t>
  </si>
  <si>
    <t>3T09</t>
  </si>
  <si>
    <t>4T09</t>
  </si>
  <si>
    <t>1T10</t>
  </si>
  <si>
    <t>2T10</t>
  </si>
  <si>
    <t>3T10</t>
  </si>
  <si>
    <t>4T10</t>
  </si>
  <si>
    <t>1T11</t>
  </si>
  <si>
    <t>2T11</t>
  </si>
  <si>
    <t>3T11</t>
  </si>
  <si>
    <t>4T11</t>
  </si>
  <si>
    <t>JK Financial Center</t>
  </si>
  <si>
    <t>Corporate Park</t>
  </si>
  <si>
    <t>Faria Lima Financial Center</t>
  </si>
  <si>
    <t>Faria Lima Square</t>
  </si>
  <si>
    <t>JK1455</t>
  </si>
  <si>
    <t>Área Privativa Total - CEO</t>
  </si>
  <si>
    <t>CEO - Torre Norte</t>
  </si>
  <si>
    <t>Miss Silvia Morizono</t>
  </si>
  <si>
    <t>Thera Corporate</t>
  </si>
  <si>
    <t>Londres Financial Center</t>
  </si>
  <si>
    <t>Área Privativa Total - JKD</t>
  </si>
  <si>
    <t>JK Torre D</t>
  </si>
  <si>
    <t>Área Privativa Total - JKE</t>
  </si>
  <si>
    <t>JK Torre E</t>
  </si>
  <si>
    <t>Área Privativa Total - NSP</t>
  </si>
  <si>
    <t>Nova São Paulo</t>
  </si>
  <si>
    <t>Área Privativa Total - VBD</t>
  </si>
  <si>
    <t>Verbo Divino</t>
  </si>
  <si>
    <t>Centro Empresarial Faria Lima</t>
  </si>
  <si>
    <t>Área Privativa Total - BRM</t>
  </si>
  <si>
    <t>Brasilio Machado</t>
  </si>
  <si>
    <t>Área Privativa Total - LBL</t>
  </si>
  <si>
    <t>Leblon Corporate</t>
  </si>
  <si>
    <t>Área Privativa Total - SRT</t>
  </si>
  <si>
    <t>Suarez Trade</t>
  </si>
  <si>
    <t/>
  </si>
  <si>
    <t>Cenesp</t>
  </si>
  <si>
    <t>Área Privativa Total - B10</t>
  </si>
  <si>
    <t>Birmann 10</t>
  </si>
  <si>
    <t>Shopping Centers</t>
  </si>
  <si>
    <t>Área Privativa Total - SHD</t>
  </si>
  <si>
    <t>Shopping D</t>
  </si>
  <si>
    <t>Área Privativa Total - GPS</t>
  </si>
  <si>
    <t>Grand Plaza Shopping</t>
  </si>
  <si>
    <t>Shopping Estação BH</t>
  </si>
  <si>
    <t>Área Privativa Total - SMB</t>
  </si>
  <si>
    <t>Shopping Metropolitano Barra</t>
  </si>
  <si>
    <t>Área Privativa Total - TPS</t>
  </si>
  <si>
    <t>Tietê Plaza Shopping</t>
  </si>
  <si>
    <t>Área Privativa Total - CSP</t>
  </si>
  <si>
    <t>Shopping Cidade São Paulo</t>
  </si>
  <si>
    <t>Área Privativa Total - SCR</t>
  </si>
  <si>
    <t>Shopping Cerrado</t>
  </si>
  <si>
    <t>Parque Shopping Belém</t>
  </si>
  <si>
    <t>Área Privativa Total - CLD</t>
  </si>
  <si>
    <t>CLD</t>
  </si>
  <si>
    <t>Parque Industrial Tamboré</t>
  </si>
  <si>
    <t>Parque Industrial Cajamar</t>
  </si>
  <si>
    <t>Parque Industrial Jordanesia</t>
  </si>
  <si>
    <t>Parque Industrial Tonolli</t>
  </si>
  <si>
    <t>Parque Industrial Rio Guandú</t>
  </si>
  <si>
    <t>Parque Industrial Cajamar II</t>
  </si>
  <si>
    <t>Parque Industrial Dutra</t>
  </si>
  <si>
    <t>Parque Industrial Cajamar III</t>
  </si>
  <si>
    <t>Parque Industrial Caxias</t>
  </si>
  <si>
    <t>Parque Industrial Castelo 46</t>
  </si>
  <si>
    <t>Área Privativa Total - ITM</t>
  </si>
  <si>
    <t>ITM</t>
  </si>
  <si>
    <t>Total</t>
  </si>
  <si>
    <t>JK 1455</t>
  </si>
  <si>
    <t>Área Privativa SPE - CEO</t>
  </si>
  <si>
    <t>Área Privativa SPE - JKD</t>
  </si>
  <si>
    <t>Área Privativa SPE - JKE</t>
  </si>
  <si>
    <t>Área Privativa SPE - NSP</t>
  </si>
  <si>
    <t>Área Privativa SPE - VBD</t>
  </si>
  <si>
    <t>Área Privativa SPE - BRM</t>
  </si>
  <si>
    <t>Área Privativa SPE - LBL</t>
  </si>
  <si>
    <t>Área Privativa SPE - SRT</t>
  </si>
  <si>
    <t>Área Privativa SPE - B10</t>
  </si>
  <si>
    <t>Área Privativa SPE - SHD</t>
  </si>
  <si>
    <t>Área Privativa SPE - GPS</t>
  </si>
  <si>
    <t>Área Privativa SPE - SMB</t>
  </si>
  <si>
    <t>Área Privativa SPE - TPS</t>
  </si>
  <si>
    <t>Área Privativa SPE - CSP</t>
  </si>
  <si>
    <t>Área Privativa SPE - SCR</t>
  </si>
  <si>
    <t>Área Privativa SPE - CLD</t>
  </si>
  <si>
    <t>Área Privativa SPE - ITM</t>
  </si>
  <si>
    <t>Participação SYN - CEO</t>
  </si>
  <si>
    <t>Participação SYN - JKD</t>
  </si>
  <si>
    <t>Participação SYN - JKE</t>
  </si>
  <si>
    <t>Participação SYN - NSP</t>
  </si>
  <si>
    <t>Participação SYN - VBD</t>
  </si>
  <si>
    <t>Participação SYN - BRM</t>
  </si>
  <si>
    <t>Participação SYN - LBL</t>
  </si>
  <si>
    <t>Participação SYN - SRT</t>
  </si>
  <si>
    <t>Participação SYN - B10</t>
  </si>
  <si>
    <t>Participação SYN - SHD</t>
  </si>
  <si>
    <t>Participação SYN - GPS</t>
  </si>
  <si>
    <t>Participação SYN - SMB</t>
  </si>
  <si>
    <t>Participação SYN - TPS</t>
  </si>
  <si>
    <t>Participação SYN - CSP</t>
  </si>
  <si>
    <t>Participação SYN - SCR</t>
  </si>
  <si>
    <t>Participação SYN - ITM</t>
  </si>
  <si>
    <t>Área Privativa SYN - CEO</t>
  </si>
  <si>
    <t>Área Privativa SYN - JKD</t>
  </si>
  <si>
    <t>Área Privativa SYN - JKE</t>
  </si>
  <si>
    <t>Área Privativa SYN - NSP</t>
  </si>
  <si>
    <t>Área Privativa SYN - VBD</t>
  </si>
  <si>
    <t>Área Privativa SYN - BRM</t>
  </si>
  <si>
    <t>Área Privativa SYN - LBL</t>
  </si>
  <si>
    <t>Área Privativa SYN - SRT</t>
  </si>
  <si>
    <t>Área Privativa SYN - B10</t>
  </si>
  <si>
    <t>Área Privativa SYN - SHD</t>
  </si>
  <si>
    <t>Área Privativa SYN - GPS</t>
  </si>
  <si>
    <t>Área Privativa SYN - SMB</t>
  </si>
  <si>
    <t>Área Privativa SYN - TPS</t>
  </si>
  <si>
    <t>Área Privativa SYN - CSP</t>
  </si>
  <si>
    <t>Área Privativa SYN - SCR</t>
  </si>
  <si>
    <t>Área Privativa SYN - CLD</t>
  </si>
  <si>
    <t>Área Privativa SYN - ITM</t>
  </si>
  <si>
    <t>Brasílio Machado</t>
  </si>
  <si>
    <t>Total (ex ITM)</t>
  </si>
  <si>
    <t>X</t>
  </si>
  <si>
    <t xml:space="preserve">X </t>
  </si>
  <si>
    <t>Grand Plaza ¹</t>
  </si>
  <si>
    <t>X ¹</t>
  </si>
  <si>
    <t>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t>
  </si>
  <si>
    <t>¹ After the partial spin-off of the Grand Plaza Shopping Real Estate Investment Fund, in December 2022, SYN now holds 100% of a new fund, the Grand Plaza II Real Estate Investment Fund, which owns 61.41% of the property. Therefore, as of January/2023, the consolidation of the Grand Plaza II Fund represents only the portion of the property held by the new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</si>
</sst>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0000_);_(* \(#,##0.000000\);_(* &quot;-&quot;?_);_(@_)"/>
    <numFmt numFmtId="165" formatCode="_(* #,##0.0_);_(* \(#,##0.0\);_(* &quot;-&quot;?_);_(@_)"/>
    <numFmt numFmtId="166" formatCode="0.0%"/>
    <numFmt numFmtId="167" formatCode="0.0"/>
    <numFmt numFmtId="168" formatCode="_(* #,##0.00_);_(* \(#,##0.00\);_(* &quot;-&quot;?_);_(@_)"/>
    <numFmt numFmtId="169" formatCode="_(* #,##0.000_);_(* \(#,##0.000\);_(* &quot;-&quot;?_);_(@_)"/>
    <numFmt numFmtId="170" formatCode="dd/mm/yy;@"/>
    <numFmt numFmtId="171" formatCode="_-* #,##0.0_-;\-* #,##0.0_-;_-* &quot;-&quot;?_-;_-@_-"/>
    <numFmt numFmtId="172" formatCode="_-* #,##0.000_-;\-* #,##0.000_-;_-* &quot;-&quot;?_-;_-@_-"/>
    <numFmt numFmtId="173" formatCode="_-* #,##0.0000_-;\-* #,##0.0000_-;_-* &quot;-&quot;?_-;_-@_-"/>
    <numFmt numFmtId="174" formatCode="_(* #,##0_);_(* \(#,##0\);_(* &quot;-&quot;?_);_(@_)"/>
    <numFmt numFmtId="175" formatCode="0.00\x_)_);&quot;NM&quot;_x_)_);0.00\x_)_);@_%_)"/>
    <numFmt numFmtId="176" formatCode="0.00\x"/>
    <numFmt numFmtId="177" formatCode="[$-416]mmm\-yy;@"/>
  </numFmts>
  <fonts count="1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rgb="FF000000"/>
      <name val="Segoe UI"/>
      <family val="2"/>
    </font>
    <font>
      <b/>
      <sz val="11"/>
      <color indexed="8"/>
      <name val="Calibri"/>
      <family val="2"/>
    </font>
    <font>
      <b/>
      <sz val="11"/>
      <color theme="0"/>
      <name val="Calibri"/>
      <family val="2"/>
    </font>
    <font>
      <sz val="11"/>
      <name val="Calibri"/>
      <family val="2"/>
    </font>
    <font>
      <b/>
      <sz val="11"/>
      <name val="Calibri"/>
      <family val="2"/>
    </font>
    <font>
      <sz val="11"/>
      <color indexed="8"/>
      <name val="Calibri"/>
      <family val="2"/>
    </font>
    <font>
      <i/>
      <sz val="11"/>
      <name val="Calibri"/>
      <family val="2"/>
    </font>
    <font>
      <b/>
      <sz val="11"/>
      <color indexed="9"/>
      <name val="Calibri"/>
      <family val="2"/>
    </font>
    <font>
      <sz val="11"/>
      <name val="Calibri"/>
      <family val="2"/>
      <scheme val="minor"/>
    </font>
    <font>
      <sz val="8"/>
      <name val="Calibri"/>
      <family val="2"/>
    </font>
  </fonts>
  <fills count="6">
    <fill>
      <patternFill patternType="none"/>
    </fill>
    <fill>
      <patternFill patternType="gray125"/>
    </fill>
    <fill>
      <patternFill patternType="solid">
        <fgColor theme="1" tint="4.9989318521683403E-2"/>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s>
  <borders count="8">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theme="0" tint="-0.34998626667073579"/>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style="medium">
        <color indexed="55"/>
      </bottom>
      <diagonal/>
    </border>
    <border>
      <left style="thin">
        <color indexed="55"/>
      </left>
      <right style="thin">
        <color indexed="55"/>
      </right>
      <top style="thin">
        <color indexed="55"/>
      </top>
      <bottom/>
      <diagonal/>
    </border>
  </borders>
  <cellStyleXfs count="2">
    <xf numFmtId="0" fontId="0" fillId="0" borderId="0"/>
    <xf numFmtId="9" fontId="10" fillId="0" borderId="0" applyFont="0" applyFill="0" applyBorder="0" applyAlignment="0" applyProtection="0"/>
  </cellStyleXfs>
  <cellXfs count="180">
    <xf numFmtId="0" fontId="0" fillId="0" borderId="0" xfId="0"/>
    <xf numFmtId="164" fontId="0" fillId="0" borderId="0" xfId="0" applyNumberFormat="1" applyAlignment="1">
      <alignment horizontal="center"/>
    </xf>
    <xf numFmtId="164" fontId="0" fillId="0" borderId="0" xfId="0" applyNumberFormat="1"/>
    <xf numFmtId="0" fontId="3" fillId="0" borderId="0" xfId="0" applyFont="1" applyAlignment="1">
      <alignment horizontal="center"/>
    </xf>
    <xf numFmtId="164" fontId="3" fillId="0" borderId="0" xfId="0" applyNumberFormat="1" applyFont="1" applyAlignment="1">
      <alignment horizontal="center"/>
    </xf>
    <xf numFmtId="0" fontId="6" fillId="0" borderId="1" xfId="0" applyFont="1" applyBorder="1" applyAlignment="1">
      <alignment wrapText="1"/>
    </xf>
    <xf numFmtId="164" fontId="6" fillId="0" borderId="1" xfId="0" applyNumberFormat="1" applyFont="1" applyBorder="1" applyAlignment="1">
      <alignment wrapText="1"/>
    </xf>
    <xf numFmtId="0" fontId="0" fillId="0" borderId="0" xfId="0" applyAlignment="1">
      <alignment vertical="center"/>
    </xf>
    <xf numFmtId="0" fontId="7" fillId="2" borderId="2" xfId="0" applyFont="1" applyFill="1" applyBorder="1" applyAlignment="1">
      <alignment vertical="center" wrapText="1"/>
    </xf>
    <xf numFmtId="0" fontId="7" fillId="2" borderId="2" xfId="0" applyFont="1" applyFill="1" applyBorder="1" applyAlignment="1">
      <alignment horizontal="right" vertical="center" wrapText="1"/>
    </xf>
    <xf numFmtId="0" fontId="7" fillId="2" borderId="2" xfId="0" quotePrefix="1" applyFont="1" applyFill="1" applyBorder="1" applyAlignment="1">
      <alignment horizontal="right" vertical="center" wrapText="1"/>
    </xf>
    <xf numFmtId="164" fontId="7" fillId="2" borderId="2" xfId="0" applyNumberFormat="1" applyFont="1" applyFill="1" applyBorder="1" applyAlignment="1">
      <alignment horizontal="right" vertical="center" wrapText="1"/>
    </xf>
    <xf numFmtId="0" fontId="8" fillId="0" borderId="0" xfId="0" applyFont="1"/>
    <xf numFmtId="0" fontId="9" fillId="0" borderId="2" xfId="0" applyFont="1" applyBorder="1" applyAlignment="1">
      <alignment horizontal="left" indent="1"/>
    </xf>
    <xf numFmtId="165" fontId="9" fillId="3" borderId="2" xfId="0" applyNumberFormat="1" applyFont="1" applyFill="1" applyBorder="1"/>
    <xf numFmtId="165" fontId="9" fillId="0" borderId="2" xfId="0" applyNumberFormat="1" applyFont="1" applyBorder="1"/>
    <xf numFmtId="0" fontId="8" fillId="3" borderId="0" xfId="0" applyFont="1" applyFill="1"/>
    <xf numFmtId="0" fontId="8" fillId="0" borderId="2" xfId="0" applyFont="1" applyBorder="1" applyAlignment="1">
      <alignment horizontal="left" indent="2"/>
    </xf>
    <xf numFmtId="165" fontId="8" fillId="3" borderId="2" xfId="0" applyNumberFormat="1" applyFont="1" applyFill="1" applyBorder="1"/>
    <xf numFmtId="165" fontId="8" fillId="0" borderId="2" xfId="0" applyNumberFormat="1" applyFont="1" applyBorder="1"/>
    <xf numFmtId="0" fontId="8" fillId="0" borderId="2" xfId="0" applyFont="1" applyBorder="1" applyAlignment="1">
      <alignment horizontal="left" wrapText="1" indent="2"/>
    </xf>
    <xf numFmtId="165" fontId="8" fillId="3" borderId="2" xfId="0" applyNumberFormat="1" applyFont="1" applyFill="1" applyBorder="1" applyAlignment="1">
      <alignment horizontal="center"/>
    </xf>
    <xf numFmtId="166" fontId="9" fillId="3" borderId="2" xfId="1" applyNumberFormat="1" applyFont="1" applyFill="1" applyBorder="1" applyAlignment="1">
      <alignment horizontal="right"/>
    </xf>
    <xf numFmtId="166" fontId="9" fillId="0" borderId="2" xfId="1" applyNumberFormat="1" applyFont="1" applyFill="1" applyBorder="1" applyAlignment="1">
      <alignment horizontal="right"/>
    </xf>
    <xf numFmtId="0" fontId="9" fillId="0" borderId="2" xfId="0" applyFont="1" applyBorder="1" applyAlignment="1">
      <alignment horizontal="left" wrapText="1" indent="1"/>
    </xf>
    <xf numFmtId="0" fontId="8" fillId="3" borderId="2" xfId="0" applyFont="1" applyFill="1" applyBorder="1" applyAlignment="1">
      <alignment horizontal="left" wrapText="1" indent="2"/>
    </xf>
    <xf numFmtId="0" fontId="8" fillId="3" borderId="2" xfId="0" applyFont="1" applyFill="1" applyBorder="1" applyAlignment="1">
      <alignment horizontal="left" indent="2"/>
    </xf>
    <xf numFmtId="165" fontId="8" fillId="3" borderId="2" xfId="0" applyNumberFormat="1" applyFont="1" applyFill="1" applyBorder="1" applyAlignment="1">
      <alignment wrapText="1"/>
    </xf>
    <xf numFmtId="167" fontId="8" fillId="3" borderId="2" xfId="1" applyNumberFormat="1" applyFont="1" applyFill="1" applyBorder="1" applyAlignment="1">
      <alignment wrapText="1"/>
    </xf>
    <xf numFmtId="168" fontId="8" fillId="0" borderId="2" xfId="0" applyNumberFormat="1" applyFont="1" applyBorder="1"/>
    <xf numFmtId="165" fontId="9" fillId="3" borderId="2" xfId="0" applyNumberFormat="1" applyFont="1" applyFill="1" applyBorder="1" applyAlignment="1">
      <alignment wrapText="1"/>
    </xf>
    <xf numFmtId="166" fontId="9" fillId="3" borderId="2" xfId="1" applyNumberFormat="1" applyFont="1" applyFill="1" applyBorder="1"/>
    <xf numFmtId="0" fontId="11" fillId="3" borderId="2" xfId="0" applyFont="1" applyFill="1" applyBorder="1" applyAlignment="1">
      <alignment horizontal="left" wrapText="1" indent="2"/>
    </xf>
    <xf numFmtId="169" fontId="11" fillId="3" borderId="2" xfId="0" applyNumberFormat="1" applyFont="1" applyFill="1" applyBorder="1" applyAlignment="1">
      <alignment horizontal="right" wrapText="1"/>
    </xf>
    <xf numFmtId="169" fontId="11" fillId="4" borderId="2" xfId="0" applyNumberFormat="1" applyFont="1" applyFill="1" applyBorder="1" applyAlignment="1">
      <alignment horizontal="right" wrapText="1"/>
    </xf>
    <xf numFmtId="169" fontId="11" fillId="0" borderId="2" xfId="0" applyNumberFormat="1" applyFont="1" applyBorder="1" applyAlignment="1">
      <alignment horizontal="right" wrapText="1"/>
    </xf>
    <xf numFmtId="170" fontId="0" fillId="0" borderId="0" xfId="0" applyNumberFormat="1"/>
    <xf numFmtId="165" fontId="0" fillId="0" borderId="0" xfId="0" applyNumberFormat="1" applyAlignment="1">
      <alignment horizontal="right"/>
    </xf>
    <xf numFmtId="165" fontId="0" fillId="0" borderId="0" xfId="0" applyNumberFormat="1" applyAlignment="1">
      <alignment horizontal="right" vertical="center"/>
    </xf>
    <xf numFmtId="0" fontId="0" fillId="0" borderId="0" xfId="0" applyAlignment="1">
      <alignment horizontal="right"/>
    </xf>
    <xf numFmtId="164" fontId="0" fillId="0" borderId="0" xfId="0" applyNumberFormat="1" applyAlignment="1">
      <alignment horizontal="right" vertical="center"/>
    </xf>
    <xf numFmtId="0" fontId="4" fillId="0" borderId="0" xfId="0" applyFont="1" applyAlignment="1">
      <alignment horizontal="right"/>
    </xf>
    <xf numFmtId="0" fontId="1" fillId="0" borderId="0" xfId="0" applyFont="1" applyAlignment="1">
      <alignment horizontal="center"/>
    </xf>
    <xf numFmtId="169" fontId="6" fillId="0" borderId="1" xfId="0" applyNumberFormat="1" applyFont="1" applyBorder="1" applyAlignment="1">
      <alignment wrapText="1"/>
    </xf>
    <xf numFmtId="169" fontId="12" fillId="2" borderId="2" xfId="0" applyNumberFormat="1" applyFont="1" applyFill="1" applyBorder="1" applyAlignment="1">
      <alignment horizontal="right" vertical="center" wrapText="1"/>
    </xf>
    <xf numFmtId="0" fontId="12" fillId="2" borderId="2" xfId="0" applyFont="1" applyFill="1" applyBorder="1" applyAlignment="1">
      <alignment horizontal="right" vertical="center" wrapText="1"/>
    </xf>
    <xf numFmtId="169" fontId="7" fillId="2" borderId="2" xfId="0" applyNumberFormat="1" applyFont="1" applyFill="1" applyBorder="1" applyAlignment="1">
      <alignment horizontal="right" vertical="center" wrapText="1"/>
    </xf>
    <xf numFmtId="171" fontId="8" fillId="3" borderId="0" xfId="0" applyNumberFormat="1" applyFont="1" applyFill="1"/>
    <xf numFmtId="169" fontId="8" fillId="0" borderId="2" xfId="0" applyNumberFormat="1" applyFont="1" applyBorder="1"/>
    <xf numFmtId="166" fontId="9" fillId="0" borderId="2" xfId="1" applyNumberFormat="1" applyFont="1" applyFill="1" applyBorder="1"/>
    <xf numFmtId="172" fontId="8" fillId="3" borderId="0" xfId="0" applyNumberFormat="1" applyFont="1" applyFill="1"/>
    <xf numFmtId="173" fontId="0" fillId="0" borderId="0" xfId="0" applyNumberFormat="1"/>
    <xf numFmtId="169" fontId="0" fillId="0" borderId="0" xfId="0" applyNumberFormat="1"/>
    <xf numFmtId="169" fontId="0" fillId="0" borderId="0" xfId="0" applyNumberFormat="1" applyAlignment="1">
      <alignment horizontal="right" vertical="center"/>
    </xf>
    <xf numFmtId="0" fontId="3" fillId="0" borderId="0" xfId="0" applyFont="1" applyAlignment="1">
      <alignment horizontal="center" vertical="center"/>
    </xf>
    <xf numFmtId="0" fontId="6" fillId="0" borderId="0" xfId="0" applyFont="1" applyAlignment="1">
      <alignment wrapText="1"/>
    </xf>
    <xf numFmtId="0" fontId="4" fillId="0" borderId="0" xfId="0" applyFont="1" applyAlignment="1">
      <alignment vertical="center"/>
    </xf>
    <xf numFmtId="0" fontId="13" fillId="0" borderId="0" xfId="0" applyFont="1" applyAlignment="1">
      <alignment vertical="center"/>
    </xf>
    <xf numFmtId="0" fontId="7" fillId="2" borderId="2" xfId="0" applyFont="1" applyFill="1" applyBorder="1" applyAlignment="1">
      <alignment horizontal="center" vertical="center" wrapText="1"/>
    </xf>
    <xf numFmtId="0" fontId="7" fillId="2" borderId="2" xfId="0" quotePrefix="1" applyFont="1" applyFill="1" applyBorder="1" applyAlignment="1">
      <alignment horizontal="center" vertical="center" wrapText="1"/>
    </xf>
    <xf numFmtId="0" fontId="0" fillId="0" borderId="0" xfId="0" applyAlignment="1">
      <alignment horizontal="center" vertical="center"/>
    </xf>
    <xf numFmtId="0" fontId="12" fillId="5" borderId="2" xfId="0" applyFont="1" applyFill="1" applyBorder="1" applyAlignment="1">
      <alignment vertical="center" wrapText="1"/>
    </xf>
    <xf numFmtId="0" fontId="12" fillId="5" borderId="2" xfId="0" applyFont="1" applyFill="1" applyBorder="1" applyAlignment="1">
      <alignment horizontal="right" vertical="center" wrapText="1"/>
    </xf>
    <xf numFmtId="174" fontId="8" fillId="3" borderId="2" xfId="0" applyNumberFormat="1" applyFont="1" applyFill="1" applyBorder="1"/>
    <xf numFmtId="174" fontId="8" fillId="3" borderId="2" xfId="0" applyNumberFormat="1" applyFont="1" applyFill="1" applyBorder="1" applyAlignment="1">
      <alignment vertical="center"/>
    </xf>
    <xf numFmtId="174" fontId="8" fillId="0" borderId="2" xfId="0" applyNumberFormat="1" applyFont="1" applyBorder="1" applyAlignment="1">
      <alignment vertical="center"/>
    </xf>
    <xf numFmtId="174" fontId="9" fillId="3" borderId="2" xfId="0" applyNumberFormat="1" applyFont="1" applyFill="1" applyBorder="1"/>
    <xf numFmtId="174" fontId="9" fillId="3" borderId="2" xfId="0" applyNumberFormat="1" applyFont="1" applyFill="1" applyBorder="1" applyAlignment="1">
      <alignment vertical="center"/>
    </xf>
    <xf numFmtId="174" fontId="9" fillId="0" borderId="2" xfId="0" applyNumberFormat="1" applyFont="1" applyBorder="1" applyAlignment="1">
      <alignment vertical="center"/>
    </xf>
    <xf numFmtId="0" fontId="9" fillId="3" borderId="0" xfId="0" applyFont="1" applyFill="1"/>
    <xf numFmtId="166" fontId="8" fillId="3" borderId="2" xfId="1" applyNumberFormat="1" applyFont="1" applyFill="1" applyBorder="1" applyAlignment="1">
      <alignment vertical="center"/>
    </xf>
    <xf numFmtId="166" fontId="8" fillId="3" borderId="0" xfId="1" applyNumberFormat="1" applyFont="1" applyFill="1"/>
    <xf numFmtId="174" fontId="9" fillId="0" borderId="2" xfId="0" applyNumberFormat="1" applyFont="1" applyBorder="1"/>
    <xf numFmtId="174" fontId="9" fillId="4" borderId="2" xfId="0" applyNumberFormat="1" applyFont="1" applyFill="1" applyBorder="1"/>
    <xf numFmtId="0" fontId="9" fillId="0" borderId="0" xfId="0" applyFont="1"/>
    <xf numFmtId="166" fontId="8" fillId="0" borderId="2" xfId="1" applyNumberFormat="1" applyFont="1" applyFill="1" applyBorder="1" applyAlignment="1">
      <alignment vertical="center"/>
    </xf>
    <xf numFmtId="0" fontId="8" fillId="0" borderId="0" xfId="0" applyFont="1" applyAlignment="1">
      <alignment horizontal="left"/>
    </xf>
    <xf numFmtId="165" fontId="9" fillId="3" borderId="0" xfId="0" applyNumberFormat="1" applyFont="1" applyFill="1"/>
    <xf numFmtId="0" fontId="8" fillId="3" borderId="0" xfId="0" applyFont="1" applyFill="1" applyAlignment="1">
      <alignment vertical="center"/>
    </xf>
    <xf numFmtId="168" fontId="12" fillId="5" borderId="2" xfId="0" applyNumberFormat="1" applyFont="1" applyFill="1" applyBorder="1" applyAlignment="1">
      <alignment vertical="center" wrapText="1"/>
    </xf>
    <xf numFmtId="166" fontId="8" fillId="3" borderId="2" xfId="1" applyNumberFormat="1" applyFont="1" applyFill="1" applyBorder="1" applyAlignment="1"/>
    <xf numFmtId="166" fontId="8" fillId="4" borderId="2" xfId="1" applyNumberFormat="1" applyFont="1" applyFill="1" applyBorder="1" applyAlignment="1"/>
    <xf numFmtId="166" fontId="8" fillId="0" borderId="2" xfId="1" applyNumberFormat="1" applyFont="1" applyFill="1" applyBorder="1" applyAlignment="1"/>
    <xf numFmtId="0" fontId="14" fillId="0" borderId="0" xfId="0" applyFont="1" applyAlignment="1">
      <alignment horizontal="left"/>
    </xf>
    <xf numFmtId="174" fontId="9" fillId="0" borderId="0" xfId="0" applyNumberFormat="1" applyFont="1"/>
    <xf numFmtId="174" fontId="9" fillId="4" borderId="0" xfId="0" applyNumberFormat="1" applyFont="1" applyFill="1"/>
    <xf numFmtId="174" fontId="9" fillId="0" borderId="0" xfId="0" applyNumberFormat="1" applyFont="1" applyAlignment="1">
      <alignment vertical="center"/>
    </xf>
    <xf numFmtId="174" fontId="8" fillId="0" borderId="2" xfId="0" applyNumberFormat="1" applyFont="1" applyBorder="1"/>
    <xf numFmtId="174" fontId="9" fillId="3" borderId="3" xfId="0" applyNumberFormat="1" applyFont="1" applyFill="1" applyBorder="1"/>
    <xf numFmtId="174" fontId="9" fillId="3" borderId="3" xfId="0" applyNumberFormat="1" applyFont="1" applyFill="1" applyBorder="1" applyAlignment="1">
      <alignment vertical="center"/>
    </xf>
    <xf numFmtId="174" fontId="9" fillId="0" borderId="3" xfId="0" applyNumberFormat="1" applyFont="1" applyBorder="1" applyAlignment="1">
      <alignment vertical="center"/>
    </xf>
    <xf numFmtId="175" fontId="8" fillId="3" borderId="2" xfId="0" applyNumberFormat="1" applyFont="1" applyFill="1" applyBorder="1"/>
    <xf numFmtId="175" fontId="8" fillId="3" borderId="2" xfId="0" applyNumberFormat="1" applyFont="1" applyFill="1" applyBorder="1" applyAlignment="1">
      <alignment vertical="center"/>
    </xf>
    <xf numFmtId="175" fontId="8" fillId="0" borderId="2" xfId="0" applyNumberFormat="1" applyFont="1" applyBorder="1" applyAlignment="1">
      <alignment vertical="center"/>
    </xf>
    <xf numFmtId="176" fontId="8" fillId="0" borderId="2" xfId="0" applyNumberFormat="1" applyFont="1" applyBorder="1" applyAlignment="1">
      <alignment vertical="center"/>
    </xf>
    <xf numFmtId="165" fontId="9" fillId="0" borderId="0" xfId="0" applyNumberFormat="1" applyFont="1"/>
    <xf numFmtId="0" fontId="12" fillId="5" borderId="4" xfId="0" applyFont="1" applyFill="1" applyBorder="1" applyAlignment="1">
      <alignment vertical="center" wrapText="1"/>
    </xf>
    <xf numFmtId="0" fontId="12" fillId="5" borderId="4" xfId="0" applyFont="1" applyFill="1" applyBorder="1" applyAlignment="1">
      <alignment horizontal="right" vertical="center" wrapText="1"/>
    </xf>
    <xf numFmtId="165" fontId="8" fillId="0" borderId="2" xfId="0" applyNumberFormat="1" applyFont="1" applyBorder="1" applyAlignment="1">
      <alignment vertical="center"/>
    </xf>
    <xf numFmtId="166" fontId="8" fillId="0" borderId="0" xfId="1" applyNumberFormat="1" applyFont="1" applyFill="1" applyBorder="1" applyAlignment="1">
      <alignment horizontal="left"/>
    </xf>
    <xf numFmtId="166" fontId="9" fillId="3" borderId="0" xfId="1" applyNumberFormat="1" applyFont="1" applyFill="1" applyBorder="1" applyAlignment="1"/>
    <xf numFmtId="0" fontId="9" fillId="3" borderId="0" xfId="1" applyNumberFormat="1" applyFont="1" applyFill="1" applyBorder="1" applyAlignment="1"/>
    <xf numFmtId="166" fontId="8" fillId="3" borderId="0" xfId="1" applyNumberFormat="1" applyFont="1" applyFill="1" applyBorder="1"/>
    <xf numFmtId="166" fontId="8" fillId="3" borderId="0" xfId="1" applyNumberFormat="1" applyFont="1" applyFill="1" applyBorder="1" applyAlignment="1">
      <alignment vertical="center"/>
    </xf>
    <xf numFmtId="165" fontId="8" fillId="3" borderId="2" xfId="0" applyNumberFormat="1" applyFont="1" applyFill="1" applyBorder="1" applyAlignment="1">
      <alignment vertical="center"/>
    </xf>
    <xf numFmtId="3" fontId="0" fillId="0" borderId="0" xfId="0" applyNumberFormat="1"/>
    <xf numFmtId="174" fontId="8" fillId="4" borderId="2" xfId="0" applyNumberFormat="1" applyFont="1" applyFill="1" applyBorder="1" applyAlignment="1">
      <alignment vertical="center"/>
    </xf>
    <xf numFmtId="166" fontId="8" fillId="0" borderId="2" xfId="1" applyNumberFormat="1" applyFont="1" applyFill="1" applyBorder="1" applyAlignment="1">
      <alignment horizontal="right"/>
    </xf>
    <xf numFmtId="166" fontId="8" fillId="4" borderId="2" xfId="1" applyNumberFormat="1" applyFont="1" applyFill="1" applyBorder="1" applyAlignment="1">
      <alignment vertical="center"/>
    </xf>
    <xf numFmtId="166" fontId="8" fillId="0" borderId="0" xfId="1" applyNumberFormat="1" applyFont="1" applyFill="1"/>
    <xf numFmtId="0" fontId="0" fillId="0" borderId="0" xfId="0" applyAlignment="1">
      <alignment horizontal="right" vertical="center"/>
    </xf>
    <xf numFmtId="3" fontId="0" fillId="0" borderId="0" xfId="0" applyNumberFormat="1" applyAlignment="1">
      <alignment vertical="center"/>
    </xf>
    <xf numFmtId="0" fontId="9" fillId="0" borderId="2" xfId="0" applyFont="1" applyBorder="1" applyAlignment="1">
      <alignment horizontal="left" wrapText="1"/>
    </xf>
    <xf numFmtId="165" fontId="9" fillId="3" borderId="2" xfId="0" applyNumberFormat="1" applyFont="1" applyFill="1" applyBorder="1" applyAlignment="1">
      <alignment horizontal="left" indent="4"/>
    </xf>
    <xf numFmtId="0" fontId="8" fillId="0" borderId="2" xfId="0" applyFont="1" applyBorder="1" applyAlignment="1">
      <alignment horizontal="left" wrapText="1" indent="1"/>
    </xf>
    <xf numFmtId="165" fontId="8" fillId="3" borderId="2" xfId="0" applyNumberFormat="1" applyFont="1" applyFill="1" applyBorder="1" applyAlignment="1">
      <alignment horizontal="left" indent="4"/>
    </xf>
    <xf numFmtId="165" fontId="8" fillId="3" borderId="2" xfId="0" applyNumberFormat="1" applyFont="1" applyFill="1" applyBorder="1" applyAlignment="1">
      <alignment horizontal="right" indent="4"/>
    </xf>
    <xf numFmtId="165" fontId="8" fillId="0" borderId="2" xfId="0" applyNumberFormat="1" applyFont="1" applyBorder="1" applyAlignment="1">
      <alignment horizontal="left" indent="4"/>
    </xf>
    <xf numFmtId="165" fontId="8" fillId="0" borderId="2" xfId="0" applyNumberFormat="1" applyFont="1" applyBorder="1" applyAlignment="1">
      <alignment horizontal="right" indent="4"/>
    </xf>
    <xf numFmtId="0" fontId="9" fillId="0" borderId="2" xfId="0" applyFont="1" applyBorder="1" applyAlignment="1">
      <alignment wrapText="1"/>
    </xf>
    <xf numFmtId="165" fontId="8" fillId="3" borderId="5" xfId="0" applyNumberFormat="1" applyFont="1" applyFill="1" applyBorder="1" applyAlignment="1">
      <alignment horizontal="left" indent="4"/>
    </xf>
    <xf numFmtId="165" fontId="9" fillId="3" borderId="2" xfId="0" applyNumberFormat="1" applyFont="1" applyFill="1" applyBorder="1" applyAlignment="1">
      <alignment horizontal="right" indent="4"/>
    </xf>
    <xf numFmtId="165" fontId="9" fillId="0" borderId="2" xfId="0" applyNumberFormat="1" applyFont="1" applyBorder="1" applyAlignment="1">
      <alignment horizontal="left" indent="4"/>
    </xf>
    <xf numFmtId="0" fontId="3" fillId="0" borderId="0" xfId="0" applyFont="1"/>
    <xf numFmtId="171" fontId="0" fillId="0" borderId="0" xfId="0" applyNumberFormat="1"/>
    <xf numFmtId="165" fontId="8" fillId="4" borderId="2" xfId="0" applyNumberFormat="1" applyFont="1" applyFill="1" applyBorder="1" applyAlignment="1">
      <alignment horizontal="left" indent="4"/>
    </xf>
    <xf numFmtId="0" fontId="2" fillId="0" borderId="0" xfId="0" applyFont="1"/>
    <xf numFmtId="0" fontId="6" fillId="0" borderId="1" xfId="0" applyFont="1" applyBorder="1" applyAlignment="1">
      <alignment horizontal="right" wrapText="1"/>
    </xf>
    <xf numFmtId="177" fontId="7" fillId="2" borderId="2" xfId="0" applyNumberFormat="1" applyFont="1" applyFill="1" applyBorder="1" applyAlignment="1">
      <alignment horizontal="right" vertical="center" wrapText="1"/>
    </xf>
    <xf numFmtId="0" fontId="7" fillId="5" borderId="2" xfId="0" applyFont="1" applyFill="1" applyBorder="1" applyAlignment="1">
      <alignment vertical="center" wrapText="1"/>
    </xf>
    <xf numFmtId="0" fontId="7" fillId="5" borderId="2" xfId="0" applyFont="1" applyFill="1" applyBorder="1" applyAlignment="1">
      <alignment horizontal="right" vertical="center" wrapText="1"/>
    </xf>
    <xf numFmtId="0" fontId="6" fillId="0" borderId="0" xfId="0" applyFont="1"/>
    <xf numFmtId="174" fontId="9" fillId="0" borderId="2" xfId="0" applyNumberFormat="1" applyFont="1" applyBorder="1" applyAlignment="1">
      <alignment horizontal="right" indent="4"/>
    </xf>
    <xf numFmtId="0" fontId="6" fillId="0" borderId="2" xfId="0" applyFont="1" applyBorder="1" applyAlignment="1">
      <alignment horizontal="left" indent="2"/>
    </xf>
    <xf numFmtId="0" fontId="8" fillId="0" borderId="2" xfId="0" applyFont="1" applyBorder="1" applyAlignment="1">
      <alignment horizontal="left" wrapText="1"/>
    </xf>
    <xf numFmtId="174" fontId="8" fillId="3" borderId="2" xfId="0" applyNumberFormat="1" applyFont="1" applyFill="1" applyBorder="1" applyAlignment="1">
      <alignment horizontal="right" indent="4"/>
    </xf>
    <xf numFmtId="174" fontId="8" fillId="0" borderId="2" xfId="0" applyNumberFormat="1" applyFont="1" applyBorder="1" applyAlignment="1">
      <alignment horizontal="right" indent="4"/>
    </xf>
    <xf numFmtId="174" fontId="8" fillId="4" borderId="2" xfId="0" applyNumberFormat="1" applyFont="1" applyFill="1" applyBorder="1" applyAlignment="1">
      <alignment horizontal="right" indent="4"/>
    </xf>
    <xf numFmtId="174" fontId="9" fillId="3" borderId="2" xfId="0" applyNumberFormat="1" applyFont="1" applyFill="1" applyBorder="1" applyAlignment="1">
      <alignment horizontal="right" indent="4"/>
    </xf>
    <xf numFmtId="174" fontId="8" fillId="3" borderId="2" xfId="0" applyNumberFormat="1" applyFont="1" applyFill="1" applyBorder="1" applyAlignment="1">
      <alignment horizontal="right"/>
    </xf>
    <xf numFmtId="0" fontId="6" fillId="0" borderId="2" xfId="0" applyFont="1" applyBorder="1" applyAlignment="1">
      <alignment horizontal="left" indent="1"/>
    </xf>
    <xf numFmtId="0" fontId="0" fillId="0" borderId="2" xfId="0" applyBorder="1" applyAlignment="1">
      <alignment horizontal="left"/>
    </xf>
    <xf numFmtId="0" fontId="9" fillId="0" borderId="6" xfId="0" applyFont="1" applyBorder="1" applyAlignment="1">
      <alignment horizontal="left" wrapText="1"/>
    </xf>
    <xf numFmtId="174" fontId="9" fillId="0" borderId="6" xfId="0" applyNumberFormat="1" applyFont="1" applyBorder="1" applyAlignment="1">
      <alignment horizontal="right" wrapText="1" indent="1"/>
    </xf>
    <xf numFmtId="174" fontId="0" fillId="0" borderId="0" xfId="0" applyNumberFormat="1" applyAlignment="1">
      <alignment horizontal="right"/>
    </xf>
    <xf numFmtId="174" fontId="0" fillId="0" borderId="0" xfId="0" applyNumberFormat="1"/>
    <xf numFmtId="0" fontId="8" fillId="4" borderId="2" xfId="0" applyFont="1" applyFill="1" applyBorder="1" applyAlignment="1">
      <alignment horizontal="left" wrapText="1"/>
    </xf>
    <xf numFmtId="174" fontId="8" fillId="0" borderId="2" xfId="0" applyNumberFormat="1" applyFont="1" applyBorder="1" applyAlignment="1">
      <alignment horizontal="center"/>
    </xf>
    <xf numFmtId="0" fontId="9" fillId="0" borderId="7" xfId="0" applyFont="1" applyBorder="1" applyAlignment="1">
      <alignment horizontal="left" wrapText="1" indent="1"/>
    </xf>
    <xf numFmtId="0" fontId="14" fillId="0" borderId="5" xfId="0" applyFont="1" applyBorder="1" applyAlignment="1">
      <alignment horizontal="left"/>
    </xf>
    <xf numFmtId="166" fontId="6" fillId="0" borderId="0" xfId="1" applyNumberFormat="1" applyFont="1"/>
    <xf numFmtId="166" fontId="9" fillId="0" borderId="2" xfId="1" applyNumberFormat="1" applyFont="1" applyFill="1" applyBorder="1" applyAlignment="1">
      <alignment horizontal="left" wrapText="1" indent="1"/>
    </xf>
    <xf numFmtId="166" fontId="9" fillId="0" borderId="2" xfId="1" applyNumberFormat="1" applyFont="1" applyFill="1" applyBorder="1" applyAlignment="1">
      <alignment horizontal="right" indent="1"/>
    </xf>
    <xf numFmtId="166" fontId="6" fillId="0" borderId="0" xfId="1" applyNumberFormat="1" applyFont="1" applyBorder="1"/>
    <xf numFmtId="166" fontId="8" fillId="0" borderId="2" xfId="1" applyNumberFormat="1" applyFont="1" applyFill="1" applyBorder="1" applyAlignment="1">
      <alignment horizontal="left" wrapText="1"/>
    </xf>
    <xf numFmtId="166" fontId="8" fillId="0" borderId="2" xfId="1" applyNumberFormat="1" applyFont="1" applyFill="1" applyBorder="1" applyAlignment="1">
      <alignment horizontal="right" indent="1"/>
    </xf>
    <xf numFmtId="166" fontId="0" fillId="0" borderId="0" xfId="1" applyNumberFormat="1" applyFont="1" applyBorder="1"/>
    <xf numFmtId="166" fontId="0" fillId="0" borderId="0" xfId="1" applyNumberFormat="1" applyFont="1"/>
    <xf numFmtId="10" fontId="8" fillId="0" borderId="2" xfId="1" applyNumberFormat="1" applyFont="1" applyFill="1" applyBorder="1" applyAlignment="1">
      <alignment horizontal="right" indent="1"/>
    </xf>
    <xf numFmtId="166" fontId="0" fillId="0" borderId="0" xfId="1" applyNumberFormat="1" applyFont="1" applyFill="1" applyBorder="1"/>
    <xf numFmtId="166" fontId="0" fillId="0" borderId="0" xfId="1" applyNumberFormat="1" applyFont="1" applyFill="1"/>
    <xf numFmtId="166" fontId="9" fillId="0" borderId="7" xfId="1" applyNumberFormat="1" applyFont="1" applyFill="1" applyBorder="1" applyAlignment="1">
      <alignment horizontal="left" wrapText="1" indent="1"/>
    </xf>
    <xf numFmtId="166" fontId="3" fillId="0" borderId="0" xfId="1" applyNumberFormat="1" applyFont="1" applyBorder="1"/>
    <xf numFmtId="166" fontId="3" fillId="0" borderId="0" xfId="1" applyNumberFormat="1" applyFont="1"/>
    <xf numFmtId="166" fontId="9" fillId="0" borderId="6" xfId="1" applyNumberFormat="1" applyFont="1" applyFill="1" applyBorder="1" applyAlignment="1">
      <alignment horizontal="left" wrapText="1"/>
    </xf>
    <xf numFmtId="166" fontId="9" fillId="0" borderId="6" xfId="1" applyNumberFormat="1" applyFont="1" applyFill="1" applyBorder="1" applyAlignment="1">
      <alignment horizontal="right" wrapText="1" indent="1"/>
    </xf>
    <xf numFmtId="166" fontId="8" fillId="3" borderId="2" xfId="1" applyNumberFormat="1" applyFont="1" applyFill="1" applyBorder="1" applyAlignment="1">
      <alignment horizontal="right"/>
    </xf>
    <xf numFmtId="0" fontId="6" fillId="0" borderId="2" xfId="0" applyFont="1" applyBorder="1" applyAlignment="1">
      <alignment horizontal="left" wrapText="1" indent="1"/>
    </xf>
    <xf numFmtId="0" fontId="7" fillId="2" borderId="2" xfId="0" applyFont="1" applyFill="1" applyBorder="1" applyAlignment="1">
      <alignment vertical="center"/>
    </xf>
    <xf numFmtId="0" fontId="0" fillId="0" borderId="2" xfId="0" applyBorder="1" applyAlignment="1">
      <alignment horizontal="left" wrapText="1"/>
    </xf>
    <xf numFmtId="0" fontId="6" fillId="0" borderId="2" xfId="0" applyFont="1" applyBorder="1" applyAlignment="1">
      <alignment wrapText="1"/>
    </xf>
    <xf numFmtId="43" fontId="0" fillId="0" borderId="0" xfId="0" applyNumberFormat="1"/>
    <xf numFmtId="0" fontId="0" fillId="0" borderId="0" xfId="0" applyAlignment="1">
      <alignment horizontal="center"/>
    </xf>
    <xf numFmtId="0" fontId="4" fillId="0" borderId="0" xfId="0" applyFont="1"/>
    <xf numFmtId="0" fontId="6" fillId="0" borderId="1" xfId="0" applyFont="1" applyBorder="1" applyAlignment="1">
      <alignment horizontal="center" wrapText="1"/>
    </xf>
    <xf numFmtId="0" fontId="12" fillId="2" borderId="2" xfId="0" applyFont="1" applyFill="1" applyBorder="1" applyAlignment="1">
      <alignment vertical="center" wrapText="1"/>
    </xf>
    <xf numFmtId="177" fontId="12" fillId="2" borderId="2" xfId="0" applyNumberFormat="1"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wrapText="1"/>
    </xf>
  </cellXfs>
  <cellStyles count="2">
    <cellStyle name="Normal" xfId="0" builtinId="0"/>
    <cellStyle name="Porcentagem" xfId="1" builtinId="5"/>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P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Porf&#243;lio!A1"/><Relationship Id="rId3" Type="http://schemas.openxmlformats.org/officeDocument/2006/relationships/image" Target="../media/image2.png"/><Relationship Id="rId7" Type="http://schemas.openxmlformats.org/officeDocument/2006/relationships/hyperlink" Target="#'Balan&#231;o Proforma'!A1"/><Relationship Id="rId2" Type="http://schemas.openxmlformats.org/officeDocument/2006/relationships/hyperlink" Target="#'DRE - IFRS'!A1"/><Relationship Id="rId1" Type="http://schemas.openxmlformats.org/officeDocument/2006/relationships/image" Target="../media/image1.png"/><Relationship Id="rId6" Type="http://schemas.openxmlformats.org/officeDocument/2006/relationships/hyperlink" Target="#'Balan&#231;o IFRS'!A1"/><Relationship Id="rId5" Type="http://schemas.openxmlformats.org/officeDocument/2006/relationships/hyperlink" Target="#Indicadores!A1"/><Relationship Id="rId10" Type="http://schemas.openxmlformats.org/officeDocument/2006/relationships/hyperlink" Target="#Vac&#226;ncia!A1"/><Relationship Id="rId4" Type="http://schemas.openxmlformats.org/officeDocument/2006/relationships/hyperlink" Target="#'DRE - Proforma'!A1"/><Relationship Id="rId9" Type="http://schemas.openxmlformats.org/officeDocument/2006/relationships/hyperlink" Target="#'Consolida&#231;&#227;o IFRS'!A1"/></Relationships>
</file>

<file path=xl/drawings/_rels/drawing2.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7.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21</xdr:row>
      <xdr:rowOff>0</xdr:rowOff>
    </xdr:to>
    <xdr:pic>
      <xdr:nvPicPr>
        <xdr:cNvPr id="2" name="Imagem 1">
          <a:extLst>
            <a:ext uri="{FF2B5EF4-FFF2-40B4-BE49-F238E27FC236}">
              <a16:creationId xmlns:a16="http://schemas.microsoft.com/office/drawing/2014/main" id="{8870EA65-DB15-46F1-AF12-92AB1E5307BD}"/>
            </a:ext>
          </a:extLst>
        </xdr:cNvPr>
        <xdr:cNvPicPr>
          <a:picLocks noChangeAspect="1"/>
        </xdr:cNvPicPr>
      </xdr:nvPicPr>
      <xdr:blipFill rotWithShape="1">
        <a:blip xmlns:r="http://schemas.openxmlformats.org/officeDocument/2006/relationships" r:embed="rId1" cstate="screen">
          <a:grayscl/>
          <a:extLst>
            <a:ext uri="{28A0092B-C50C-407E-A947-70E740481C1C}">
              <a14:useLocalDpi xmlns:a14="http://schemas.microsoft.com/office/drawing/2010/main"/>
            </a:ext>
          </a:extLst>
        </a:blip>
        <a:srcRect b="15572"/>
        <a:stretch/>
      </xdr:blipFill>
      <xdr:spPr>
        <a:xfrm>
          <a:off x="0" y="0"/>
          <a:ext cx="6248400" cy="3840480"/>
        </a:xfrm>
        <a:prstGeom prst="rect">
          <a:avLst/>
        </a:prstGeom>
      </xdr:spPr>
    </xdr:pic>
    <xdr:clientData/>
  </xdr:twoCellAnchor>
  <xdr:twoCellAnchor>
    <xdr:from>
      <xdr:col>0</xdr:col>
      <xdr:colOff>0</xdr:colOff>
      <xdr:row>0</xdr:row>
      <xdr:rowOff>0</xdr:rowOff>
    </xdr:from>
    <xdr:to>
      <xdr:col>10</xdr:col>
      <xdr:colOff>0</xdr:colOff>
      <xdr:row>21</xdr:row>
      <xdr:rowOff>0</xdr:rowOff>
    </xdr:to>
    <xdr:sp macro="" textlink="">
      <xdr:nvSpPr>
        <xdr:cNvPr id="3" name="Retângulo 2">
          <a:extLst>
            <a:ext uri="{FF2B5EF4-FFF2-40B4-BE49-F238E27FC236}">
              <a16:creationId xmlns:a16="http://schemas.microsoft.com/office/drawing/2014/main" id="{761D7680-F45A-4B1E-9A54-10450E44C9A8}"/>
            </a:ext>
          </a:extLst>
        </xdr:cNvPr>
        <xdr:cNvSpPr/>
      </xdr:nvSpPr>
      <xdr:spPr>
        <a:xfrm>
          <a:off x="0" y="0"/>
          <a:ext cx="6248400" cy="3840480"/>
        </a:xfrm>
        <a:prstGeom prst="rect">
          <a:avLst/>
        </a:prstGeom>
        <a:solidFill>
          <a:srgbClr val="000000">
            <a:alpha val="6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239118</xdr:colOff>
      <xdr:row>4</xdr:row>
      <xdr:rowOff>186039</xdr:rowOff>
    </xdr:from>
    <xdr:to>
      <xdr:col>3</xdr:col>
      <xdr:colOff>454332</xdr:colOff>
      <xdr:row>7</xdr:row>
      <xdr:rowOff>30002</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F6FF73CD-7658-451B-8E9E-C47FB9E85B90}"/>
            </a:ext>
          </a:extLst>
        </xdr:cNvPr>
        <xdr:cNvSpPr/>
      </xdr:nvSpPr>
      <xdr:spPr>
        <a:xfrm>
          <a:off x="863958" y="917559"/>
          <a:ext cx="1464894" cy="39260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DRE -</a:t>
          </a:r>
          <a:r>
            <a:rPr lang="pt-BR" sz="900" b="0" i="0" baseline="0">
              <a:solidFill>
                <a:sysClr val="windowText" lastClr="000000"/>
              </a:solidFill>
              <a:latin typeface="Klavika Light" panose="02000506040000020004" pitchFamily="50" charset="0"/>
              <a:cs typeface="Poppins" panose="00000500000000000000" pitchFamily="2" charset="0"/>
            </a:rPr>
            <a:t> IFRS</a:t>
          </a:r>
        </a:p>
        <a:p>
          <a:pPr algn="ctr"/>
          <a:r>
            <a:rPr lang="pt-BR" sz="900" b="0" i="0" baseline="0">
              <a:solidFill>
                <a:sysClr val="windowText" lastClr="000000"/>
              </a:solidFill>
              <a:latin typeface="Klavika Light" panose="02000506040000020004" pitchFamily="50" charset="0"/>
              <a:cs typeface="Poppins" panose="00000500000000000000" pitchFamily="2" charset="0"/>
            </a:rPr>
            <a:t>Income Statement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31954</xdr:colOff>
      <xdr:row>0</xdr:row>
      <xdr:rowOff>9867</xdr:rowOff>
    </xdr:from>
    <xdr:to>
      <xdr:col>1</xdr:col>
      <xdr:colOff>300293</xdr:colOff>
      <xdr:row>1</xdr:row>
      <xdr:rowOff>152401</xdr:rowOff>
    </xdr:to>
    <xdr:pic>
      <xdr:nvPicPr>
        <xdr:cNvPr id="5" name="Imagem 4">
          <a:extLst>
            <a:ext uri="{FF2B5EF4-FFF2-40B4-BE49-F238E27FC236}">
              <a16:creationId xmlns:a16="http://schemas.microsoft.com/office/drawing/2014/main" id="{4E087C5F-68C8-43B4-89EA-9979AD963B3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8115" t="29255" r="15190" b="38498"/>
        <a:stretch>
          <a:fillRect/>
        </a:stretch>
      </xdr:blipFill>
      <xdr:spPr>
        <a:xfrm>
          <a:off x="31954" y="9867"/>
          <a:ext cx="893179" cy="325414"/>
        </a:xfrm>
        <a:prstGeom prst="rect">
          <a:avLst/>
        </a:prstGeom>
      </xdr:spPr>
    </xdr:pic>
    <xdr:clientData/>
  </xdr:twoCellAnchor>
  <xdr:twoCellAnchor>
    <xdr:from>
      <xdr:col>1</xdr:col>
      <xdr:colOff>234356</xdr:colOff>
      <xdr:row>8</xdr:row>
      <xdr:rowOff>122572</xdr:rowOff>
    </xdr:from>
    <xdr:to>
      <xdr:col>3</xdr:col>
      <xdr:colOff>455004</xdr:colOff>
      <xdr:row>10</xdr:row>
      <xdr:rowOff>155659</xdr:rowOff>
    </xdr:to>
    <xdr:sp macro="" textlink="">
      <xdr:nvSpPr>
        <xdr:cNvPr id="6" name="Retângulo: Cantos Arredondados 5">
          <a:hlinkClick xmlns:r="http://schemas.openxmlformats.org/officeDocument/2006/relationships" r:id="rId4"/>
          <a:extLst>
            <a:ext uri="{FF2B5EF4-FFF2-40B4-BE49-F238E27FC236}">
              <a16:creationId xmlns:a16="http://schemas.microsoft.com/office/drawing/2014/main" id="{36E1AA30-C8CF-427E-A15B-6F2B4B756131}"/>
            </a:ext>
          </a:extLst>
        </xdr:cNvPr>
        <xdr:cNvSpPr/>
      </xdr:nvSpPr>
      <xdr:spPr>
        <a:xfrm>
          <a:off x="859196" y="1585612"/>
          <a:ext cx="1470328" cy="39884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DRE -</a:t>
          </a:r>
          <a:r>
            <a:rPr lang="pt-BR" sz="900" b="0" baseline="0">
              <a:solidFill>
                <a:sysClr val="windowText" lastClr="000000"/>
              </a:solidFill>
              <a:latin typeface="Klavika Light" panose="02000506040000020004" pitchFamily="50" charset="0"/>
              <a:cs typeface="Poppins" panose="00000500000000000000" pitchFamily="2" charset="0"/>
            </a:rPr>
            <a:t> Proforma</a:t>
          </a:r>
        </a:p>
        <a:p>
          <a:pPr algn="ctr"/>
          <a:r>
            <a:rPr lang="pt-BR" sz="900" b="0" i="1" baseline="0">
              <a:solidFill>
                <a:sysClr val="windowText" lastClr="000000"/>
              </a:solidFill>
              <a:latin typeface="Klavika Light" panose="02000506040000020004" pitchFamily="50" charset="0"/>
              <a:cs typeface="Poppins" panose="00000500000000000000" pitchFamily="2" charset="0"/>
            </a:rPr>
            <a:t>Income Statement - Proforma</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12</xdr:row>
      <xdr:rowOff>57729</xdr:rowOff>
    </xdr:from>
    <xdr:to>
      <xdr:col>3</xdr:col>
      <xdr:colOff>455004</xdr:colOff>
      <xdr:row>14</xdr:row>
      <xdr:rowOff>90816</xdr:rowOff>
    </xdr:to>
    <xdr:sp macro="" textlink="">
      <xdr:nvSpPr>
        <xdr:cNvPr id="7" name="Retângulo: Cantos Arredondados 6">
          <a:hlinkClick xmlns:r="http://schemas.openxmlformats.org/officeDocument/2006/relationships" r:id="rId5"/>
          <a:extLst>
            <a:ext uri="{FF2B5EF4-FFF2-40B4-BE49-F238E27FC236}">
              <a16:creationId xmlns:a16="http://schemas.microsoft.com/office/drawing/2014/main" id="{B52491D7-4F41-4148-803B-B4F19B975A53}"/>
            </a:ext>
          </a:extLst>
        </xdr:cNvPr>
        <xdr:cNvSpPr/>
      </xdr:nvSpPr>
      <xdr:spPr>
        <a:xfrm>
          <a:off x="859196" y="2252289"/>
          <a:ext cx="1470328" cy="39884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Indicadores</a:t>
          </a:r>
        </a:p>
        <a:p>
          <a:pPr algn="ctr"/>
          <a:r>
            <a:rPr lang="pt-BR" sz="900" b="0" i="0">
              <a:solidFill>
                <a:sysClr val="windowText" lastClr="000000"/>
              </a:solidFill>
              <a:latin typeface="Klavika Light" panose="02000506040000020004" pitchFamily="50" charset="0"/>
              <a:cs typeface="Poppins" panose="00000500000000000000" pitchFamily="2" charset="0"/>
            </a:rPr>
            <a:t>KPI's</a:t>
          </a:r>
        </a:p>
      </xdr:txBody>
    </xdr:sp>
    <xdr:clientData/>
  </xdr:twoCellAnchor>
  <xdr:twoCellAnchor>
    <xdr:from>
      <xdr:col>5</xdr:col>
      <xdr:colOff>131777</xdr:colOff>
      <xdr:row>5</xdr:row>
      <xdr:rowOff>22753</xdr:rowOff>
    </xdr:from>
    <xdr:to>
      <xdr:col>7</xdr:col>
      <xdr:colOff>352425</xdr:colOff>
      <xdr:row>7</xdr:row>
      <xdr:rowOff>57216</xdr:rowOff>
    </xdr:to>
    <xdr:sp macro="" textlink="">
      <xdr:nvSpPr>
        <xdr:cNvPr id="8" name="Retângulo: Cantos Arredondados 7">
          <a:hlinkClick xmlns:r="http://schemas.openxmlformats.org/officeDocument/2006/relationships" r:id="rId6"/>
          <a:extLst>
            <a:ext uri="{FF2B5EF4-FFF2-40B4-BE49-F238E27FC236}">
              <a16:creationId xmlns:a16="http://schemas.microsoft.com/office/drawing/2014/main" id="{F935FAA2-95F2-4606-B238-DD335355B668}"/>
            </a:ext>
          </a:extLst>
        </xdr:cNvPr>
        <xdr:cNvSpPr/>
      </xdr:nvSpPr>
      <xdr:spPr>
        <a:xfrm>
          <a:off x="3255977" y="937153"/>
          <a:ext cx="147032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Balanço - IFRS</a:t>
          </a:r>
        </a:p>
        <a:p>
          <a:pPr algn="ctr"/>
          <a:r>
            <a:rPr lang="pt-BR" sz="900" b="0" i="0">
              <a:solidFill>
                <a:sysClr val="windowText" lastClr="000000"/>
              </a:solidFill>
              <a:latin typeface="Klavika Light" panose="02000506040000020004" pitchFamily="50" charset="0"/>
              <a:cs typeface="Poppins" panose="00000500000000000000" pitchFamily="2" charset="0"/>
            </a:rPr>
            <a:t>Balance</a:t>
          </a:r>
          <a:r>
            <a:rPr lang="pt-BR" sz="900" b="0" i="0" baseline="0">
              <a:solidFill>
                <a:sysClr val="windowText" lastClr="000000"/>
              </a:solidFill>
              <a:latin typeface="Klavika Light" panose="02000506040000020004" pitchFamily="50" charset="0"/>
              <a:cs typeface="Poppins" panose="00000500000000000000" pitchFamily="2" charset="0"/>
            </a:rPr>
            <a:t> S</a:t>
          </a:r>
          <a:r>
            <a:rPr lang="pt-BR" sz="900" b="0" i="0">
              <a:solidFill>
                <a:sysClr val="windowText" lastClr="000000"/>
              </a:solidFill>
              <a:latin typeface="Klavika Light" panose="02000506040000020004" pitchFamily="50" charset="0"/>
              <a:cs typeface="Poppins" panose="00000500000000000000" pitchFamily="2" charset="0"/>
            </a:rPr>
            <a:t>heet</a:t>
          </a:r>
          <a:r>
            <a:rPr lang="pt-BR" sz="900" b="0" i="0" baseline="0">
              <a:solidFill>
                <a:sysClr val="windowText" lastClr="000000"/>
              </a:solidFill>
              <a:latin typeface="Klavika Light" panose="02000506040000020004" pitchFamily="50" charset="0"/>
              <a:cs typeface="Poppins" panose="00000500000000000000" pitchFamily="2" charset="0"/>
            </a:rPr>
            <a: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8</xdr:row>
      <xdr:rowOff>149786</xdr:rowOff>
    </xdr:from>
    <xdr:to>
      <xdr:col>7</xdr:col>
      <xdr:colOff>352425</xdr:colOff>
      <xdr:row>10</xdr:row>
      <xdr:rowOff>182873</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C1852B9B-6AD1-4C97-BADC-276767C98240}"/>
            </a:ext>
          </a:extLst>
        </xdr:cNvPr>
        <xdr:cNvSpPr/>
      </xdr:nvSpPr>
      <xdr:spPr>
        <a:xfrm>
          <a:off x="3255977" y="1612826"/>
          <a:ext cx="1470328" cy="39884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Balanço - </a:t>
          </a:r>
          <a:r>
            <a:rPr lang="pt-BR" sz="900" b="0" i="0">
              <a:solidFill>
                <a:sysClr val="windowText" lastClr="000000"/>
              </a:solidFill>
              <a:latin typeface="Klavika Light" panose="02000506040000020004" pitchFamily="50" charset="0"/>
              <a:cs typeface="Poppins" panose="00000500000000000000" pitchFamily="2" charset="0"/>
            </a:rPr>
            <a:t>Proforma</a:t>
          </a:r>
        </a:p>
        <a:p>
          <a:pPr algn="ctr"/>
          <a:r>
            <a:rPr lang="pt-BR" sz="900" b="0" i="0">
              <a:solidFill>
                <a:sysClr val="windowText" lastClr="000000"/>
              </a:solidFill>
              <a:latin typeface="Klavika Light" panose="02000506040000020004" pitchFamily="50" charset="0"/>
              <a:cs typeface="Poppins" panose="00000500000000000000" pitchFamily="2" charset="0"/>
            </a:rPr>
            <a:t>Balance Sheet - Proforma</a:t>
          </a:r>
        </a:p>
      </xdr:txBody>
    </xdr:sp>
    <xdr:clientData/>
  </xdr:twoCellAnchor>
  <xdr:twoCellAnchor>
    <xdr:from>
      <xdr:col>5</xdr:col>
      <xdr:colOff>131777</xdr:colOff>
      <xdr:row>12</xdr:row>
      <xdr:rowOff>84943</xdr:rowOff>
    </xdr:from>
    <xdr:to>
      <xdr:col>7</xdr:col>
      <xdr:colOff>352425</xdr:colOff>
      <xdr:row>14</xdr:row>
      <xdr:rowOff>118030</xdr:rowOff>
    </xdr:to>
    <xdr:sp macro="" textlink="">
      <xdr:nvSpPr>
        <xdr:cNvPr id="10" name="Retângulo: Cantos Arredondados 9">
          <a:hlinkClick xmlns:r="http://schemas.openxmlformats.org/officeDocument/2006/relationships" r:id="rId8"/>
          <a:extLst>
            <a:ext uri="{FF2B5EF4-FFF2-40B4-BE49-F238E27FC236}">
              <a16:creationId xmlns:a16="http://schemas.microsoft.com/office/drawing/2014/main" id="{F22FE82B-1E56-41BC-ADB9-23009F77C3C0}"/>
            </a:ext>
          </a:extLst>
        </xdr:cNvPr>
        <xdr:cNvSpPr/>
      </xdr:nvSpPr>
      <xdr:spPr>
        <a:xfrm>
          <a:off x="3255977" y="2279503"/>
          <a:ext cx="1470328" cy="39884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Portfólio</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15</xdr:row>
      <xdr:rowOff>183387</xdr:rowOff>
    </xdr:from>
    <xdr:to>
      <xdr:col>3</xdr:col>
      <xdr:colOff>455004</xdr:colOff>
      <xdr:row>18</xdr:row>
      <xdr:rowOff>27349</xdr:rowOff>
    </xdr:to>
    <xdr:sp macro="" textlink="">
      <xdr:nvSpPr>
        <xdr:cNvPr id="11" name="Retângulo: Cantos Arredondados 10">
          <a:hlinkClick xmlns:r="http://schemas.openxmlformats.org/officeDocument/2006/relationships" r:id="rId9"/>
          <a:extLst>
            <a:ext uri="{FF2B5EF4-FFF2-40B4-BE49-F238E27FC236}">
              <a16:creationId xmlns:a16="http://schemas.microsoft.com/office/drawing/2014/main" id="{D7636415-92BF-4246-8794-711705B91706}"/>
            </a:ext>
          </a:extLst>
        </xdr:cNvPr>
        <xdr:cNvSpPr/>
      </xdr:nvSpPr>
      <xdr:spPr>
        <a:xfrm>
          <a:off x="859196" y="2926587"/>
          <a:ext cx="1470328" cy="39260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Consolidação IFRS</a:t>
          </a:r>
        </a:p>
        <a:p>
          <a:pPr algn="ctr"/>
          <a:r>
            <a:rPr lang="pt-BR" sz="900" b="0" i="0">
              <a:solidFill>
                <a:sysClr val="windowText" lastClr="000000"/>
              </a:solidFill>
              <a:latin typeface="Klavika Light" panose="02000506040000020004" pitchFamily="50" charset="0"/>
              <a:cs typeface="Poppins" panose="00000500000000000000" pitchFamily="2" charset="0"/>
            </a:rPr>
            <a:t>IFRS</a:t>
          </a:r>
          <a:r>
            <a:rPr lang="pt-BR" sz="900" b="0" i="0" baseline="0">
              <a:solidFill>
                <a:sysClr val="windowText" lastClr="000000"/>
              </a:solidFill>
              <a:latin typeface="Klavika Light" panose="02000506040000020004" pitchFamily="50" charset="0"/>
              <a:cs typeface="Poppins" panose="00000500000000000000" pitchFamily="2" charset="0"/>
            </a:rPr>
            <a:t> Consolidation</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16</xdr:row>
      <xdr:rowOff>20101</xdr:rowOff>
    </xdr:from>
    <xdr:to>
      <xdr:col>7</xdr:col>
      <xdr:colOff>352425</xdr:colOff>
      <xdr:row>18</xdr:row>
      <xdr:rowOff>54563</xdr:rowOff>
    </xdr:to>
    <xdr:sp macro="" textlink="">
      <xdr:nvSpPr>
        <xdr:cNvPr id="12" name="Retângulo: Cantos Arredondados 11">
          <a:hlinkClick xmlns:r="http://schemas.openxmlformats.org/officeDocument/2006/relationships" r:id="rId10"/>
          <a:extLst>
            <a:ext uri="{FF2B5EF4-FFF2-40B4-BE49-F238E27FC236}">
              <a16:creationId xmlns:a16="http://schemas.microsoft.com/office/drawing/2014/main" id="{5A3A8D13-08DB-4A99-8ECC-124AA7066135}"/>
            </a:ext>
          </a:extLst>
        </xdr:cNvPr>
        <xdr:cNvSpPr/>
      </xdr:nvSpPr>
      <xdr:spPr>
        <a:xfrm>
          <a:off x="3255977" y="2946181"/>
          <a:ext cx="1470328" cy="40022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Vacância</a:t>
          </a:r>
        </a:p>
        <a:p>
          <a:pPr algn="ctr"/>
          <a:r>
            <a:rPr lang="pt-BR" sz="900" b="0" i="0">
              <a:solidFill>
                <a:sysClr val="windowText" lastClr="000000"/>
              </a:solidFill>
              <a:latin typeface="Klavika Light" panose="02000506040000020004" pitchFamily="50" charset="0"/>
              <a:cs typeface="Poppins" panose="00000500000000000000" pitchFamily="2" charset="0"/>
            </a:rPr>
            <a:t>Vacancy</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0</xdr:row>
          <xdr:rowOff>7620</xdr:rowOff>
        </xdr:from>
        <xdr:to>
          <xdr:col>6</xdr:col>
          <xdr:colOff>350520</xdr:colOff>
          <xdr:row>1</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1F227AE-9253-4362-BB43-0A7B94133E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Português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xdr:row>
          <xdr:rowOff>53340</xdr:rowOff>
        </xdr:from>
        <xdr:to>
          <xdr:col>6</xdr:col>
          <xdr:colOff>327660</xdr:colOff>
          <xdr:row>2</xdr:row>
          <xdr:rowOff>83820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656159F5-ADD7-481C-83AF-99DFF0801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1759131</xdr:colOff>
      <xdr:row>0</xdr:row>
      <xdr:rowOff>0</xdr:rowOff>
    </xdr:from>
    <xdr:to>
      <xdr:col>1</xdr:col>
      <xdr:colOff>1206905</xdr:colOff>
      <xdr:row>2</xdr:row>
      <xdr:rowOff>49113</xdr:rowOff>
    </xdr:to>
    <xdr:pic>
      <xdr:nvPicPr>
        <xdr:cNvPr id="2" name="Imagem 1">
          <a:extLst>
            <a:ext uri="{FF2B5EF4-FFF2-40B4-BE49-F238E27FC236}">
              <a16:creationId xmlns:a16="http://schemas.microsoft.com/office/drawing/2014/main" id="{1427C442-8D49-45DE-B86F-EE84945A2E9F}"/>
            </a:ext>
          </a:extLst>
        </xdr:cNvPr>
        <xdr:cNvPicPr>
          <a:picLocks noChangeAspect="1"/>
        </xdr:cNvPicPr>
      </xdr:nvPicPr>
      <xdr:blipFill rotWithShape="1">
        <a:blip xmlns:r="http://schemas.openxmlformats.org/officeDocument/2006/relationships" r:embed="rId1"/>
        <a:srcRect l="31885" b="25142"/>
        <a:stretch/>
      </xdr:blipFill>
      <xdr:spPr>
        <a:xfrm>
          <a:off x="0" y="0"/>
          <a:ext cx="1206905" cy="414873"/>
        </a:xfrm>
        <a:prstGeom prst="rect">
          <a:avLst/>
        </a:prstGeom>
      </xdr:spPr>
    </xdr:pic>
    <xdr:clientData/>
  </xdr:twoCellAnchor>
  <xdr:twoCellAnchor>
    <xdr:from>
      <xdr:col>1</xdr:col>
      <xdr:colOff>2398059</xdr:colOff>
      <xdr:row>0</xdr:row>
      <xdr:rowOff>89647</xdr:rowOff>
    </xdr:from>
    <xdr:to>
      <xdr:col>1</xdr:col>
      <xdr:colOff>3837907</xdr:colOff>
      <xdr:row>2</xdr:row>
      <xdr:rowOff>124110</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8A92BD84-1C70-45DF-9426-1A30FE776B55}"/>
            </a:ext>
          </a:extLst>
        </xdr:cNvPr>
        <xdr:cNvSpPr/>
      </xdr:nvSpPr>
      <xdr:spPr>
        <a:xfrm>
          <a:off x="2398059" y="89647"/>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1949824</xdr:colOff>
      <xdr:row>0</xdr:row>
      <xdr:rowOff>112059</xdr:rowOff>
    </xdr:from>
    <xdr:to>
      <xdr:col>1</xdr:col>
      <xdr:colOff>3389672</xdr:colOff>
      <xdr:row>2</xdr:row>
      <xdr:rowOff>146522</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C4E6C841-BB1B-46F8-80B5-4A3518248F08}"/>
            </a:ext>
          </a:extLst>
        </xdr:cNvPr>
        <xdr:cNvSpPr/>
      </xdr:nvSpPr>
      <xdr:spPr>
        <a:xfrm>
          <a:off x="1949824" y="112059"/>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22860</xdr:colOff>
      <xdr:row>0</xdr:row>
      <xdr:rowOff>0</xdr:rowOff>
    </xdr:from>
    <xdr:to>
      <xdr:col>1</xdr:col>
      <xdr:colOff>1228700</xdr:colOff>
      <xdr:row>2</xdr:row>
      <xdr:rowOff>46768</xdr:rowOff>
    </xdr:to>
    <xdr:pic>
      <xdr:nvPicPr>
        <xdr:cNvPr id="3" name="Imagem 2">
          <a:extLst>
            <a:ext uri="{FF2B5EF4-FFF2-40B4-BE49-F238E27FC236}">
              <a16:creationId xmlns:a16="http://schemas.microsoft.com/office/drawing/2014/main" id="{6F1D3FF4-808E-494D-97AE-00ACF08B3C3D}"/>
            </a:ext>
          </a:extLst>
        </xdr:cNvPr>
        <xdr:cNvPicPr>
          <a:picLocks noChangeAspect="1"/>
        </xdr:cNvPicPr>
      </xdr:nvPicPr>
      <xdr:blipFill rotWithShape="1">
        <a:blip xmlns:r="http://schemas.openxmlformats.org/officeDocument/2006/relationships" r:embed="rId2"/>
        <a:srcRect l="31885" b="25142"/>
        <a:stretch/>
      </xdr:blipFill>
      <xdr:spPr>
        <a:xfrm>
          <a:off x="22860" y="0"/>
          <a:ext cx="1205840" cy="41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1725707</xdr:colOff>
      <xdr:row>0</xdr:row>
      <xdr:rowOff>156883</xdr:rowOff>
    </xdr:from>
    <xdr:to>
      <xdr:col>2</xdr:col>
      <xdr:colOff>195996</xdr:colOff>
      <xdr:row>3</xdr:row>
      <xdr:rowOff>846</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6F8586BA-D965-455C-B881-6AB558F707EF}"/>
            </a:ext>
          </a:extLst>
        </xdr:cNvPr>
        <xdr:cNvSpPr/>
      </xdr:nvSpPr>
      <xdr:spPr>
        <a:xfrm>
          <a:off x="1725707" y="156883"/>
          <a:ext cx="1403989" cy="39260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D619C319-EB1A-4190-A2B0-4B60391214A4}"/>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2084294</xdr:colOff>
      <xdr:row>0</xdr:row>
      <xdr:rowOff>89647</xdr:rowOff>
    </xdr:from>
    <xdr:to>
      <xdr:col>1</xdr:col>
      <xdr:colOff>3524142</xdr:colOff>
      <xdr:row>2</xdr:row>
      <xdr:rowOff>124110</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743B3C71-BFB0-4AAC-AA91-77225BE0DD17}"/>
            </a:ext>
          </a:extLst>
        </xdr:cNvPr>
        <xdr:cNvSpPr/>
      </xdr:nvSpPr>
      <xdr:spPr>
        <a:xfrm>
          <a:off x="2084294" y="89647"/>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5160B95B-2926-43A8-B678-24C86E70EF8E}"/>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2129117</xdr:colOff>
      <xdr:row>0</xdr:row>
      <xdr:rowOff>67235</xdr:rowOff>
    </xdr:from>
    <xdr:to>
      <xdr:col>1</xdr:col>
      <xdr:colOff>3568965</xdr:colOff>
      <xdr:row>2</xdr:row>
      <xdr:rowOff>101698</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5E42C60A-B262-4B9E-A1B7-7332023ED91F}"/>
            </a:ext>
          </a:extLst>
        </xdr:cNvPr>
        <xdr:cNvSpPr/>
      </xdr:nvSpPr>
      <xdr:spPr>
        <a:xfrm>
          <a:off x="2129117" y="67235"/>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47403</xdr:rowOff>
    </xdr:to>
    <xdr:pic>
      <xdr:nvPicPr>
        <xdr:cNvPr id="3" name="Imagem 2">
          <a:extLst>
            <a:ext uri="{FF2B5EF4-FFF2-40B4-BE49-F238E27FC236}">
              <a16:creationId xmlns:a16="http://schemas.microsoft.com/office/drawing/2014/main" id="{432DA1F9-15CD-4CBA-BC56-BB100F1D688B}"/>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3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7F347A9F-C202-4126-930A-FEA30BE682C7}"/>
            </a:ext>
          </a:extLst>
        </xdr:cNvPr>
        <xdr:cNvPicPr>
          <a:picLocks noChangeAspect="1"/>
        </xdr:cNvPicPr>
      </xdr:nvPicPr>
      <xdr:blipFill rotWithShape="1">
        <a:blip xmlns:r="http://schemas.openxmlformats.org/officeDocument/2006/relationships" r:embed="rId1"/>
        <a:srcRect l="31885" b="25142"/>
        <a:stretch/>
      </xdr:blipFill>
      <xdr:spPr>
        <a:xfrm>
          <a:off x="0" y="0"/>
          <a:ext cx="1205840" cy="412528"/>
        </a:xfrm>
        <a:prstGeom prst="rect">
          <a:avLst/>
        </a:prstGeom>
      </xdr:spPr>
    </xdr:pic>
    <xdr:clientData/>
  </xdr:twoCellAnchor>
  <xdr:twoCellAnchor>
    <xdr:from>
      <xdr:col>1</xdr:col>
      <xdr:colOff>1363980</xdr:colOff>
      <xdr:row>0</xdr:row>
      <xdr:rowOff>114300</xdr:rowOff>
    </xdr:from>
    <xdr:to>
      <xdr:col>1</xdr:col>
      <xdr:colOff>2803828</xdr:colOff>
      <xdr:row>2</xdr:row>
      <xdr:rowOff>148763</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83B00785-96F6-4BEA-9ACD-7A8128876E6E}"/>
            </a:ext>
          </a:extLst>
        </xdr:cNvPr>
        <xdr:cNvSpPr/>
      </xdr:nvSpPr>
      <xdr:spPr>
        <a:xfrm>
          <a:off x="1363980" y="114300"/>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1792941</xdr:colOff>
      <xdr:row>0</xdr:row>
      <xdr:rowOff>134470</xdr:rowOff>
    </xdr:from>
    <xdr:to>
      <xdr:col>1</xdr:col>
      <xdr:colOff>3232789</xdr:colOff>
      <xdr:row>2</xdr:row>
      <xdr:rowOff>168933</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694A77F3-71E0-4E4E-AC73-120D3C84A0E2}"/>
            </a:ext>
          </a:extLst>
        </xdr:cNvPr>
        <xdr:cNvSpPr/>
      </xdr:nvSpPr>
      <xdr:spPr>
        <a:xfrm>
          <a:off x="1792941" y="134470"/>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E91E6426-4A58-42AF-935C-1494AB647D08}"/>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1972236</xdr:colOff>
      <xdr:row>0</xdr:row>
      <xdr:rowOff>134470</xdr:rowOff>
    </xdr:from>
    <xdr:to>
      <xdr:col>2</xdr:col>
      <xdr:colOff>621819</xdr:colOff>
      <xdr:row>2</xdr:row>
      <xdr:rowOff>168933</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87E4A453-6FAF-46D7-B1A0-BF6139A81000}"/>
            </a:ext>
          </a:extLst>
        </xdr:cNvPr>
        <xdr:cNvSpPr/>
      </xdr:nvSpPr>
      <xdr:spPr>
        <a:xfrm>
          <a:off x="1972236" y="134470"/>
          <a:ext cx="1522323"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0</xdr:colOff>
      <xdr:row>0</xdr:row>
      <xdr:rowOff>0</xdr:rowOff>
    </xdr:from>
    <xdr:to>
      <xdr:col>1</xdr:col>
      <xdr:colOff>1205840</xdr:colOff>
      <xdr:row>2</xdr:row>
      <xdr:rowOff>50578</xdr:rowOff>
    </xdr:to>
    <xdr:pic>
      <xdr:nvPicPr>
        <xdr:cNvPr id="3" name="Imagem 2">
          <a:extLst>
            <a:ext uri="{FF2B5EF4-FFF2-40B4-BE49-F238E27FC236}">
              <a16:creationId xmlns:a16="http://schemas.microsoft.com/office/drawing/2014/main" id="{6CA0D984-6E7A-4B72-8294-C97AA94A18AB}"/>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6338"/>
        </a:xfrm>
        <a:prstGeom prst="rect">
          <a:avLst/>
        </a:prstGeom>
      </xdr:spPr>
    </xdr:pic>
    <xdr:clientData/>
  </xdr:twoCellAnchor>
</xdr:wsDr>
</file>

<file path=xl/theme/theme1.xml><?xml version="1.0" encoding="utf-8"?>
<a:theme xmlns:a="http://schemas.openxmlformats.org/drawingml/2006/main" name="Tema do Office">
  <a:themeElements>
    <a:clrScheme name="ccp">
      <a:dk1>
        <a:srgbClr val="000000"/>
      </a:dk1>
      <a:lt1>
        <a:srgbClr val="FFFFFF"/>
      </a:lt1>
      <a:dk2>
        <a:srgbClr val="279C99"/>
      </a:dk2>
      <a:lt2>
        <a:srgbClr val="25564D"/>
      </a:lt2>
      <a:accent1>
        <a:srgbClr val="6A7F79"/>
      </a:accent1>
      <a:accent2>
        <a:srgbClr val="BCB4A1"/>
      </a:accent2>
      <a:accent3>
        <a:srgbClr val="969696"/>
      </a:accent3>
      <a:accent4>
        <a:srgbClr val="72876E"/>
      </a:accent4>
      <a:accent5>
        <a:srgbClr val="B0D3C1"/>
      </a:accent5>
      <a:accent6>
        <a:srgbClr val="EAEAEA"/>
      </a:accent6>
      <a:hlink>
        <a:srgbClr val="AD8957"/>
      </a:hlink>
      <a:folHlink>
        <a:srgbClr val="C0C0C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70E7-C42C-45A4-8CE0-EDAA44CFAED0}">
  <dimension ref="A1:P21"/>
  <sheetViews>
    <sheetView showGridLines="0" showRowColHeaders="0" tabSelected="1" view="pageBreakPreview" zoomScale="130" zoomScaleNormal="70" zoomScaleSheetLayoutView="130" workbookViewId="0">
      <selection activeCell="D4" sqref="D4"/>
    </sheetView>
  </sheetViews>
  <sheetFormatPr defaultColWidth="0" defaultRowHeight="14.4" customHeight="1" zeroHeight="1" x14ac:dyDescent="0.3"/>
  <cols>
    <col min="1" max="10" width="9.109375" customWidth="1"/>
    <col min="11" max="16384" width="9.109375" hidden="1"/>
  </cols>
  <sheetData>
    <row r="1" spans="16:16" x14ac:dyDescent="0.3">
      <c r="P1">
        <v>1</v>
      </c>
    </row>
    <row r="2" spans="16:16" x14ac:dyDescent="0.3"/>
    <row r="3" spans="16:16" x14ac:dyDescent="0.3"/>
    <row r="4" spans="16:16" x14ac:dyDescent="0.3"/>
    <row r="5" spans="16:16" x14ac:dyDescent="0.3"/>
    <row r="6" spans="16:16" x14ac:dyDescent="0.3"/>
    <row r="7" spans="16:16" x14ac:dyDescent="0.3"/>
    <row r="8" spans="16:16" x14ac:dyDescent="0.3"/>
    <row r="9" spans="16:16" x14ac:dyDescent="0.3"/>
    <row r="10" spans="16:16" x14ac:dyDescent="0.3"/>
    <row r="11" spans="16:16" x14ac:dyDescent="0.3"/>
    <row r="12" spans="16:16" x14ac:dyDescent="0.3"/>
    <row r="13" spans="16:16" x14ac:dyDescent="0.3"/>
    <row r="14" spans="16:16" x14ac:dyDescent="0.3"/>
    <row r="15" spans="16:16" x14ac:dyDescent="0.3"/>
    <row r="16" spans="16:16" x14ac:dyDescent="0.3"/>
    <row r="17" x14ac:dyDescent="0.3"/>
    <row r="18" x14ac:dyDescent="0.3"/>
    <row r="19" x14ac:dyDescent="0.3"/>
    <row r="20" x14ac:dyDescent="0.3"/>
    <row r="21" x14ac:dyDescent="0.3"/>
  </sheetData>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60960</xdr:colOff>
                    <xdr:row>0</xdr:row>
                    <xdr:rowOff>7620</xdr:rowOff>
                  </from>
                  <to>
                    <xdr:col>6</xdr:col>
                    <xdr:colOff>350520</xdr:colOff>
                    <xdr:row>1</xdr:row>
                    <xdr:rowOff>30480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xdr:col>
                    <xdr:colOff>60960</xdr:colOff>
                    <xdr:row>1</xdr:row>
                    <xdr:rowOff>53340</xdr:rowOff>
                  </from>
                  <to>
                    <xdr:col>6</xdr:col>
                    <xdr:colOff>327660</xdr:colOff>
                    <xdr:row>2</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0325-F514-45D3-A5BE-55B6AEC6D2FD}">
  <dimension ref="A1:BQ73"/>
  <sheetViews>
    <sheetView showGridLines="0" showRowColHeaders="0" zoomScaleNormal="100" workbookViewId="0">
      <pane xSplit="26" topLeftCell="BI1" activePane="topRight" state="frozen"/>
      <selection activeCell="D4" sqref="D4"/>
      <selection pane="topRight" activeCell="D4" sqref="D4"/>
    </sheetView>
  </sheetViews>
  <sheetFormatPr defaultRowHeight="14.4" outlineLevelCol="1" x14ac:dyDescent="0.3"/>
  <cols>
    <col min="1" max="1" width="25.6640625" hidden="1" customWidth="1"/>
    <col min="2" max="2" width="61" bestFit="1" customWidth="1"/>
    <col min="3" max="6" width="15.109375" hidden="1" customWidth="1"/>
    <col min="7" max="7" width="15.109375" hidden="1" customWidth="1" outlineLevel="1" collapsed="1"/>
    <col min="8" max="11" width="15.109375" hidden="1" customWidth="1" outlineLevel="1"/>
    <col min="12" max="12" width="15.109375" hidden="1" customWidth="1" outlineLevel="1" collapsed="1"/>
    <col min="13" max="16" width="15.109375" hidden="1" customWidth="1" outlineLevel="1"/>
    <col min="17" max="17" width="15.109375" hidden="1" customWidth="1" outlineLevel="1" collapsed="1"/>
    <col min="18" max="21" width="15.109375" hidden="1" customWidth="1" outlineLevel="1"/>
    <col min="22" max="22" width="15.109375" hidden="1" customWidth="1" outlineLevel="1" collapsed="1"/>
    <col min="23" max="26" width="15.109375" hidden="1" customWidth="1" outlineLevel="1"/>
    <col min="27" max="27" width="15.109375" customWidth="1" collapsed="1"/>
    <col min="28" max="28" width="15.109375" hidden="1" customWidth="1" outlineLevel="1" collapsed="1"/>
    <col min="29" max="30" width="15.109375" hidden="1" customWidth="1" outlineLevel="1"/>
    <col min="31" max="31" width="8"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customWidth="1" collapsed="1"/>
    <col min="48" max="50" width="15.109375" hidden="1" customWidth="1" outlineLevel="1"/>
    <col min="51" max="51" width="15.109375" style="2" hidden="1" customWidth="1" outlineLevel="1"/>
    <col min="52" max="52" width="15.109375" customWidth="1" collapsed="1"/>
    <col min="53" max="53" width="15.109375" style="2" hidden="1" customWidth="1" outlineLevel="1"/>
    <col min="54" max="54" width="17.6640625" style="2" hidden="1" customWidth="1" outlineLevel="1"/>
    <col min="55" max="56" width="15.109375" style="2" hidden="1" customWidth="1" outlineLevel="1"/>
    <col min="57" max="57" width="15.109375" style="2" customWidth="1" collapsed="1"/>
    <col min="58" max="61" width="15.109375" style="2" customWidth="1"/>
    <col min="62" max="62" width="11.5546875" style="2" bestFit="1" customWidth="1"/>
    <col min="63" max="69" width="15.109375" style="2" customWidth="1"/>
  </cols>
  <sheetData>
    <row r="1" spans="1:69" x14ac:dyDescent="0.3">
      <c r="B1" t="s">
        <v>0</v>
      </c>
      <c r="AL1" s="1"/>
      <c r="AM1" s="1"/>
      <c r="AN1" s="1"/>
      <c r="AO1" s="1"/>
      <c r="AQ1" s="1"/>
      <c r="AR1" s="1"/>
      <c r="AS1" s="1"/>
      <c r="AT1" s="1"/>
      <c r="AU1" s="1"/>
      <c r="AV1" s="1"/>
      <c r="AW1" s="1"/>
      <c r="AX1" s="1"/>
      <c r="AY1" s="1"/>
      <c r="BA1" s="1"/>
      <c r="BB1" s="1"/>
      <c r="BC1" s="1"/>
      <c r="BD1" s="1"/>
      <c r="BE1" s="1"/>
      <c r="BF1" s="1"/>
      <c r="BG1" s="1"/>
      <c r="BH1" s="1"/>
      <c r="BI1" s="1"/>
      <c r="BK1" s="1"/>
      <c r="BL1" s="1"/>
      <c r="BM1" s="1"/>
      <c r="BN1" s="1"/>
      <c r="BO1" s="1"/>
      <c r="BP1" s="1"/>
      <c r="BQ1" s="1"/>
    </row>
    <row r="2" spans="1:69" x14ac:dyDescent="0.3">
      <c r="AL2" s="1"/>
      <c r="AM2" s="1"/>
      <c r="AN2" s="1"/>
      <c r="AO2" s="1"/>
      <c r="AQ2" s="1"/>
      <c r="AR2" s="1"/>
      <c r="AS2" s="1"/>
      <c r="AT2" s="1"/>
      <c r="AU2" s="1"/>
      <c r="AV2" s="1"/>
      <c r="AW2" s="1"/>
      <c r="AX2" s="1"/>
      <c r="AY2" s="1"/>
      <c r="BA2" s="1"/>
      <c r="BB2" s="1"/>
      <c r="BC2" s="1"/>
      <c r="BD2" s="1"/>
      <c r="BE2" s="1"/>
      <c r="BF2" s="1"/>
      <c r="BG2" s="1"/>
      <c r="BH2" s="1"/>
      <c r="BI2" s="1"/>
      <c r="BK2" s="1"/>
      <c r="BL2" s="1"/>
      <c r="BM2" s="1"/>
      <c r="BN2" s="1"/>
      <c r="BO2" s="1"/>
      <c r="BP2" s="1"/>
      <c r="BQ2" s="1"/>
    </row>
    <row r="3" spans="1:69" s="3" customFormat="1" x14ac:dyDescent="0.3">
      <c r="AL3" s="4"/>
      <c r="AM3" s="4"/>
      <c r="AN3" s="4"/>
      <c r="AO3" s="4"/>
      <c r="AQ3" s="4"/>
      <c r="AR3" s="4"/>
      <c r="AS3" s="4"/>
      <c r="AT3" s="4"/>
      <c r="AU3" s="4"/>
      <c r="AV3" s="4"/>
      <c r="AW3" s="4"/>
      <c r="AX3" s="4"/>
      <c r="AY3" s="4"/>
      <c r="BA3" s="4"/>
      <c r="BB3" s="4"/>
      <c r="BC3" s="4"/>
      <c r="BD3" s="4"/>
      <c r="BE3" s="4"/>
      <c r="BF3" s="4"/>
      <c r="BG3" s="4"/>
      <c r="BH3" s="4"/>
      <c r="BI3" s="4"/>
      <c r="BJ3" s="4"/>
      <c r="BK3" s="4"/>
      <c r="BL3" s="4"/>
      <c r="BM3" s="4"/>
      <c r="BN3" s="4"/>
      <c r="BO3" s="4"/>
      <c r="BP3" s="4"/>
      <c r="BQ3" s="4"/>
    </row>
    <row r="4" spans="1:69" ht="3" customHeight="1" x14ac:dyDescent="0.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Q4" s="5"/>
      <c r="AR4" s="5"/>
      <c r="AS4" s="5"/>
      <c r="AT4" s="5"/>
      <c r="AV4" s="5"/>
      <c r="AW4" s="5"/>
      <c r="AX4" s="5"/>
      <c r="AY4" s="6"/>
      <c r="AZ4" s="5"/>
      <c r="BA4" s="6"/>
      <c r="BB4" s="6"/>
      <c r="BC4" s="6"/>
      <c r="BD4" s="6"/>
      <c r="BE4" s="6"/>
      <c r="BF4" s="6"/>
      <c r="BG4" s="6"/>
      <c r="BH4" s="6"/>
      <c r="BI4" s="6"/>
      <c r="BJ4" s="6"/>
      <c r="BK4" s="6"/>
      <c r="BL4" s="6"/>
      <c r="BM4" s="6"/>
      <c r="BN4" s="6"/>
      <c r="BO4" s="6"/>
      <c r="BP4" s="6"/>
      <c r="BQ4" s="6"/>
    </row>
    <row r="5" spans="1:69" s="7" customFormat="1" ht="18.75" customHeight="1" x14ac:dyDescent="0.3">
      <c r="B5" s="8" t="str">
        <f>IF('Sumário | Summary'!P1=1,"Demonstração de Resultados - IFRS (R$ MM)","Income Statement - IFRS (R$ million)")</f>
        <v>Demonstração de Resultados - IFRS (R$ MM)</v>
      </c>
      <c r="C5" s="9" t="s">
        <v>1</v>
      </c>
      <c r="D5" s="9" t="s">
        <v>2</v>
      </c>
      <c r="E5" s="9" t="s">
        <v>3</v>
      </c>
      <c r="F5" s="9" t="s">
        <v>4</v>
      </c>
      <c r="G5" s="9">
        <v>2012</v>
      </c>
      <c r="H5" s="9" t="s">
        <v>5</v>
      </c>
      <c r="I5" s="9" t="s">
        <v>6</v>
      </c>
      <c r="J5" s="9" t="s">
        <v>7</v>
      </c>
      <c r="K5" s="9" t="s">
        <v>8</v>
      </c>
      <c r="L5" s="9">
        <v>2013</v>
      </c>
      <c r="M5" s="9" t="s">
        <v>9</v>
      </c>
      <c r="N5" s="9" t="s">
        <v>10</v>
      </c>
      <c r="O5" s="9" t="s">
        <v>11</v>
      </c>
      <c r="P5" s="9" t="s">
        <v>12</v>
      </c>
      <c r="Q5" s="9">
        <v>2014</v>
      </c>
      <c r="R5" s="9" t="s">
        <v>13</v>
      </c>
      <c r="S5" s="9" t="s">
        <v>14</v>
      </c>
      <c r="T5" s="9" t="s">
        <v>15</v>
      </c>
      <c r="U5" s="9" t="s">
        <v>16</v>
      </c>
      <c r="V5" s="9">
        <v>2015</v>
      </c>
      <c r="W5" s="9" t="s">
        <v>17</v>
      </c>
      <c r="X5" s="9" t="s">
        <v>18</v>
      </c>
      <c r="Y5" s="9" t="s">
        <v>19</v>
      </c>
      <c r="Z5" s="9" t="s">
        <v>20</v>
      </c>
      <c r="AA5" s="9">
        <v>2016</v>
      </c>
      <c r="AB5" s="9" t="s">
        <v>21</v>
      </c>
      <c r="AC5" s="9" t="s">
        <v>22</v>
      </c>
      <c r="AD5" s="9" t="s">
        <v>23</v>
      </c>
      <c r="AE5" s="9" t="s">
        <v>24</v>
      </c>
      <c r="AF5" s="9">
        <v>2017</v>
      </c>
      <c r="AG5" s="9" t="s">
        <v>25</v>
      </c>
      <c r="AH5" s="9" t="s">
        <v>26</v>
      </c>
      <c r="AI5" s="9" t="s">
        <v>27</v>
      </c>
      <c r="AJ5" s="9" t="s">
        <v>28</v>
      </c>
      <c r="AK5" s="9">
        <v>2018</v>
      </c>
      <c r="AL5" s="9" t="s">
        <v>29</v>
      </c>
      <c r="AM5" s="9" t="s">
        <v>30</v>
      </c>
      <c r="AN5" s="9" t="s">
        <v>31</v>
      </c>
      <c r="AO5" s="9" t="s">
        <v>32</v>
      </c>
      <c r="AP5" s="9">
        <v>2019</v>
      </c>
      <c r="AQ5" s="9" t="s">
        <v>33</v>
      </c>
      <c r="AR5" s="9" t="s">
        <v>34</v>
      </c>
      <c r="AS5" s="9" t="s">
        <v>35</v>
      </c>
      <c r="AT5" s="9" t="s">
        <v>36</v>
      </c>
      <c r="AU5" s="10" t="s">
        <v>37</v>
      </c>
      <c r="AV5" s="9" t="s">
        <v>38</v>
      </c>
      <c r="AW5" s="9" t="s">
        <v>39</v>
      </c>
      <c r="AX5" s="9" t="s">
        <v>40</v>
      </c>
      <c r="AY5" s="11" t="s">
        <v>41</v>
      </c>
      <c r="AZ5" s="9">
        <v>2021</v>
      </c>
      <c r="BA5" s="11" t="s">
        <v>42</v>
      </c>
      <c r="BB5" s="11" t="s">
        <v>43</v>
      </c>
      <c r="BC5" s="11" t="s">
        <v>44</v>
      </c>
      <c r="BD5" s="11" t="s">
        <v>45</v>
      </c>
      <c r="BE5" s="10" t="s">
        <v>46</v>
      </c>
      <c r="BF5" s="10" t="s">
        <v>47</v>
      </c>
      <c r="BG5" s="10" t="s">
        <v>48</v>
      </c>
      <c r="BH5" s="10" t="s">
        <v>49</v>
      </c>
      <c r="BI5" s="10" t="s">
        <v>50</v>
      </c>
      <c r="BJ5" s="10" t="s">
        <v>51</v>
      </c>
      <c r="BK5" s="10" t="s">
        <v>52</v>
      </c>
      <c r="BL5" s="10" t="s">
        <v>53</v>
      </c>
      <c r="BM5" s="10" t="s">
        <v>54</v>
      </c>
      <c r="BN5" s="10" t="s">
        <v>55</v>
      </c>
      <c r="BO5" s="10">
        <v>2024</v>
      </c>
      <c r="BP5" s="10" t="s">
        <v>56</v>
      </c>
      <c r="BQ5" s="10" t="s">
        <v>57</v>
      </c>
    </row>
    <row r="6" spans="1:69" s="16" customFormat="1" ht="15" customHeight="1" x14ac:dyDescent="0.3">
      <c r="A6" s="12" t="s">
        <v>58</v>
      </c>
      <c r="B6" s="13" t="str">
        <f>IF('Sumário | Summary'!P1=1,"Receita Bruta ","Gross Revenues")</f>
        <v xml:space="preserve">Receita Bruta </v>
      </c>
      <c r="C6" s="14">
        <v>51.412999999999997</v>
      </c>
      <c r="D6" s="14">
        <v>95.260668163717298</v>
      </c>
      <c r="E6" s="14">
        <v>61.805000000000007</v>
      </c>
      <c r="F6" s="14">
        <v>176.71537758555311</v>
      </c>
      <c r="G6" s="14">
        <v>385.1940457492704</v>
      </c>
      <c r="H6" s="14">
        <v>72.182000000000002</v>
      </c>
      <c r="I6" s="14">
        <v>92.830000000000013</v>
      </c>
      <c r="J6" s="14">
        <v>86.338000000000008</v>
      </c>
      <c r="K6" s="14">
        <v>83.233590599999999</v>
      </c>
      <c r="L6" s="14">
        <v>334.58359059999998</v>
      </c>
      <c r="M6" s="14">
        <v>97.687000000000012</v>
      </c>
      <c r="N6" s="14">
        <v>86.736000000000004</v>
      </c>
      <c r="O6" s="14">
        <v>120.82400000000001</v>
      </c>
      <c r="P6" s="14">
        <v>95.582999999999998</v>
      </c>
      <c r="Q6" s="14">
        <v>400.83</v>
      </c>
      <c r="R6" s="14">
        <v>87.722999999999999</v>
      </c>
      <c r="S6" s="14">
        <v>95.331999999999994</v>
      </c>
      <c r="T6" s="14">
        <v>114.43</v>
      </c>
      <c r="U6" s="14">
        <v>111.01270880300001</v>
      </c>
      <c r="V6" s="14">
        <v>408.49770880299997</v>
      </c>
      <c r="W6" s="14">
        <v>99.500907622903796</v>
      </c>
      <c r="X6" s="15">
        <v>96.757999999999981</v>
      </c>
      <c r="Y6" s="15">
        <v>131.274</v>
      </c>
      <c r="Z6" s="15">
        <v>121.82299999999999</v>
      </c>
      <c r="AA6" s="14">
        <v>449.35590762290383</v>
      </c>
      <c r="AB6" s="14">
        <v>103.931</v>
      </c>
      <c r="AC6" s="14">
        <v>114.249</v>
      </c>
      <c r="AD6" s="14">
        <v>138.06</v>
      </c>
      <c r="AE6" s="14">
        <v>118.57066837000002</v>
      </c>
      <c r="AF6" s="14">
        <v>474.81146158220872</v>
      </c>
      <c r="AG6" s="14">
        <v>110.6821831</v>
      </c>
      <c r="AH6" s="14">
        <v>174.34744369999999</v>
      </c>
      <c r="AI6" s="14">
        <v>118.29493011000002</v>
      </c>
      <c r="AJ6" s="14">
        <v>121.24484946000001</v>
      </c>
      <c r="AK6" s="14">
        <v>524.56940637000002</v>
      </c>
      <c r="AL6" s="14">
        <v>117.68633080000001</v>
      </c>
      <c r="AM6" s="14">
        <v>122.07761378000001</v>
      </c>
      <c r="AN6" s="14">
        <v>123.39279361999999</v>
      </c>
      <c r="AO6" s="14">
        <v>136.61400153</v>
      </c>
      <c r="AP6" s="14">
        <v>499.77073973</v>
      </c>
      <c r="AQ6" s="14">
        <v>136.57448825</v>
      </c>
      <c r="AR6" s="14">
        <v>102.82825524157074</v>
      </c>
      <c r="AS6" s="14">
        <v>152.62140886842926</v>
      </c>
      <c r="AT6" s="14">
        <v>137.19940855668673</v>
      </c>
      <c r="AU6" s="14">
        <v>529.22356091668678</v>
      </c>
      <c r="AV6" s="14">
        <v>131.89957053000001</v>
      </c>
      <c r="AW6" s="14">
        <v>132.16204399</v>
      </c>
      <c r="AX6" s="14">
        <v>140.05603486999996</v>
      </c>
      <c r="AY6" s="14">
        <v>2037.2580342724366</v>
      </c>
      <c r="AZ6" s="14">
        <v>2441.3756836624366</v>
      </c>
      <c r="BA6" s="14">
        <v>176.382619934448</v>
      </c>
      <c r="BB6" s="14">
        <v>128.15373717114201</v>
      </c>
      <c r="BC6" s="14">
        <v>128.46111733990995</v>
      </c>
      <c r="BD6" s="14">
        <v>142.79957443843904</v>
      </c>
      <c r="BE6" s="14">
        <v>575.79704888393906</v>
      </c>
      <c r="BF6" s="14">
        <v>118.78759779005199</v>
      </c>
      <c r="BG6" s="14">
        <v>119.25834112362799</v>
      </c>
      <c r="BH6" s="14">
        <v>120.69867275588</v>
      </c>
      <c r="BI6" s="14">
        <v>129.97936749409902</v>
      </c>
      <c r="BJ6" s="15">
        <v>488.72397916365895</v>
      </c>
      <c r="BK6" s="14">
        <v>123.03208470002801</v>
      </c>
      <c r="BL6" s="14">
        <v>1132.5772003320121</v>
      </c>
      <c r="BM6" s="14">
        <v>95.00051311635994</v>
      </c>
      <c r="BN6" s="14">
        <v>84.238385222507873</v>
      </c>
      <c r="BO6" s="14">
        <v>1434.8481833709079</v>
      </c>
      <c r="BP6" s="14">
        <v>91.218237244408002</v>
      </c>
      <c r="BQ6" s="14">
        <v>79.314583290422021</v>
      </c>
    </row>
    <row r="7" spans="1:69" s="16" customFormat="1" ht="15" customHeight="1" x14ac:dyDescent="0.3">
      <c r="A7" t="s">
        <v>59</v>
      </c>
      <c r="B7" s="17" t="str">
        <f>IF('Sumário | Summary'!P1=1,"Locação de Edifícios Corporativos","Leases from Corporate Buildings")</f>
        <v>Locação de Edifícios Corporativos</v>
      </c>
      <c r="C7" s="18">
        <v>26.382999999999999</v>
      </c>
      <c r="D7" s="18">
        <v>27.302426239999999</v>
      </c>
      <c r="E7" s="18">
        <v>27.082000000000001</v>
      </c>
      <c r="F7" s="18">
        <v>30.759164299999998</v>
      </c>
      <c r="G7" s="18">
        <v>111.52659053999999</v>
      </c>
      <c r="H7" s="18">
        <v>30.245000000000001</v>
      </c>
      <c r="I7" s="18">
        <v>29.6</v>
      </c>
      <c r="J7" s="18">
        <v>29.902000000000001</v>
      </c>
      <c r="K7" s="18">
        <v>30.084236959999998</v>
      </c>
      <c r="L7" s="18">
        <v>119.83123696</v>
      </c>
      <c r="M7" s="18">
        <v>29.946999999999999</v>
      </c>
      <c r="N7" s="18">
        <v>29.888000000000002</v>
      </c>
      <c r="O7" s="18">
        <v>31.995000000000001</v>
      </c>
      <c r="P7" s="18">
        <v>31.196999999999999</v>
      </c>
      <c r="Q7" s="18">
        <v>123.027</v>
      </c>
      <c r="R7" s="18">
        <v>29.53</v>
      </c>
      <c r="S7" s="18">
        <v>29.846</v>
      </c>
      <c r="T7" s="18">
        <v>29.2</v>
      </c>
      <c r="U7" s="18">
        <v>29.883326649999987</v>
      </c>
      <c r="V7" s="18">
        <v>118.45932664999999</v>
      </c>
      <c r="W7" s="18">
        <v>29.55230955</v>
      </c>
      <c r="X7" s="18">
        <v>26.704999999999998</v>
      </c>
      <c r="Y7" s="19">
        <v>27.02</v>
      </c>
      <c r="Z7" s="18">
        <v>26.108000000000001</v>
      </c>
      <c r="AA7" s="18">
        <v>109.38530955</v>
      </c>
      <c r="AB7" s="18">
        <v>30.535</v>
      </c>
      <c r="AC7" s="18">
        <v>35.770000000000003</v>
      </c>
      <c r="AD7" s="18">
        <v>34.381999999999998</v>
      </c>
      <c r="AE7" s="18">
        <v>34.353082330000007</v>
      </c>
      <c r="AF7" s="18">
        <v>135.04063847292528</v>
      </c>
      <c r="AG7" s="18">
        <v>32.633711990000002</v>
      </c>
      <c r="AH7" s="18">
        <v>34.556175169999996</v>
      </c>
      <c r="AI7" s="18">
        <v>35.079223250000005</v>
      </c>
      <c r="AJ7" s="18">
        <v>34.538882860000001</v>
      </c>
      <c r="AK7" s="18">
        <v>136.80799326999997</v>
      </c>
      <c r="AL7" s="19">
        <v>35.618955540000002</v>
      </c>
      <c r="AM7" s="19">
        <v>35.509907179999992</v>
      </c>
      <c r="AN7" s="19">
        <v>36.923699749999997</v>
      </c>
      <c r="AO7" s="19">
        <v>36.880619779999996</v>
      </c>
      <c r="AP7" s="19">
        <v>144.93318225000002</v>
      </c>
      <c r="AQ7" s="19">
        <v>50.516973110000002</v>
      </c>
      <c r="AR7" s="19">
        <v>52.087722199999995</v>
      </c>
      <c r="AS7" s="19">
        <v>55.036615670000003</v>
      </c>
      <c r="AT7" s="19">
        <v>53.564904319999997</v>
      </c>
      <c r="AU7" s="19">
        <v>211.2062153</v>
      </c>
      <c r="AV7" s="19">
        <v>62.685896440000015</v>
      </c>
      <c r="AW7" s="19">
        <v>55.920591590000008</v>
      </c>
      <c r="AX7" s="19">
        <v>57.158231209999997</v>
      </c>
      <c r="AY7" s="19">
        <v>25.7843824115904</v>
      </c>
      <c r="AZ7" s="19">
        <v>201.54910165159041</v>
      </c>
      <c r="BA7" s="19">
        <v>23.863594190000001</v>
      </c>
      <c r="BB7" s="19">
        <v>24.258934119999999</v>
      </c>
      <c r="BC7" s="19">
        <v>22.849560320000005</v>
      </c>
      <c r="BD7" s="19">
        <v>25.415611590000001</v>
      </c>
      <c r="BE7" s="19">
        <v>96.387700219999999</v>
      </c>
      <c r="BF7" s="19">
        <v>23.63304144</v>
      </c>
      <c r="BG7" s="19">
        <v>24.52196691999999</v>
      </c>
      <c r="BH7" s="19">
        <v>25.144985500000011</v>
      </c>
      <c r="BI7" s="19">
        <v>25.128186539999994</v>
      </c>
      <c r="BJ7" s="19">
        <v>98.428180400000002</v>
      </c>
      <c r="BK7" s="19">
        <v>25.532983339999998</v>
      </c>
      <c r="BL7" s="19">
        <v>24.359518120000001</v>
      </c>
      <c r="BM7" s="19">
        <v>25.700778870000008</v>
      </c>
      <c r="BN7" s="19">
        <v>26.137489049999989</v>
      </c>
      <c r="BO7" s="19">
        <v>101.73076937999998</v>
      </c>
      <c r="BP7" s="19">
        <v>26.874882019999998</v>
      </c>
      <c r="BQ7" s="19">
        <v>32.282644179999991</v>
      </c>
    </row>
    <row r="8" spans="1:69" s="16" customFormat="1" ht="15" customHeight="1" x14ac:dyDescent="0.3">
      <c r="A8" t="s">
        <v>60</v>
      </c>
      <c r="B8" s="17" t="str">
        <f>IF('Sumário | Summary'!P1=1,"Shopping Centers","Leases from Shopping Centers")</f>
        <v>Shopping Centers</v>
      </c>
      <c r="C8" s="18">
        <v>10.435</v>
      </c>
      <c r="D8" s="18">
        <v>10.702166399999999</v>
      </c>
      <c r="E8" s="18">
        <v>10.6</v>
      </c>
      <c r="F8" s="18">
        <v>17.498571519999999</v>
      </c>
      <c r="G8" s="18">
        <v>49.235737919999998</v>
      </c>
      <c r="H8" s="18">
        <v>15.218999999999999</v>
      </c>
      <c r="I8" s="18">
        <v>15.419</v>
      </c>
      <c r="J8" s="18">
        <v>15.569000000000001</v>
      </c>
      <c r="K8" s="18">
        <v>19.220350639999999</v>
      </c>
      <c r="L8" s="18">
        <v>65.42735064</v>
      </c>
      <c r="M8" s="18">
        <v>28.587</v>
      </c>
      <c r="N8" s="18">
        <v>28.565000000000001</v>
      </c>
      <c r="O8" s="18">
        <v>29.74</v>
      </c>
      <c r="P8" s="18">
        <v>38.593000000000004</v>
      </c>
      <c r="Q8" s="18">
        <v>125.485</v>
      </c>
      <c r="R8" s="18">
        <v>31.17</v>
      </c>
      <c r="S8" s="18">
        <v>40.884999999999998</v>
      </c>
      <c r="T8" s="18">
        <v>43.5</v>
      </c>
      <c r="U8" s="18">
        <v>53.060700970000028</v>
      </c>
      <c r="V8" s="18">
        <v>168.61570097000003</v>
      </c>
      <c r="W8" s="18">
        <v>45.858123522903803</v>
      </c>
      <c r="X8" s="18">
        <v>46.692</v>
      </c>
      <c r="Y8" s="19">
        <v>48.517000000000003</v>
      </c>
      <c r="Z8" s="18">
        <v>41.338000000000001</v>
      </c>
      <c r="AA8" s="18">
        <v>182.40512352290381</v>
      </c>
      <c r="AB8" s="18">
        <v>52.322000000000003</v>
      </c>
      <c r="AC8" s="18">
        <v>56.216999999999999</v>
      </c>
      <c r="AD8" s="18">
        <v>51.835000000000001</v>
      </c>
      <c r="AE8" s="18">
        <v>58.730586040000027</v>
      </c>
      <c r="AF8" s="18">
        <v>219.10479174928344</v>
      </c>
      <c r="AG8" s="18">
        <v>55.154471109999996</v>
      </c>
      <c r="AH8" s="18">
        <v>54.810268529999995</v>
      </c>
      <c r="AI8" s="18">
        <v>60.166706860000005</v>
      </c>
      <c r="AJ8" s="18">
        <v>60.758966600000001</v>
      </c>
      <c r="AK8" s="18">
        <v>230.89041310000002</v>
      </c>
      <c r="AL8" s="19">
        <v>57.804375260000008</v>
      </c>
      <c r="AM8" s="19">
        <v>60.858706600000005</v>
      </c>
      <c r="AN8" s="19">
        <v>60.190093869999991</v>
      </c>
      <c r="AO8" s="19">
        <v>62.332381750000003</v>
      </c>
      <c r="AP8" s="19">
        <v>241.18555748</v>
      </c>
      <c r="AQ8" s="19">
        <v>61.143515139999998</v>
      </c>
      <c r="AR8" s="19">
        <v>43.117533041570738</v>
      </c>
      <c r="AS8" s="19">
        <v>46.866793198429264</v>
      </c>
      <c r="AT8" s="19">
        <v>60.236504236686727</v>
      </c>
      <c r="AU8" s="19">
        <v>211.36434561668673</v>
      </c>
      <c r="AV8" s="19">
        <v>53.50367408999999</v>
      </c>
      <c r="AW8" s="19">
        <v>58.534452399999999</v>
      </c>
      <c r="AX8" s="19">
        <v>60.653803659999973</v>
      </c>
      <c r="AY8" s="19">
        <v>77.687804762500022</v>
      </c>
      <c r="AZ8" s="19">
        <v>250.3797349125</v>
      </c>
      <c r="BA8" s="19">
        <v>71.022235190000018</v>
      </c>
      <c r="BB8" s="19">
        <v>73.140213720000006</v>
      </c>
      <c r="BC8" s="19">
        <v>73.866223729999945</v>
      </c>
      <c r="BD8" s="19">
        <v>82.480462169999981</v>
      </c>
      <c r="BE8" s="19">
        <v>300.50913480999998</v>
      </c>
      <c r="BF8" s="19">
        <v>63.972125999999996</v>
      </c>
      <c r="BG8" s="19">
        <v>62.989022099999993</v>
      </c>
      <c r="BH8" s="19">
        <v>62.403244310000012</v>
      </c>
      <c r="BI8" s="19">
        <v>67.262773630000012</v>
      </c>
      <c r="BJ8" s="19">
        <v>256.62716604000002</v>
      </c>
      <c r="BK8" s="19">
        <v>63.540088699999991</v>
      </c>
      <c r="BL8" s="19">
        <v>55.370998499999999</v>
      </c>
      <c r="BM8" s="19">
        <v>41.235827089999994</v>
      </c>
      <c r="BN8" s="19">
        <v>10.379032119504933</v>
      </c>
      <c r="BO8" s="19">
        <v>170.52594640950491</v>
      </c>
      <c r="BP8" s="19">
        <v>26.154523499999996</v>
      </c>
      <c r="BQ8" s="19">
        <v>11.330179191249995</v>
      </c>
    </row>
    <row r="9" spans="1:69" s="16" customFormat="1" ht="15" customHeight="1" x14ac:dyDescent="0.3">
      <c r="A9" t="s">
        <v>61</v>
      </c>
      <c r="B9" s="17" t="str">
        <f>IF('Sumário | Summary'!P1=1,"Locação de Centros de Distribuição","Leases from Distribution Centers")</f>
        <v>Locação de Centros de Distribuição</v>
      </c>
      <c r="C9" s="18">
        <v>2.2149999999999999</v>
      </c>
      <c r="D9" s="18">
        <v>2.3616230200000001</v>
      </c>
      <c r="E9" s="18">
        <v>2.2799999999999998</v>
      </c>
      <c r="F9" s="18">
        <v>2.3496207</v>
      </c>
      <c r="G9" s="18">
        <v>9.2062437199999998</v>
      </c>
      <c r="H9" s="18">
        <v>2.35</v>
      </c>
      <c r="I9" s="18">
        <v>2.3889999999999998</v>
      </c>
      <c r="J9" s="18">
        <v>2.46</v>
      </c>
      <c r="K9" s="18">
        <v>1.9824471400000001</v>
      </c>
      <c r="L9" s="18">
        <v>9.1814471399999995</v>
      </c>
      <c r="M9" s="18">
        <v>2.3210000000000002</v>
      </c>
      <c r="N9" s="18">
        <v>2.6040000000000001</v>
      </c>
      <c r="O9" s="18">
        <v>2.2330000000000001</v>
      </c>
      <c r="P9" s="18">
        <v>2.6930000000000001</v>
      </c>
      <c r="Q9" s="18">
        <v>9.8510000000000009</v>
      </c>
      <c r="R9" s="18">
        <v>2.6739999999999999</v>
      </c>
      <c r="S9" s="18">
        <v>1.6759999999999999</v>
      </c>
      <c r="T9" s="18">
        <v>1.7</v>
      </c>
      <c r="U9" s="18">
        <v>1.7645618100000007</v>
      </c>
      <c r="V9" s="18">
        <v>7.8145618100000007</v>
      </c>
      <c r="W9" s="18">
        <v>2.0792359899999999</v>
      </c>
      <c r="X9" s="18">
        <v>1.4339999999999999</v>
      </c>
      <c r="Y9" s="19">
        <v>0.08</v>
      </c>
      <c r="Z9" s="18">
        <v>0.74099999999999999</v>
      </c>
      <c r="AA9" s="18">
        <v>4.3342359899999998</v>
      </c>
      <c r="AB9" s="18">
        <v>0.755</v>
      </c>
      <c r="AC9" s="18">
        <v>0.78300000000000003</v>
      </c>
      <c r="AD9" s="18">
        <v>-0.80400000000000005</v>
      </c>
      <c r="AE9" s="18">
        <v>0</v>
      </c>
      <c r="AF9" s="18">
        <v>0.73403136000000024</v>
      </c>
      <c r="AG9" s="18">
        <v>0</v>
      </c>
      <c r="AH9" s="18">
        <v>0</v>
      </c>
      <c r="AI9" s="18">
        <v>0</v>
      </c>
      <c r="AJ9" s="18">
        <v>0</v>
      </c>
      <c r="AK9" s="18">
        <v>0</v>
      </c>
      <c r="AL9" s="19">
        <v>0</v>
      </c>
      <c r="AM9" s="19">
        <v>0</v>
      </c>
      <c r="AN9" s="19">
        <v>0</v>
      </c>
      <c r="AO9" s="19">
        <v>0</v>
      </c>
      <c r="AP9" s="19">
        <v>0</v>
      </c>
      <c r="AQ9" s="19">
        <v>0</v>
      </c>
      <c r="AR9" s="19">
        <v>0</v>
      </c>
      <c r="AS9" s="19">
        <v>0</v>
      </c>
      <c r="AT9" s="19">
        <v>0</v>
      </c>
      <c r="AU9" s="19">
        <v>0</v>
      </c>
      <c r="AV9" s="19">
        <v>0</v>
      </c>
      <c r="AW9" s="19">
        <v>0</v>
      </c>
      <c r="AX9" s="19">
        <v>0</v>
      </c>
      <c r="AY9" s="19">
        <v>0</v>
      </c>
      <c r="AZ9" s="19">
        <v>0</v>
      </c>
      <c r="BA9" s="19">
        <v>0</v>
      </c>
      <c r="BB9" s="19">
        <v>0</v>
      </c>
      <c r="BC9" s="19">
        <v>0</v>
      </c>
      <c r="BD9" s="19">
        <v>0</v>
      </c>
      <c r="BE9" s="19">
        <v>0</v>
      </c>
      <c r="BF9" s="19">
        <v>0</v>
      </c>
      <c r="BG9" s="19">
        <v>0</v>
      </c>
      <c r="BH9" s="19">
        <v>0</v>
      </c>
      <c r="BI9" s="19">
        <v>0</v>
      </c>
      <c r="BJ9" s="19">
        <v>0</v>
      </c>
      <c r="BK9" s="19">
        <v>0</v>
      </c>
      <c r="BL9" s="19">
        <v>0</v>
      </c>
      <c r="BM9" s="19">
        <v>0</v>
      </c>
      <c r="BN9" s="19">
        <v>0</v>
      </c>
      <c r="BO9" s="19">
        <v>0</v>
      </c>
      <c r="BP9" s="19">
        <v>0</v>
      </c>
      <c r="BQ9" s="19">
        <v>0</v>
      </c>
    </row>
    <row r="10" spans="1:69" s="16" customFormat="1" ht="15" customHeight="1" x14ac:dyDescent="0.3">
      <c r="A10" t="s">
        <v>62</v>
      </c>
      <c r="B10" s="17" t="str">
        <f>IF('Sumário | Summary'!P1=1,"Locação de outros empreendimentos","Leases of other projects")</f>
        <v>Locação de outros empreendimentos</v>
      </c>
      <c r="C10" s="18">
        <v>2.6080000000000001</v>
      </c>
      <c r="D10" s="18">
        <v>2.6538310093173099</v>
      </c>
      <c r="E10" s="18">
        <v>2.7</v>
      </c>
      <c r="F10" s="18">
        <v>2.8278985055531201</v>
      </c>
      <c r="G10" s="18">
        <v>10.78972951487043</v>
      </c>
      <c r="H10" s="18">
        <v>3.7850000000000001</v>
      </c>
      <c r="I10" s="18">
        <v>3.9849999999999999</v>
      </c>
      <c r="J10" s="18">
        <v>3.927</v>
      </c>
      <c r="K10" s="18">
        <v>3.7645500699999999</v>
      </c>
      <c r="L10" s="18">
        <v>15.461550069999999</v>
      </c>
      <c r="M10" s="18">
        <v>3.9540000000000002</v>
      </c>
      <c r="N10" s="18">
        <v>3.9790000000000001</v>
      </c>
      <c r="O10" s="18">
        <v>4.008</v>
      </c>
      <c r="P10" s="18">
        <v>4.0380000000000003</v>
      </c>
      <c r="Q10" s="18">
        <v>15.978999999999999</v>
      </c>
      <c r="R10" s="18">
        <v>4.1059999999999999</v>
      </c>
      <c r="S10" s="18">
        <v>4.1840000000000002</v>
      </c>
      <c r="T10" s="18">
        <v>4</v>
      </c>
      <c r="U10" s="18">
        <v>3.8624320200000017</v>
      </c>
      <c r="V10" s="18">
        <v>16.152432019999999</v>
      </c>
      <c r="W10" s="18">
        <v>4.3297807800000001</v>
      </c>
      <c r="X10" s="18">
        <v>4.3220000000000001</v>
      </c>
      <c r="Y10" s="19">
        <v>4.2889999999999997</v>
      </c>
      <c r="Z10" s="18">
        <v>4.3220000000000001</v>
      </c>
      <c r="AA10" s="18">
        <v>17.26278078</v>
      </c>
      <c r="AB10" s="18">
        <v>0</v>
      </c>
      <c r="AC10" s="18">
        <v>0</v>
      </c>
      <c r="AD10" s="18">
        <v>0</v>
      </c>
      <c r="AE10" s="18">
        <v>0</v>
      </c>
      <c r="AF10" s="18">
        <v>0</v>
      </c>
      <c r="AG10" s="18">
        <v>0</v>
      </c>
      <c r="AH10" s="18">
        <v>0</v>
      </c>
      <c r="AI10" s="18">
        <v>0</v>
      </c>
      <c r="AJ10" s="18">
        <v>0</v>
      </c>
      <c r="AK10" s="18">
        <v>0</v>
      </c>
      <c r="AL10" s="19">
        <v>0</v>
      </c>
      <c r="AM10" s="19">
        <v>0</v>
      </c>
      <c r="AN10" s="19">
        <v>0</v>
      </c>
      <c r="AO10" s="19">
        <v>0</v>
      </c>
      <c r="AP10" s="19">
        <v>0</v>
      </c>
      <c r="AQ10" s="19">
        <v>0</v>
      </c>
      <c r="AR10" s="19">
        <v>0</v>
      </c>
      <c r="AS10" s="19">
        <v>0</v>
      </c>
      <c r="AT10" s="19">
        <v>0</v>
      </c>
      <c r="AU10" s="19">
        <v>0</v>
      </c>
      <c r="AV10" s="19">
        <v>0</v>
      </c>
      <c r="AW10" s="19">
        <v>0</v>
      </c>
      <c r="AX10" s="19">
        <v>0</v>
      </c>
      <c r="AY10" s="19">
        <v>0</v>
      </c>
      <c r="AZ10" s="19">
        <v>0</v>
      </c>
      <c r="BA10" s="19">
        <v>0</v>
      </c>
      <c r="BB10" s="19">
        <v>0</v>
      </c>
      <c r="BC10" s="19">
        <v>0</v>
      </c>
      <c r="BD10" s="19">
        <v>0</v>
      </c>
      <c r="BE10" s="19">
        <v>0</v>
      </c>
      <c r="BF10" s="19">
        <v>0</v>
      </c>
      <c r="BG10" s="19">
        <v>0</v>
      </c>
      <c r="BH10" s="19">
        <v>0</v>
      </c>
      <c r="BI10" s="19">
        <v>0</v>
      </c>
      <c r="BJ10" s="19">
        <v>0</v>
      </c>
      <c r="BK10" s="19">
        <v>0</v>
      </c>
      <c r="BL10" s="19">
        <v>0</v>
      </c>
      <c r="BM10" s="19">
        <v>0</v>
      </c>
      <c r="BN10" s="19">
        <v>0</v>
      </c>
      <c r="BO10" s="19">
        <v>0</v>
      </c>
      <c r="BP10" s="19">
        <v>0</v>
      </c>
      <c r="BQ10" s="19">
        <v>0</v>
      </c>
    </row>
    <row r="11" spans="1:69" s="16" customFormat="1" ht="15" customHeight="1" x14ac:dyDescent="0.3">
      <c r="A11" s="12" t="s">
        <v>63</v>
      </c>
      <c r="B11" s="20" t="str">
        <f>IF('Sumário | Summary'!P1=1,"Prestação de serviços de Administração","Services Revenues")</f>
        <v>Prestação de serviços de Administração</v>
      </c>
      <c r="C11" s="18">
        <v>4.5250000000000004</v>
      </c>
      <c r="D11" s="18">
        <v>3.4247072994000001</v>
      </c>
      <c r="E11" s="18">
        <v>3.8140000000000001</v>
      </c>
      <c r="F11" s="18">
        <v>4.2584271400000002</v>
      </c>
      <c r="G11" s="18">
        <v>16.022134439399998</v>
      </c>
      <c r="H11" s="18">
        <v>4.7089999999999996</v>
      </c>
      <c r="I11" s="18">
        <v>19.021000000000001</v>
      </c>
      <c r="J11" s="18">
        <v>13.25</v>
      </c>
      <c r="K11" s="18">
        <v>13.157181639999999</v>
      </c>
      <c r="L11" s="18">
        <v>50.137181640000001</v>
      </c>
      <c r="M11" s="18">
        <v>11.412000000000001</v>
      </c>
      <c r="N11" s="18">
        <v>15.69</v>
      </c>
      <c r="O11" s="18">
        <v>15.48</v>
      </c>
      <c r="P11" s="18">
        <v>16.913</v>
      </c>
      <c r="Q11" s="18">
        <v>59.495000000000005</v>
      </c>
      <c r="R11" s="18">
        <v>17.282</v>
      </c>
      <c r="S11" s="18">
        <v>17.11</v>
      </c>
      <c r="T11" s="18">
        <v>18.23</v>
      </c>
      <c r="U11" s="18">
        <v>21.779825692999992</v>
      </c>
      <c r="V11" s="18">
        <v>74.401825692999992</v>
      </c>
      <c r="W11" s="18">
        <v>18.24645778</v>
      </c>
      <c r="X11" s="18">
        <v>18.010999999999999</v>
      </c>
      <c r="Y11" s="18">
        <v>20.215</v>
      </c>
      <c r="Z11" s="18">
        <v>22.329000000000001</v>
      </c>
      <c r="AA11" s="18">
        <v>78.801457779999993</v>
      </c>
      <c r="AB11" s="18">
        <v>20.306999999999999</v>
      </c>
      <c r="AC11" s="18">
        <v>21.405000000000001</v>
      </c>
      <c r="AD11" s="18">
        <v>20.959</v>
      </c>
      <c r="AE11" s="18">
        <v>25.487000000000002</v>
      </c>
      <c r="AF11" s="18">
        <v>88.158000000000001</v>
      </c>
      <c r="AG11" s="18">
        <v>22.893999999999998</v>
      </c>
      <c r="AH11" s="18">
        <v>22.581</v>
      </c>
      <c r="AI11" s="18">
        <v>23.048999999999999</v>
      </c>
      <c r="AJ11" s="18">
        <v>25.946999999999999</v>
      </c>
      <c r="AK11" s="18">
        <v>94.471000000000004</v>
      </c>
      <c r="AL11" s="19">
        <v>24.2634571</v>
      </c>
      <c r="AM11" s="19">
        <v>25.708449660000003</v>
      </c>
      <c r="AN11" s="19">
        <v>26.278680207651998</v>
      </c>
      <c r="AO11" s="19">
        <v>37.401663731394997</v>
      </c>
      <c r="AP11" s="19">
        <v>113.652250699047</v>
      </c>
      <c r="AQ11" s="19">
        <v>24.913685358053005</v>
      </c>
      <c r="AR11" s="19">
        <v>7.6235903819470003</v>
      </c>
      <c r="AS11" s="19">
        <v>14.117867341330003</v>
      </c>
      <c r="AT11" s="19">
        <v>23.398292503408005</v>
      </c>
      <c r="AU11" s="19">
        <v>70.053435584738011</v>
      </c>
      <c r="AV11" s="19">
        <v>15.710153267005001</v>
      </c>
      <c r="AW11" s="19">
        <v>17.706799342275001</v>
      </c>
      <c r="AX11" s="19">
        <v>22.244363728284</v>
      </c>
      <c r="AY11" s="19">
        <v>31.395397948345995</v>
      </c>
      <c r="AZ11" s="19">
        <v>87.056714285910004</v>
      </c>
      <c r="BA11" s="19">
        <v>27.995314644447994</v>
      </c>
      <c r="BB11" s="19">
        <v>30.716807281142003</v>
      </c>
      <c r="BC11" s="19">
        <v>31.745333289910008</v>
      </c>
      <c r="BD11" s="19">
        <v>34.903500678438988</v>
      </c>
      <c r="BE11" s="19">
        <v>125.36095589393898</v>
      </c>
      <c r="BF11" s="19">
        <v>31.182430350051995</v>
      </c>
      <c r="BG11" s="19">
        <v>32.972435073627999</v>
      </c>
      <c r="BH11" s="19">
        <v>33.150442945879988</v>
      </c>
      <c r="BI11" s="19">
        <v>37.588407324098995</v>
      </c>
      <c r="BJ11" s="19">
        <v>134.89371569365898</v>
      </c>
      <c r="BK11" s="19">
        <v>33.959012660028002</v>
      </c>
      <c r="BL11" s="19">
        <v>33.898683712011994</v>
      </c>
      <c r="BM11" s="19">
        <v>34.843414926359998</v>
      </c>
      <c r="BN11" s="19">
        <v>40.160208173003006</v>
      </c>
      <c r="BO11" s="19">
        <v>142.86131947140299</v>
      </c>
      <c r="BP11" s="19">
        <v>34.520352014407997</v>
      </c>
      <c r="BQ11" s="19">
        <v>34.388298539171991</v>
      </c>
    </row>
    <row r="12" spans="1:69" s="16" customFormat="1" ht="15" customHeight="1" x14ac:dyDescent="0.3">
      <c r="A12" s="12" t="s">
        <v>64</v>
      </c>
      <c r="B12" s="17" t="str">
        <f>IF('Sumário | Summary'!P1=1,"Vendas de Propriedades e Incorporação Imobiliária","Revenues from the Sale of Real Estate Properties")</f>
        <v>Vendas de Propriedades e Incorporação Imobiliária</v>
      </c>
      <c r="C12" s="18">
        <v>5.2469999999999999</v>
      </c>
      <c r="D12" s="18">
        <v>48.815914194999998</v>
      </c>
      <c r="E12" s="18">
        <v>15.329000000000001</v>
      </c>
      <c r="F12" s="18">
        <v>119.02169542</v>
      </c>
      <c r="G12" s="18">
        <v>188.41360961499998</v>
      </c>
      <c r="H12" s="18">
        <v>15.874000000000001</v>
      </c>
      <c r="I12" s="18">
        <v>22.416</v>
      </c>
      <c r="J12" s="18">
        <v>21.23</v>
      </c>
      <c r="K12" s="18">
        <v>15.024824150000001</v>
      </c>
      <c r="L12" s="18">
        <v>74.544824149999997</v>
      </c>
      <c r="M12" s="18">
        <v>21.466000000000001</v>
      </c>
      <c r="N12" s="18">
        <v>6.01</v>
      </c>
      <c r="O12" s="18">
        <v>37.368000000000002</v>
      </c>
      <c r="P12" s="18">
        <v>2.149</v>
      </c>
      <c r="Q12" s="18">
        <v>66.992999999999995</v>
      </c>
      <c r="R12" s="18">
        <v>2.9609999999999999</v>
      </c>
      <c r="S12" s="18">
        <v>1.631</v>
      </c>
      <c r="T12" s="18">
        <v>17.8</v>
      </c>
      <c r="U12" s="18">
        <v>0.66186166000000046</v>
      </c>
      <c r="V12" s="18">
        <v>23.053861659999999</v>
      </c>
      <c r="W12" s="18">
        <v>-0.56499999999999995</v>
      </c>
      <c r="X12" s="18">
        <v>-0.40600000000000003</v>
      </c>
      <c r="Y12" s="18">
        <v>31.152999999999999</v>
      </c>
      <c r="Z12" s="18">
        <v>26.984999999999999</v>
      </c>
      <c r="AA12" s="18">
        <v>57.167000000000002</v>
      </c>
      <c r="AB12" s="18">
        <v>1.2E-2</v>
      </c>
      <c r="AC12" s="18">
        <v>7.3999999999999996E-2</v>
      </c>
      <c r="AD12" s="18">
        <v>31.687999999999999</v>
      </c>
      <c r="AE12" s="18">
        <v>0</v>
      </c>
      <c r="AF12" s="18">
        <v>31.774000000000001</v>
      </c>
      <c r="AG12" s="18">
        <v>0</v>
      </c>
      <c r="AH12" s="18">
        <v>62.4</v>
      </c>
      <c r="AI12" s="18">
        <v>0</v>
      </c>
      <c r="AJ12" s="18">
        <v>0</v>
      </c>
      <c r="AK12" s="18">
        <v>62.4</v>
      </c>
      <c r="AL12" s="19">
        <v>0</v>
      </c>
      <c r="AM12" s="19">
        <v>0</v>
      </c>
      <c r="AN12" s="19">
        <v>0</v>
      </c>
      <c r="AO12" s="19">
        <v>0</v>
      </c>
      <c r="AP12" s="19">
        <v>0</v>
      </c>
      <c r="AQ12" s="19">
        <v>0</v>
      </c>
      <c r="AR12" s="19">
        <v>0</v>
      </c>
      <c r="AS12" s="19">
        <v>36.6</v>
      </c>
      <c r="AT12" s="19">
        <v>0</v>
      </c>
      <c r="AU12" s="19">
        <v>36.6</v>
      </c>
      <c r="AV12" s="19">
        <v>0</v>
      </c>
      <c r="AW12" s="19">
        <v>0</v>
      </c>
      <c r="AX12" s="19">
        <v>0</v>
      </c>
      <c r="AY12" s="19">
        <v>1902.3904491500002</v>
      </c>
      <c r="AZ12" s="19">
        <v>1902.3904491500002</v>
      </c>
      <c r="BA12" s="19">
        <v>53.501475910000003</v>
      </c>
      <c r="BB12" s="19">
        <v>3.7782050000000005E-2</v>
      </c>
      <c r="BC12" s="19">
        <v>0</v>
      </c>
      <c r="BD12" s="19">
        <v>0</v>
      </c>
      <c r="BE12" s="19">
        <v>53.53925796</v>
      </c>
      <c r="BF12" s="19">
        <v>0</v>
      </c>
      <c r="BG12" s="19">
        <v>-1.2250829699999999</v>
      </c>
      <c r="BH12" s="19">
        <v>0</v>
      </c>
      <c r="BI12" s="19">
        <v>0</v>
      </c>
      <c r="BJ12" s="19">
        <v>-1.2250829699999999</v>
      </c>
      <c r="BK12" s="19">
        <v>0</v>
      </c>
      <c r="BL12" s="19">
        <v>1018.948</v>
      </c>
      <c r="BM12" s="19">
        <v>-6.7795077700000252</v>
      </c>
      <c r="BN12" s="19">
        <v>7.5616558800000933</v>
      </c>
      <c r="BO12" s="19">
        <v>1019.7301481100001</v>
      </c>
      <c r="BP12" s="19">
        <v>3.6684797100000006</v>
      </c>
      <c r="BQ12" s="19">
        <v>1.3134613800000001</v>
      </c>
    </row>
    <row r="13" spans="1:69" s="16" customFormat="1" ht="15" customHeight="1" x14ac:dyDescent="0.3">
      <c r="A13" t="s">
        <v>65</v>
      </c>
      <c r="B13" s="17" t="str">
        <f>IF('Sumário | Summary'!P1=1,"Deduções da receita bruta","Deductions")</f>
        <v>Deduções da receita bruta</v>
      </c>
      <c r="C13" s="18">
        <v>-1.91</v>
      </c>
      <c r="D13" s="18">
        <v>-3.1405417299999998</v>
      </c>
      <c r="E13" s="18">
        <v>-1.679</v>
      </c>
      <c r="F13" s="18">
        <v>-5.6248449999999997</v>
      </c>
      <c r="G13" s="18">
        <v>-12.35438673</v>
      </c>
      <c r="H13" s="18">
        <v>-2.0009999999999999</v>
      </c>
      <c r="I13" s="18">
        <v>-4.29</v>
      </c>
      <c r="J13" s="18">
        <v>-3.0670000000000002</v>
      </c>
      <c r="K13" s="18">
        <v>-2.9318080000000002</v>
      </c>
      <c r="L13" s="18">
        <v>-12.289808000000001</v>
      </c>
      <c r="M13" s="18">
        <v>-3.3359999999999999</v>
      </c>
      <c r="N13" s="18">
        <v>-3.9940000000000002</v>
      </c>
      <c r="O13" s="18">
        <v>-5.3369999999999997</v>
      </c>
      <c r="P13" s="18">
        <v>-6.3019999999999996</v>
      </c>
      <c r="Q13" s="18">
        <v>-18.969000000000001</v>
      </c>
      <c r="R13" s="18">
        <v>-5.3550000000000004</v>
      </c>
      <c r="S13" s="18">
        <v>-4.4480000000000004</v>
      </c>
      <c r="T13" s="18">
        <v>-9.1</v>
      </c>
      <c r="U13" s="18">
        <v>-5.3129999999999997</v>
      </c>
      <c r="V13" s="18">
        <v>-24.215999999999998</v>
      </c>
      <c r="W13" s="18">
        <v>-6.72</v>
      </c>
      <c r="X13" s="18">
        <v>-6.4859999999999998</v>
      </c>
      <c r="Y13" s="18">
        <v>-7.36</v>
      </c>
      <c r="Z13" s="18">
        <v>-7.5380000000000003</v>
      </c>
      <c r="AA13" s="18">
        <v>-28.103999999999999</v>
      </c>
      <c r="AB13" s="19">
        <v>-5.8529999999999998</v>
      </c>
      <c r="AC13" s="19">
        <v>-7.34</v>
      </c>
      <c r="AD13" s="19">
        <v>-7.4989999999999997</v>
      </c>
      <c r="AE13" s="19">
        <v>-7.8470000000000004</v>
      </c>
      <c r="AF13" s="19">
        <v>-28.539000000000001</v>
      </c>
      <c r="AG13" s="19">
        <v>-6.1479999999999997</v>
      </c>
      <c r="AH13" s="19">
        <v>-8.4160000000000004</v>
      </c>
      <c r="AI13" s="19">
        <v>-10.548999999999999</v>
      </c>
      <c r="AJ13" s="19">
        <v>-9.69</v>
      </c>
      <c r="AK13" s="19">
        <v>-34.802999999999997</v>
      </c>
      <c r="AL13" s="19">
        <v>-5.3689398499999994</v>
      </c>
      <c r="AM13" s="19">
        <v>-7.7260119300000012</v>
      </c>
      <c r="AN13" s="19">
        <v>-7.7095896900000049</v>
      </c>
      <c r="AO13" s="19">
        <v>-8.1408238099999952</v>
      </c>
      <c r="AP13" s="19">
        <v>-28.945365280000001</v>
      </c>
      <c r="AQ13" s="19">
        <v>-6.6730595300000006</v>
      </c>
      <c r="AR13" s="19">
        <v>-9.7709133415707399</v>
      </c>
      <c r="AS13" s="19">
        <v>-12.351300158429268</v>
      </c>
      <c r="AT13" s="19">
        <v>-14.104889679999999</v>
      </c>
      <c r="AU13" s="19">
        <v>-42.900162710000004</v>
      </c>
      <c r="AV13" s="19">
        <v>-13.496971440000001</v>
      </c>
      <c r="AW13" s="19">
        <v>-19.325484747797518</v>
      </c>
      <c r="AX13" s="19">
        <v>-15.435473620000005</v>
      </c>
      <c r="AY13" s="19">
        <v>-87.006070532202443</v>
      </c>
      <c r="AZ13" s="19">
        <v>-73.746829687797543</v>
      </c>
      <c r="BA13" s="19">
        <v>-23.06596343</v>
      </c>
      <c r="BB13" s="19">
        <v>-27.575006349999999</v>
      </c>
      <c r="BC13" s="19">
        <v>-22.999270639999999</v>
      </c>
      <c r="BD13" s="19">
        <v>-27.6582422175508</v>
      </c>
      <c r="BE13" s="19">
        <v>-92.707323677550789</v>
      </c>
      <c r="BF13" s="19">
        <v>-19.537629079999999</v>
      </c>
      <c r="BG13" s="19">
        <v>-15.286338570000003</v>
      </c>
      <c r="BH13" s="19">
        <v>-14.789421790000008</v>
      </c>
      <c r="BI13" s="19">
        <v>-14.40305180999999</v>
      </c>
      <c r="BJ13" s="19">
        <v>-64.01644125</v>
      </c>
      <c r="BK13" s="19">
        <v>-10.62510449</v>
      </c>
      <c r="BL13" s="19">
        <v>-51.148229409999999</v>
      </c>
      <c r="BM13" s="19">
        <v>-9.0367118500000068</v>
      </c>
      <c r="BN13" s="19">
        <v>-6.2949366456499991</v>
      </c>
      <c r="BO13" s="19">
        <v>-77.104982395649998</v>
      </c>
      <c r="BP13" s="19">
        <v>-7.4553711100000006</v>
      </c>
      <c r="BQ13" s="19">
        <v>-4.9429048712500023</v>
      </c>
    </row>
    <row r="14" spans="1:69" s="16" customFormat="1" ht="15" customHeight="1" x14ac:dyDescent="0.3">
      <c r="A14" s="12" t="s">
        <v>66</v>
      </c>
      <c r="B14" s="13" t="str">
        <f>IF('Sumário | Summary'!P1=1,"Receita Líquida","Net Operating Revenues")</f>
        <v>Receita Líquida</v>
      </c>
      <c r="C14" s="14">
        <v>49.503</v>
      </c>
      <c r="D14" s="14">
        <v>92.120126433717303</v>
      </c>
      <c r="E14" s="14">
        <v>60.126000000000005</v>
      </c>
      <c r="F14" s="14">
        <v>171.09053258555312</v>
      </c>
      <c r="G14" s="14">
        <v>372.83965901927041</v>
      </c>
      <c r="H14" s="14">
        <v>70.180999999999997</v>
      </c>
      <c r="I14" s="14">
        <v>88.54</v>
      </c>
      <c r="J14" s="14">
        <v>83.271000000000015</v>
      </c>
      <c r="K14" s="14">
        <v>80.301782599999996</v>
      </c>
      <c r="L14" s="14">
        <v>322.29378259999999</v>
      </c>
      <c r="M14" s="14">
        <v>94.351000000000013</v>
      </c>
      <c r="N14" s="14">
        <v>82.742000000000004</v>
      </c>
      <c r="O14" s="14">
        <v>115.48700000000001</v>
      </c>
      <c r="P14" s="14">
        <v>89.281000000000006</v>
      </c>
      <c r="Q14" s="14">
        <v>381.86099999999999</v>
      </c>
      <c r="R14" s="14">
        <v>82.367999999999995</v>
      </c>
      <c r="S14" s="14">
        <v>90.883999999999986</v>
      </c>
      <c r="T14" s="14">
        <v>105.33000000000001</v>
      </c>
      <c r="U14" s="14">
        <v>105.69970880300001</v>
      </c>
      <c r="V14" s="14">
        <v>384.28170880299996</v>
      </c>
      <c r="W14" s="14">
        <v>92.780907622903797</v>
      </c>
      <c r="X14" s="14">
        <v>90.271999999999977</v>
      </c>
      <c r="Y14" s="14">
        <v>123.914</v>
      </c>
      <c r="Z14" s="14">
        <v>114.285</v>
      </c>
      <c r="AA14" s="15">
        <f t="shared" ref="AA14:BP14" si="0">SUM(AA7:AA13)</f>
        <v>421.25190762290384</v>
      </c>
      <c r="AB14" s="15">
        <f t="shared" si="0"/>
        <v>98.078000000000003</v>
      </c>
      <c r="AC14" s="15">
        <f t="shared" si="0"/>
        <v>106.90899999999999</v>
      </c>
      <c r="AD14" s="15">
        <f t="shared" si="0"/>
        <v>130.56100000000001</v>
      </c>
      <c r="AE14" s="15">
        <f t="shared" si="0"/>
        <v>110.72366837000003</v>
      </c>
      <c r="AF14" s="15">
        <f t="shared" si="0"/>
        <v>446.27246158220873</v>
      </c>
      <c r="AG14" s="15">
        <f t="shared" si="0"/>
        <v>104.53418310000001</v>
      </c>
      <c r="AH14" s="15">
        <f t="shared" si="0"/>
        <v>165.93144369999999</v>
      </c>
      <c r="AI14" s="15">
        <f t="shared" si="0"/>
        <v>107.74593011000002</v>
      </c>
      <c r="AJ14" s="15">
        <f t="shared" si="0"/>
        <v>111.55484946000001</v>
      </c>
      <c r="AK14" s="15">
        <f t="shared" si="0"/>
        <v>489.76640637000003</v>
      </c>
      <c r="AL14" s="15">
        <f t="shared" si="0"/>
        <v>112.31784804999999</v>
      </c>
      <c r="AM14" s="15">
        <f t="shared" si="0"/>
        <v>114.35105151</v>
      </c>
      <c r="AN14" s="15">
        <f t="shared" si="0"/>
        <v>115.682884137652</v>
      </c>
      <c r="AO14" s="15">
        <f t="shared" si="0"/>
        <v>128.473841451395</v>
      </c>
      <c r="AP14" s="15">
        <f t="shared" si="0"/>
        <v>470.82562514904703</v>
      </c>
      <c r="AQ14" s="15">
        <f t="shared" si="0"/>
        <v>129.90111407805301</v>
      </c>
      <c r="AR14" s="15">
        <f t="shared" si="0"/>
        <v>93.057932281946989</v>
      </c>
      <c r="AS14" s="15">
        <f t="shared" si="0"/>
        <v>140.26997605132999</v>
      </c>
      <c r="AT14" s="15">
        <f t="shared" si="0"/>
        <v>123.09481138009473</v>
      </c>
      <c r="AU14" s="15">
        <f t="shared" si="0"/>
        <v>486.3238337914247</v>
      </c>
      <c r="AV14" s="15">
        <f t="shared" si="0"/>
        <v>118.40275235700501</v>
      </c>
      <c r="AW14" s="15">
        <f t="shared" si="0"/>
        <v>112.83635858447748</v>
      </c>
      <c r="AX14" s="15">
        <f t="shared" si="0"/>
        <v>124.62092497828397</v>
      </c>
      <c r="AY14" s="15">
        <f t="shared" si="0"/>
        <v>1950.2519637402343</v>
      </c>
      <c r="AZ14" s="15">
        <f t="shared" si="0"/>
        <v>2367.6291703122033</v>
      </c>
      <c r="BA14" s="15">
        <f t="shared" si="0"/>
        <v>153.31665650444802</v>
      </c>
      <c r="BB14" s="15">
        <f t="shared" si="0"/>
        <v>100.57873082114202</v>
      </c>
      <c r="BC14" s="15">
        <f t="shared" si="0"/>
        <v>105.46184669990996</v>
      </c>
      <c r="BD14" s="15">
        <f t="shared" si="0"/>
        <v>115.14133222088819</v>
      </c>
      <c r="BE14" s="15">
        <f t="shared" si="0"/>
        <v>483.08972520638815</v>
      </c>
      <c r="BF14" s="15">
        <f t="shared" si="0"/>
        <v>99.249968710051988</v>
      </c>
      <c r="BG14" s="15">
        <f t="shared" si="0"/>
        <v>103.97200255362797</v>
      </c>
      <c r="BH14" s="15">
        <f t="shared" si="0"/>
        <v>105.90925096588001</v>
      </c>
      <c r="BI14" s="15">
        <f t="shared" si="0"/>
        <v>115.576315684099</v>
      </c>
      <c r="BJ14" s="15">
        <f t="shared" si="0"/>
        <v>424.70753791365894</v>
      </c>
      <c r="BK14" s="15">
        <f t="shared" si="0"/>
        <v>112.40698021002798</v>
      </c>
      <c r="BL14" s="15">
        <f t="shared" si="0"/>
        <v>1081.428970922012</v>
      </c>
      <c r="BM14" s="15">
        <f t="shared" si="0"/>
        <v>85.96380126635998</v>
      </c>
      <c r="BN14" s="15">
        <f t="shared" si="0"/>
        <v>77.943448576858017</v>
      </c>
      <c r="BO14" s="15">
        <f t="shared" si="0"/>
        <v>1357.7432009752579</v>
      </c>
      <c r="BP14" s="15">
        <f t="shared" si="0"/>
        <v>83.762866134408</v>
      </c>
      <c r="BQ14" s="15">
        <f>SUM(BQ7:BQ13)</f>
        <v>74.371678419171971</v>
      </c>
    </row>
    <row r="15" spans="1:69" s="16" customFormat="1" ht="15" customHeight="1" x14ac:dyDescent="0.3">
      <c r="A15" s="12" t="s">
        <v>67</v>
      </c>
      <c r="B15" s="17" t="str">
        <f>IF('Sumário | Summary'!P1=1,"Custo de Edifícios Corporativos","Corporate Buildings Cost")</f>
        <v>Custo de Edifícios Corporativos</v>
      </c>
      <c r="C15" s="14">
        <v>0</v>
      </c>
      <c r="D15" s="14">
        <v>0</v>
      </c>
      <c r="E15" s="14">
        <v>0</v>
      </c>
      <c r="F15" s="14">
        <v>0</v>
      </c>
      <c r="G15" s="14">
        <v>0</v>
      </c>
      <c r="H15" s="14">
        <v>0</v>
      </c>
      <c r="I15" s="14">
        <v>0</v>
      </c>
      <c r="J15" s="14">
        <v>0</v>
      </c>
      <c r="K15" s="14">
        <v>0</v>
      </c>
      <c r="L15" s="14">
        <v>0</v>
      </c>
      <c r="M15" s="18">
        <v>0</v>
      </c>
      <c r="N15" s="18">
        <v>0</v>
      </c>
      <c r="O15" s="18">
        <v>0</v>
      </c>
      <c r="P15" s="18">
        <v>0</v>
      </c>
      <c r="Q15" s="18">
        <v>0</v>
      </c>
      <c r="R15" s="18">
        <v>0</v>
      </c>
      <c r="S15" s="18">
        <v>0</v>
      </c>
      <c r="T15" s="18">
        <v>0</v>
      </c>
      <c r="U15" s="18">
        <v>0</v>
      </c>
      <c r="V15" s="18">
        <v>0</v>
      </c>
      <c r="W15" s="18">
        <v>-3.9960036799999998</v>
      </c>
      <c r="X15" s="19">
        <v>-4.0316553500000003</v>
      </c>
      <c r="Y15" s="18">
        <v>-3.7285662800000008</v>
      </c>
      <c r="Z15" s="18">
        <v>-3.3764086999999998</v>
      </c>
      <c r="AA15" s="18">
        <v>-15.752248260000002</v>
      </c>
      <c r="AB15" s="19">
        <v>-4.5593244200000003</v>
      </c>
      <c r="AC15" s="19">
        <v>-4.3566682700000001</v>
      </c>
      <c r="AD15" s="19">
        <v>-5.4784182099999992</v>
      </c>
      <c r="AE15" s="19">
        <v>-5.6691948900000009</v>
      </c>
      <c r="AF15" s="19">
        <v>-18.525959020000002</v>
      </c>
      <c r="AG15" s="19">
        <v>-4.6547677299999997</v>
      </c>
      <c r="AH15" s="19">
        <v>-3.9966535399999983</v>
      </c>
      <c r="AI15" s="19">
        <v>-5.1401033857554781</v>
      </c>
      <c r="AJ15" s="19">
        <v>-4.8413215700000007</v>
      </c>
      <c r="AK15" s="19">
        <v>-18.632846235755473</v>
      </c>
      <c r="AL15" s="19">
        <v>-2.8217688599999997</v>
      </c>
      <c r="AM15" s="19">
        <v>-4.2989959200000003</v>
      </c>
      <c r="AN15" s="19">
        <v>-4.6141236299999999</v>
      </c>
      <c r="AO15" s="19">
        <v>-4.38687834873335</v>
      </c>
      <c r="AP15" s="19">
        <v>-16.121766758733347</v>
      </c>
      <c r="AQ15" s="19">
        <v>-10.79829940304051</v>
      </c>
      <c r="AR15" s="19">
        <v>-10.03083058</v>
      </c>
      <c r="AS15" s="19">
        <v>-10.61788759</v>
      </c>
      <c r="AT15" s="19">
        <v>-12.547120070000004</v>
      </c>
      <c r="AU15" s="19">
        <v>-43.994137643040517</v>
      </c>
      <c r="AV15" s="19">
        <v>-13.384454270000001</v>
      </c>
      <c r="AW15" s="19">
        <v>-13.236872309999999</v>
      </c>
      <c r="AX15" s="19">
        <v>-13.413909779999999</v>
      </c>
      <c r="AY15" s="19">
        <v>-28.024409520000031</v>
      </c>
      <c r="AZ15" s="19">
        <v>-68.059645880000019</v>
      </c>
      <c r="BA15" s="19">
        <v>-9.1498104500000004</v>
      </c>
      <c r="BB15" s="19">
        <v>-9.5861931699999996</v>
      </c>
      <c r="BC15" s="19">
        <v>-8.8952172499999982</v>
      </c>
      <c r="BD15" s="19">
        <v>-11.344783470000014</v>
      </c>
      <c r="BE15" s="19">
        <v>-38.976004340000017</v>
      </c>
      <c r="BF15" s="19">
        <v>-10.695274020000001</v>
      </c>
      <c r="BG15" s="19">
        <v>-10.426523939999999</v>
      </c>
      <c r="BH15" s="19">
        <v>-9.2828264600000008</v>
      </c>
      <c r="BI15" s="19">
        <v>-9.5859067500000013</v>
      </c>
      <c r="BJ15" s="19">
        <v>-39.990531170000004</v>
      </c>
      <c r="BK15" s="19">
        <v>-9.7868032200000012</v>
      </c>
      <c r="BL15" s="19">
        <v>-10.341302920000002</v>
      </c>
      <c r="BM15" s="19">
        <v>-10.151890229999998</v>
      </c>
      <c r="BN15" s="19">
        <v>-7.9115616999999983</v>
      </c>
      <c r="BO15" s="19">
        <v>-38.191558069999999</v>
      </c>
      <c r="BP15" s="19">
        <v>-10.140984960000001</v>
      </c>
      <c r="BQ15" s="19">
        <v>-11.04443051</v>
      </c>
    </row>
    <row r="16" spans="1:69" s="16" customFormat="1" ht="15" customHeight="1" x14ac:dyDescent="0.3">
      <c r="A16" s="12" t="s">
        <v>68</v>
      </c>
      <c r="B16" s="17" t="str">
        <f>IF('Sumário | Summary'!P1=1,"Custo de Shopping Centers","Shopping Malls Cost")</f>
        <v>Custo de Shopping Centers</v>
      </c>
      <c r="C16" s="14">
        <v>0</v>
      </c>
      <c r="D16" s="14">
        <v>0</v>
      </c>
      <c r="E16" s="14">
        <v>0</v>
      </c>
      <c r="F16" s="14">
        <v>0</v>
      </c>
      <c r="G16" s="14">
        <v>0</v>
      </c>
      <c r="H16" s="14">
        <v>0</v>
      </c>
      <c r="I16" s="14">
        <v>0</v>
      </c>
      <c r="J16" s="14">
        <v>0</v>
      </c>
      <c r="K16" s="14">
        <v>0</v>
      </c>
      <c r="L16" s="14">
        <v>0</v>
      </c>
      <c r="M16" s="18">
        <v>0</v>
      </c>
      <c r="N16" s="18">
        <v>0</v>
      </c>
      <c r="O16" s="18">
        <v>0</v>
      </c>
      <c r="P16" s="18">
        <v>0</v>
      </c>
      <c r="Q16" s="18">
        <v>0</v>
      </c>
      <c r="R16" s="18">
        <v>0</v>
      </c>
      <c r="S16" s="18">
        <v>0</v>
      </c>
      <c r="T16" s="18">
        <v>0</v>
      </c>
      <c r="U16" s="18">
        <v>0</v>
      </c>
      <c r="V16" s="18">
        <v>0</v>
      </c>
      <c r="W16" s="18">
        <v>-13.012819540000001</v>
      </c>
      <c r="X16" s="19">
        <v>-15.044180460000002</v>
      </c>
      <c r="Y16" s="18">
        <v>-19.276023850000001</v>
      </c>
      <c r="Z16" s="18">
        <v>-20.151266760000002</v>
      </c>
      <c r="AA16" s="18">
        <v>-67.484369960000009</v>
      </c>
      <c r="AB16" s="19">
        <v>-20.469998608450002</v>
      </c>
      <c r="AC16" s="19">
        <v>-20.302652175349994</v>
      </c>
      <c r="AD16" s="19">
        <v>-20.027609605350001</v>
      </c>
      <c r="AE16" s="19">
        <v>-30.288456165350006</v>
      </c>
      <c r="AF16" s="19">
        <v>-92.626363324500005</v>
      </c>
      <c r="AG16" s="19">
        <v>-18.031505790000001</v>
      </c>
      <c r="AH16" s="19">
        <v>-20.413050829999996</v>
      </c>
      <c r="AI16" s="19">
        <v>-27.425717092531215</v>
      </c>
      <c r="AJ16" s="19">
        <v>-18.491329950000001</v>
      </c>
      <c r="AK16" s="19">
        <v>-84.361603662531209</v>
      </c>
      <c r="AL16" s="19">
        <v>-19.864552840000002</v>
      </c>
      <c r="AM16" s="19">
        <v>-17.769771889999998</v>
      </c>
      <c r="AN16" s="19">
        <v>-17.617860014335939</v>
      </c>
      <c r="AO16" s="19">
        <v>-19.021993219999995</v>
      </c>
      <c r="AP16" s="19">
        <v>-74.274177964335919</v>
      </c>
      <c r="AQ16" s="19">
        <v>-18.010454230000004</v>
      </c>
      <c r="AR16" s="19">
        <v>-20.81733504</v>
      </c>
      <c r="AS16" s="19">
        <v>-20.037451239999999</v>
      </c>
      <c r="AT16" s="19">
        <v>-22.22274024</v>
      </c>
      <c r="AU16" s="19">
        <v>-81.08798075</v>
      </c>
      <c r="AV16" s="19">
        <v>-19.121760170000002</v>
      </c>
      <c r="AW16" s="19">
        <v>-18.894014089999999</v>
      </c>
      <c r="AX16" s="19">
        <v>-18.25259522</v>
      </c>
      <c r="AY16" s="19">
        <v>-16.780664449999996</v>
      </c>
      <c r="AZ16" s="19">
        <v>-73.049033930000007</v>
      </c>
      <c r="BA16" s="19">
        <v>-18.6471132</v>
      </c>
      <c r="BB16" s="19">
        <v>-15.62725174</v>
      </c>
      <c r="BC16" s="19">
        <v>-18.554863339999997</v>
      </c>
      <c r="BD16" s="19">
        <v>-17.063552639999994</v>
      </c>
      <c r="BE16" s="19">
        <v>-69.892780919999993</v>
      </c>
      <c r="BF16" s="19">
        <v>-16.66157166</v>
      </c>
      <c r="BG16" s="19">
        <v>-17.295073609999999</v>
      </c>
      <c r="BH16" s="19">
        <v>-14.059595379999992</v>
      </c>
      <c r="BI16" s="19">
        <v>-14.714622129999997</v>
      </c>
      <c r="BJ16" s="19">
        <v>-62.730862779999988</v>
      </c>
      <c r="BK16" s="19">
        <v>-13.723795920000001</v>
      </c>
      <c r="BL16" s="19">
        <v>-132.02054643530388</v>
      </c>
      <c r="BM16" s="19">
        <v>-8.0343455099999854</v>
      </c>
      <c r="BN16" s="19">
        <v>-6.6641485739700146</v>
      </c>
      <c r="BO16" s="19">
        <v>-160.44283643927389</v>
      </c>
      <c r="BP16" s="19">
        <v>-7.36333503</v>
      </c>
      <c r="BQ16" s="19">
        <v>-3.4329672250000005</v>
      </c>
    </row>
    <row r="17" spans="1:69" s="16" customFormat="1" ht="15" customHeight="1" x14ac:dyDescent="0.3">
      <c r="A17" s="12" t="s">
        <v>69</v>
      </c>
      <c r="B17" s="17" t="str">
        <f>IF('Sumário | Summary'!P1=1,"Custo de Galpões Logísticos","Distribution Centers Cost")</f>
        <v>Custo de Galpões Logísticos</v>
      </c>
      <c r="C17" s="14">
        <v>0</v>
      </c>
      <c r="D17" s="14">
        <v>0</v>
      </c>
      <c r="E17" s="14">
        <v>0</v>
      </c>
      <c r="F17" s="14">
        <v>0</v>
      </c>
      <c r="G17" s="14">
        <v>0</v>
      </c>
      <c r="H17" s="14">
        <v>0</v>
      </c>
      <c r="I17" s="14">
        <v>0</v>
      </c>
      <c r="J17" s="14">
        <v>0</v>
      </c>
      <c r="K17" s="14">
        <v>0</v>
      </c>
      <c r="L17" s="14">
        <v>0</v>
      </c>
      <c r="M17" s="18">
        <v>0</v>
      </c>
      <c r="N17" s="18">
        <v>0</v>
      </c>
      <c r="O17" s="18">
        <v>0</v>
      </c>
      <c r="P17" s="18">
        <v>0</v>
      </c>
      <c r="Q17" s="18">
        <v>0</v>
      </c>
      <c r="R17" s="18">
        <v>0</v>
      </c>
      <c r="S17" s="18">
        <v>0</v>
      </c>
      <c r="T17" s="18">
        <v>0</v>
      </c>
      <c r="U17" s="18">
        <v>0</v>
      </c>
      <c r="V17" s="18">
        <v>0</v>
      </c>
      <c r="W17" s="18">
        <v>-1.1934094399999999</v>
      </c>
      <c r="X17" s="19">
        <v>-0.44293153000000002</v>
      </c>
      <c r="Y17" s="18">
        <v>-0.24931998</v>
      </c>
      <c r="Z17" s="18">
        <v>-0.76865866999999988</v>
      </c>
      <c r="AA17" s="18">
        <v>-1.7385870700000001</v>
      </c>
      <c r="AB17" s="19">
        <v>-0.17547455000000003</v>
      </c>
      <c r="AC17" s="19">
        <v>-0.19283342000000017</v>
      </c>
      <c r="AD17" s="19">
        <v>-0.81483243666666705</v>
      </c>
      <c r="AE17" s="19">
        <v>-0.24733496999999996</v>
      </c>
      <c r="AF17" s="19">
        <v>-1.4304753766666671</v>
      </c>
      <c r="AG17" s="19">
        <v>-0.14696628</v>
      </c>
      <c r="AH17" s="19">
        <v>-0.15109148999999999</v>
      </c>
      <c r="AI17" s="19">
        <v>0.29805777</v>
      </c>
      <c r="AJ17" s="18">
        <v>0</v>
      </c>
      <c r="AK17" s="18">
        <v>0</v>
      </c>
      <c r="AL17" s="19">
        <v>0</v>
      </c>
      <c r="AM17" s="19">
        <v>0</v>
      </c>
      <c r="AN17" s="19">
        <v>0</v>
      </c>
      <c r="AO17" s="19">
        <v>0</v>
      </c>
      <c r="AP17" s="19">
        <v>0</v>
      </c>
      <c r="AQ17" s="19">
        <v>0</v>
      </c>
      <c r="AR17" s="19">
        <v>0</v>
      </c>
      <c r="AS17" s="19">
        <v>0</v>
      </c>
      <c r="AT17" s="19">
        <v>0</v>
      </c>
      <c r="AU17" s="19">
        <v>0</v>
      </c>
      <c r="AV17" s="19">
        <v>0</v>
      </c>
      <c r="AW17" s="19">
        <v>0</v>
      </c>
      <c r="AX17" s="19">
        <v>0</v>
      </c>
      <c r="AY17" s="19">
        <v>0</v>
      </c>
      <c r="AZ17" s="19">
        <v>0</v>
      </c>
      <c r="BA17" s="19">
        <v>0</v>
      </c>
      <c r="BB17" s="19">
        <v>0</v>
      </c>
      <c r="BC17" s="19">
        <v>0</v>
      </c>
      <c r="BD17" s="19">
        <v>0</v>
      </c>
      <c r="BE17" s="19">
        <v>0</v>
      </c>
      <c r="BF17" s="19">
        <v>0</v>
      </c>
      <c r="BG17" s="19">
        <v>0</v>
      </c>
      <c r="BH17" s="19">
        <v>0</v>
      </c>
      <c r="BI17" s="19">
        <v>0</v>
      </c>
      <c r="BJ17" s="19">
        <v>0</v>
      </c>
      <c r="BK17" s="19">
        <v>0</v>
      </c>
      <c r="BL17" s="19">
        <v>0</v>
      </c>
      <c r="BM17" s="19">
        <v>0</v>
      </c>
      <c r="BN17" s="19">
        <v>0</v>
      </c>
      <c r="BO17" s="19">
        <v>0</v>
      </c>
      <c r="BP17" s="19">
        <v>0</v>
      </c>
      <c r="BQ17" s="19">
        <v>0</v>
      </c>
    </row>
    <row r="18" spans="1:69" s="16" customFormat="1" ht="15" customHeight="1" x14ac:dyDescent="0.3">
      <c r="A18" t="s">
        <v>70</v>
      </c>
      <c r="B18" s="17" t="str">
        <f>IF('Sumário | Summary'!P1=1,"Prestação de Serviços","Services")</f>
        <v>Prestação de Serviços</v>
      </c>
      <c r="C18" s="14">
        <v>0</v>
      </c>
      <c r="D18" s="14">
        <v>0</v>
      </c>
      <c r="E18" s="14">
        <v>0</v>
      </c>
      <c r="F18" s="14">
        <v>0</v>
      </c>
      <c r="G18" s="14">
        <v>0</v>
      </c>
      <c r="H18" s="14">
        <v>0</v>
      </c>
      <c r="I18" s="14">
        <v>0</v>
      </c>
      <c r="J18" s="14">
        <v>0</v>
      </c>
      <c r="K18" s="14">
        <v>0</v>
      </c>
      <c r="L18" s="14">
        <v>0</v>
      </c>
      <c r="M18" s="18">
        <v>0</v>
      </c>
      <c r="N18" s="18">
        <v>0</v>
      </c>
      <c r="O18" s="18">
        <v>0</v>
      </c>
      <c r="P18" s="18">
        <v>0</v>
      </c>
      <c r="Q18" s="18">
        <v>0</v>
      </c>
      <c r="R18" s="18">
        <v>0</v>
      </c>
      <c r="S18" s="18">
        <v>0</v>
      </c>
      <c r="T18" s="18">
        <v>0</v>
      </c>
      <c r="U18" s="18">
        <v>0</v>
      </c>
      <c r="V18" s="18">
        <v>0</v>
      </c>
      <c r="W18" s="18">
        <v>-2.2245823700000003</v>
      </c>
      <c r="X18" s="19">
        <v>-1.8428726799999993</v>
      </c>
      <c r="Y18" s="18">
        <v>-1.6721688199999998</v>
      </c>
      <c r="Z18" s="18">
        <v>-1.9030197600000001</v>
      </c>
      <c r="AA18" s="18">
        <v>-7.6426436299999994</v>
      </c>
      <c r="AB18" s="19">
        <v>-1.7358887399999998</v>
      </c>
      <c r="AC18" s="19">
        <v>-1.6155970199999998</v>
      </c>
      <c r="AD18" s="19">
        <v>-1.8647017299999999</v>
      </c>
      <c r="AE18" s="19">
        <v>-1.8290177699999997</v>
      </c>
      <c r="AF18" s="19">
        <v>-7.0452052599999995</v>
      </c>
      <c r="AG18" s="19">
        <v>-2.6078126400000006</v>
      </c>
      <c r="AH18" s="19">
        <v>-1.3854131600000006</v>
      </c>
      <c r="AI18" s="19">
        <v>-1.8414797200000004</v>
      </c>
      <c r="AJ18" s="19">
        <v>-2.0438276600000003</v>
      </c>
      <c r="AK18" s="19">
        <v>-7.8785331800000016</v>
      </c>
      <c r="AL18" s="19">
        <v>-16.985086239999983</v>
      </c>
      <c r="AM18" s="19">
        <v>-17.787392089999987</v>
      </c>
      <c r="AN18" s="19">
        <v>-18.380101450000002</v>
      </c>
      <c r="AO18" s="19">
        <v>-1.845</v>
      </c>
      <c r="AP18" s="19">
        <v>57.509325249999996</v>
      </c>
      <c r="AQ18" s="19">
        <v>-1.8926693599999957</v>
      </c>
      <c r="AR18" s="19">
        <v>-3.96457389</v>
      </c>
      <c r="AS18" s="19">
        <v>-2.8319999999999999</v>
      </c>
      <c r="AT18" s="19">
        <v>-6.2112996899999988</v>
      </c>
      <c r="AU18" s="19">
        <v>20.347903829401599</v>
      </c>
      <c r="AV18" s="19">
        <v>-4.1733542999999989</v>
      </c>
      <c r="AW18" s="19">
        <v>-4.9820669500000001</v>
      </c>
      <c r="AX18" s="19">
        <v>-4.9250410599999999</v>
      </c>
      <c r="AY18" s="19">
        <v>-9.3446125900000006</v>
      </c>
      <c r="AZ18" s="19">
        <v>-22.444379260000009</v>
      </c>
      <c r="BA18" s="19">
        <v>-4.2550171999999966</v>
      </c>
      <c r="BB18" s="19">
        <v>-8.3656043199999992</v>
      </c>
      <c r="BC18" s="19">
        <v>-3.7805615200000009</v>
      </c>
      <c r="BD18" s="19">
        <v>-7.3860992300000285</v>
      </c>
      <c r="BE18" s="19">
        <v>-23.787282270000023</v>
      </c>
      <c r="BF18" s="19">
        <v>-6.7401640200000017</v>
      </c>
      <c r="BG18" s="19">
        <v>-3.2357253999999975</v>
      </c>
      <c r="BH18" s="19">
        <v>-3.724139799999997</v>
      </c>
      <c r="BI18" s="19">
        <v>-3.65389794000001</v>
      </c>
      <c r="BJ18" s="19">
        <v>-17.353927160000005</v>
      </c>
      <c r="BK18" s="19">
        <v>-3.2110805699999947</v>
      </c>
      <c r="BL18" s="19">
        <v>-3.5057942900000016</v>
      </c>
      <c r="BM18" s="19">
        <v>-3.1701030399999945</v>
      </c>
      <c r="BN18" s="19">
        <v>-2.5877344100000119</v>
      </c>
      <c r="BO18" s="19">
        <v>-12.474712310000003</v>
      </c>
      <c r="BP18" s="19">
        <v>-3.058185229999999</v>
      </c>
      <c r="BQ18" s="19">
        <v>-2.7389395200000028</v>
      </c>
    </row>
    <row r="19" spans="1:69" s="16" customFormat="1" ht="15" customHeight="1" x14ac:dyDescent="0.3">
      <c r="A19" t="s">
        <v>71</v>
      </c>
      <c r="B19" s="17" t="str">
        <f>IF('Sumário | Summary'!P1=1,"Estacionamento","Parking Lot")</f>
        <v>Estacionamento</v>
      </c>
      <c r="C19" s="14">
        <v>0</v>
      </c>
      <c r="D19" s="14">
        <v>0</v>
      </c>
      <c r="E19" s="14">
        <v>0</v>
      </c>
      <c r="F19" s="14">
        <v>0</v>
      </c>
      <c r="G19" s="14">
        <v>0</v>
      </c>
      <c r="H19" s="14">
        <v>0</v>
      </c>
      <c r="I19" s="14">
        <v>0</v>
      </c>
      <c r="J19" s="14">
        <v>0</v>
      </c>
      <c r="K19" s="14">
        <v>0</v>
      </c>
      <c r="L19" s="14">
        <v>0</v>
      </c>
      <c r="M19" s="18">
        <v>0</v>
      </c>
      <c r="N19" s="18">
        <v>0</v>
      </c>
      <c r="O19" s="18">
        <v>0</v>
      </c>
      <c r="P19" s="18">
        <v>0</v>
      </c>
      <c r="Q19" s="18">
        <v>0</v>
      </c>
      <c r="R19" s="18">
        <v>0</v>
      </c>
      <c r="S19" s="18">
        <v>0</v>
      </c>
      <c r="T19" s="18">
        <v>0</v>
      </c>
      <c r="U19" s="18">
        <v>0</v>
      </c>
      <c r="V19" s="18">
        <v>0</v>
      </c>
      <c r="W19" s="18">
        <v>-11.0278589855</v>
      </c>
      <c r="X19" s="19">
        <v>-11.684404789999999</v>
      </c>
      <c r="Y19" s="18">
        <v>-10.13201193000001</v>
      </c>
      <c r="Z19" s="18">
        <v>-12.596238319999989</v>
      </c>
      <c r="AA19" s="18">
        <v>-45.440514025500001</v>
      </c>
      <c r="AB19" s="19">
        <v>-11.744310510000005</v>
      </c>
      <c r="AC19" s="19">
        <v>-12.27792769000002</v>
      </c>
      <c r="AD19" s="19">
        <v>-12.057667079999995</v>
      </c>
      <c r="AE19" s="19">
        <v>-13.593656710000012</v>
      </c>
      <c r="AF19" s="19">
        <v>-49.673561990000024</v>
      </c>
      <c r="AG19" s="19">
        <v>-12.899848279999995</v>
      </c>
      <c r="AH19" s="19">
        <v>-13.259218759999987</v>
      </c>
      <c r="AI19" s="19">
        <v>-13.463760979999993</v>
      </c>
      <c r="AJ19" s="19">
        <v>-15.027486749999982</v>
      </c>
      <c r="AK19" s="19">
        <v>-54.650314769999966</v>
      </c>
      <c r="AL19" s="19">
        <v>0</v>
      </c>
      <c r="AM19" s="19">
        <v>0</v>
      </c>
      <c r="AN19" s="19">
        <v>0</v>
      </c>
      <c r="AO19" s="19">
        <v>-17.867999999999999</v>
      </c>
      <c r="AP19" s="19">
        <v>-65.187108129999999</v>
      </c>
      <c r="AQ19" s="19">
        <v>-15.822246450000002</v>
      </c>
      <c r="AR19" s="19">
        <v>-3.7970222200000019</v>
      </c>
      <c r="AS19" s="19">
        <v>-4.3814390600000017</v>
      </c>
      <c r="AT19" s="19">
        <v>-11.247448759999999</v>
      </c>
      <c r="AU19" s="19">
        <v>-35.2481564694016</v>
      </c>
      <c r="AV19" s="19">
        <v>-8.6140358899999949</v>
      </c>
      <c r="AW19" s="19">
        <v>-6.9133859799999993</v>
      </c>
      <c r="AX19" s="19">
        <v>-10.927970349999994</v>
      </c>
      <c r="AY19" s="19">
        <v>-15.236717499999999</v>
      </c>
      <c r="AZ19" s="19">
        <v>-41.692109719999983</v>
      </c>
      <c r="BA19" s="19">
        <v>-14.675811400000001</v>
      </c>
      <c r="BB19" s="19">
        <v>-15.897009429999999</v>
      </c>
      <c r="BC19" s="19">
        <v>-16.794955560000009</v>
      </c>
      <c r="BD19" s="19">
        <v>-20.684325820000005</v>
      </c>
      <c r="BE19" s="19">
        <v>-68.052102210000015</v>
      </c>
      <c r="BF19" s="19">
        <v>-15.794096360000005</v>
      </c>
      <c r="BG19" s="19">
        <v>-17.272593429999986</v>
      </c>
      <c r="BH19" s="19">
        <v>-17.341976940000009</v>
      </c>
      <c r="BI19" s="19">
        <v>-19.458552910000012</v>
      </c>
      <c r="BJ19" s="19">
        <v>-69.867219640000016</v>
      </c>
      <c r="BK19" s="19">
        <v>-19.073463560000015</v>
      </c>
      <c r="BL19" s="19">
        <v>-17.785351450000014</v>
      </c>
      <c r="BM19" s="19">
        <v>-20.763199380000007</v>
      </c>
      <c r="BN19" s="19">
        <v>-20.190732570000002</v>
      </c>
      <c r="BO19" s="19">
        <v>-77.812746960000027</v>
      </c>
      <c r="BP19" s="19">
        <v>-19.545772920000012</v>
      </c>
      <c r="BQ19" s="19">
        <v>-18.111394430000018</v>
      </c>
    </row>
    <row r="20" spans="1:69" s="16" customFormat="1" ht="15" customHeight="1" x14ac:dyDescent="0.3">
      <c r="A20" t="s">
        <v>72</v>
      </c>
      <c r="B20" s="17" t="str">
        <f>IF('Sumário | Summary'!P1=1,"Vendas de Propriedades","Real Estate Sales and Development")</f>
        <v>Vendas de Propriedades</v>
      </c>
      <c r="C20" s="14">
        <v>0</v>
      </c>
      <c r="D20" s="14">
        <v>0</v>
      </c>
      <c r="E20" s="14">
        <v>0</v>
      </c>
      <c r="F20" s="14">
        <v>0</v>
      </c>
      <c r="G20" s="14">
        <v>0</v>
      </c>
      <c r="H20" s="14">
        <v>0</v>
      </c>
      <c r="I20" s="14">
        <v>0</v>
      </c>
      <c r="J20" s="14">
        <v>0</v>
      </c>
      <c r="K20" s="14">
        <v>0</v>
      </c>
      <c r="L20" s="14">
        <v>0</v>
      </c>
      <c r="M20" s="18">
        <v>0</v>
      </c>
      <c r="N20" s="18">
        <v>0</v>
      </c>
      <c r="O20" s="18">
        <v>0</v>
      </c>
      <c r="P20" s="18">
        <v>0</v>
      </c>
      <c r="Q20" s="18">
        <v>0</v>
      </c>
      <c r="R20" s="18">
        <v>0</v>
      </c>
      <c r="S20" s="18">
        <v>0</v>
      </c>
      <c r="T20" s="18">
        <v>0</v>
      </c>
      <c r="U20" s="18">
        <v>0</v>
      </c>
      <c r="V20" s="18">
        <v>0</v>
      </c>
      <c r="W20" s="21" t="s">
        <v>73</v>
      </c>
      <c r="X20" s="19">
        <v>0.16898404</v>
      </c>
      <c r="Y20" s="18">
        <v>-16.969838720000002</v>
      </c>
      <c r="Z20" s="18">
        <v>-8.3588881799999992</v>
      </c>
      <c r="AA20" s="18">
        <v>-25.626874390000001</v>
      </c>
      <c r="AB20" s="21" t="s">
        <v>73</v>
      </c>
      <c r="AC20" s="19">
        <v>-2.9762489999999999E-2</v>
      </c>
      <c r="AD20" s="19">
        <v>-17.44299526</v>
      </c>
      <c r="AE20" s="19">
        <v>1.999999999679858E-8</v>
      </c>
      <c r="AF20" s="19">
        <v>-17.494390640000002</v>
      </c>
      <c r="AG20" s="19">
        <v>-9.9999999983992899E-9</v>
      </c>
      <c r="AH20" s="19">
        <v>-41.012008459999997</v>
      </c>
      <c r="AI20" s="19">
        <v>1.6</v>
      </c>
      <c r="AJ20" s="18">
        <v>0</v>
      </c>
      <c r="AK20" s="19">
        <v>-39.412008450000002</v>
      </c>
      <c r="AL20" s="19">
        <v>0</v>
      </c>
      <c r="AM20" s="19">
        <v>0</v>
      </c>
      <c r="AN20" s="19">
        <v>0</v>
      </c>
      <c r="AO20" s="19">
        <v>0</v>
      </c>
      <c r="AP20" s="19">
        <v>0</v>
      </c>
      <c r="AQ20" s="19">
        <v>0</v>
      </c>
      <c r="AR20" s="19">
        <v>0</v>
      </c>
      <c r="AS20" s="19">
        <v>-4.49781108</v>
      </c>
      <c r="AT20" s="19">
        <v>0</v>
      </c>
      <c r="AU20" s="19">
        <v>-4.49781108</v>
      </c>
      <c r="AV20" s="19">
        <v>0</v>
      </c>
      <c r="AW20" s="19">
        <v>0</v>
      </c>
      <c r="AX20" s="19">
        <v>0</v>
      </c>
      <c r="AY20" s="19">
        <v>-434.93122892999997</v>
      </c>
      <c r="AZ20" s="19">
        <v>-434.93122892999997</v>
      </c>
      <c r="BA20" s="19">
        <v>-53.53925796</v>
      </c>
      <c r="BB20" s="19">
        <v>0</v>
      </c>
      <c r="BC20" s="19">
        <v>0</v>
      </c>
      <c r="BD20" s="19">
        <v>0</v>
      </c>
      <c r="BE20" s="19">
        <v>-53.53925796</v>
      </c>
      <c r="BF20" s="19">
        <v>0</v>
      </c>
      <c r="BG20" s="19">
        <v>0</v>
      </c>
      <c r="BH20" s="19">
        <v>0</v>
      </c>
      <c r="BI20" s="19">
        <v>0</v>
      </c>
      <c r="BJ20" s="19">
        <v>0</v>
      </c>
      <c r="BK20" s="19">
        <v>0</v>
      </c>
      <c r="BL20" s="19">
        <v>-497.65967388000001</v>
      </c>
      <c r="BM20" s="19">
        <v>0.88349999999999995</v>
      </c>
      <c r="BN20" s="19">
        <v>1.2254370200000122</v>
      </c>
      <c r="BO20" s="19">
        <v>-495.55073685999997</v>
      </c>
      <c r="BP20" s="19">
        <v>0</v>
      </c>
      <c r="BQ20" s="19">
        <v>0</v>
      </c>
    </row>
    <row r="21" spans="1:69" s="16" customFormat="1" ht="15" customHeight="1" x14ac:dyDescent="0.3">
      <c r="A21" s="12" t="s">
        <v>74</v>
      </c>
      <c r="B21" s="13" t="str">
        <f>IF('Sumário | Summary'!P1=1,"Custo de locação, vendas e serviços prestados","Costs of Leases, Sales and Services")</f>
        <v>Custo de locação, vendas e serviços prestados</v>
      </c>
      <c r="C21" s="14">
        <v>-9.9559999999999995</v>
      </c>
      <c r="D21" s="14">
        <v>-29.528749000000001</v>
      </c>
      <c r="E21" s="14">
        <v>-18.638999999999999</v>
      </c>
      <c r="F21" s="14">
        <v>-95.173762999999994</v>
      </c>
      <c r="G21" s="14">
        <v>-153.29751199999998</v>
      </c>
      <c r="H21" s="14">
        <v>-16.895</v>
      </c>
      <c r="I21" s="14">
        <v>-32.146000000000001</v>
      </c>
      <c r="J21" s="14">
        <v>-27.654</v>
      </c>
      <c r="K21" s="14">
        <v>-20.611464000000002</v>
      </c>
      <c r="L21" s="14">
        <v>-97.306463999999991</v>
      </c>
      <c r="M21" s="14">
        <v>-25.983000000000001</v>
      </c>
      <c r="N21" s="14">
        <v>-31.149000000000001</v>
      </c>
      <c r="O21" s="14">
        <v>-46.253</v>
      </c>
      <c r="P21" s="14">
        <v>-25.606999999999999</v>
      </c>
      <c r="Q21" s="14">
        <v>-128.99200000000002</v>
      </c>
      <c r="R21" s="14">
        <v>-29.241</v>
      </c>
      <c r="S21" s="14">
        <v>-29.925000000000001</v>
      </c>
      <c r="T21" s="14">
        <v>-36.4</v>
      </c>
      <c r="U21" s="14">
        <v>-35.226999999999997</v>
      </c>
      <c r="V21" s="14">
        <v>-130.79300000000001</v>
      </c>
      <c r="W21" s="14">
        <v>-31.623999999999999</v>
      </c>
      <c r="X21" s="14">
        <v>-32.880000000000003</v>
      </c>
      <c r="Y21" s="14">
        <v>-52.027000000000001</v>
      </c>
      <c r="Z21" s="14">
        <v>-47.154000000000003</v>
      </c>
      <c r="AA21" s="15">
        <f t="shared" ref="AA21:BP21" si="1">SUM(AA15:AA20)</f>
        <v>-163.68523733550001</v>
      </c>
      <c r="AB21" s="15">
        <f t="shared" si="1"/>
        <v>-38.684996828450011</v>
      </c>
      <c r="AC21" s="15">
        <f t="shared" si="1"/>
        <v>-38.775441065350016</v>
      </c>
      <c r="AD21" s="15">
        <f t="shared" si="1"/>
        <v>-57.68622432201667</v>
      </c>
      <c r="AE21" s="15">
        <f t="shared" si="1"/>
        <v>-51.627660485350013</v>
      </c>
      <c r="AF21" s="15">
        <f t="shared" si="1"/>
        <v>-186.7959556111667</v>
      </c>
      <c r="AG21" s="15">
        <f t="shared" si="1"/>
        <v>-38.340900729999994</v>
      </c>
      <c r="AH21" s="15">
        <f t="shared" si="1"/>
        <v>-80.217436239999984</v>
      </c>
      <c r="AI21" s="15">
        <f t="shared" si="1"/>
        <v>-45.973003408286694</v>
      </c>
      <c r="AJ21" s="15">
        <f t="shared" si="1"/>
        <v>-40.403965929999984</v>
      </c>
      <c r="AK21" s="15">
        <f t="shared" si="1"/>
        <v>-204.93530629828666</v>
      </c>
      <c r="AL21" s="15">
        <f t="shared" si="1"/>
        <v>-39.67140793999998</v>
      </c>
      <c r="AM21" s="15">
        <f t="shared" si="1"/>
        <v>-39.85615989999998</v>
      </c>
      <c r="AN21" s="15">
        <f t="shared" si="1"/>
        <v>-40.612085094335939</v>
      </c>
      <c r="AO21" s="15">
        <f t="shared" si="1"/>
        <v>-43.12187156873334</v>
      </c>
      <c r="AP21" s="15">
        <f t="shared" si="1"/>
        <v>-98.073727603069273</v>
      </c>
      <c r="AQ21" s="15">
        <f t="shared" si="1"/>
        <v>-46.523669443040511</v>
      </c>
      <c r="AR21" s="15">
        <f t="shared" si="1"/>
        <v>-38.609761730000002</v>
      </c>
      <c r="AS21" s="15">
        <f t="shared" si="1"/>
        <v>-42.366588970000002</v>
      </c>
      <c r="AT21" s="15">
        <f t="shared" si="1"/>
        <v>-52.22860876</v>
      </c>
      <c r="AU21" s="15">
        <f t="shared" si="1"/>
        <v>-144.48018211304051</v>
      </c>
      <c r="AV21" s="15">
        <f t="shared" si="1"/>
        <v>-45.293604629999997</v>
      </c>
      <c r="AW21" s="15">
        <f t="shared" si="1"/>
        <v>-44.026339329999999</v>
      </c>
      <c r="AX21" s="15">
        <f t="shared" si="1"/>
        <v>-47.519516409999994</v>
      </c>
      <c r="AY21" s="15">
        <f t="shared" si="1"/>
        <v>-504.31763298999999</v>
      </c>
      <c r="AZ21" s="15">
        <f t="shared" si="1"/>
        <v>-640.17639771999995</v>
      </c>
      <c r="BA21" s="15">
        <f t="shared" si="1"/>
        <v>-100.26701021</v>
      </c>
      <c r="BB21" s="15">
        <f t="shared" si="1"/>
        <v>-49.476058659999993</v>
      </c>
      <c r="BC21" s="15">
        <f t="shared" si="1"/>
        <v>-48.02559767000001</v>
      </c>
      <c r="BD21" s="15">
        <f t="shared" si="1"/>
        <v>-56.47876116000004</v>
      </c>
      <c r="BE21" s="15">
        <f t="shared" si="1"/>
        <v>-254.24742770000006</v>
      </c>
      <c r="BF21" s="15">
        <f t="shared" si="1"/>
        <v>-49.891106060000006</v>
      </c>
      <c r="BG21" s="15">
        <f t="shared" si="1"/>
        <v>-48.229916379999977</v>
      </c>
      <c r="BH21" s="15">
        <f t="shared" si="1"/>
        <v>-44.408538579999998</v>
      </c>
      <c r="BI21" s="15">
        <f t="shared" si="1"/>
        <v>-47.412979730000018</v>
      </c>
      <c r="BJ21" s="15">
        <f t="shared" si="1"/>
        <v>-189.94254075000003</v>
      </c>
      <c r="BK21" s="15">
        <f t="shared" si="1"/>
        <v>-45.795143270000011</v>
      </c>
      <c r="BL21" s="15">
        <f t="shared" si="1"/>
        <v>-661.31266897530395</v>
      </c>
      <c r="BM21" s="15">
        <f t="shared" si="1"/>
        <v>-41.236038159999985</v>
      </c>
      <c r="BN21" s="15">
        <f t="shared" si="1"/>
        <v>-36.128740233970014</v>
      </c>
      <c r="BO21" s="15">
        <f t="shared" si="1"/>
        <v>-784.4725906392739</v>
      </c>
      <c r="BP21" s="15">
        <f t="shared" si="1"/>
        <v>-40.10827814000001</v>
      </c>
      <c r="BQ21" s="15">
        <f>SUM(BQ15:BQ20)</f>
        <v>-35.327731685000018</v>
      </c>
    </row>
    <row r="22" spans="1:69" s="16" customFormat="1" ht="15" customHeight="1" x14ac:dyDescent="0.3">
      <c r="A22" s="12" t="s">
        <v>75</v>
      </c>
      <c r="B22" s="13" t="str">
        <f>IF('Sumário | Summary'!P1=1,"Lucro Bruto","Gross Profit")</f>
        <v>Lucro Bruto</v>
      </c>
      <c r="C22" s="14">
        <v>39.546999999999997</v>
      </c>
      <c r="D22" s="14">
        <v>62.591377433717298</v>
      </c>
      <c r="E22" s="14">
        <v>41.487000000000009</v>
      </c>
      <c r="F22" s="14">
        <v>75.916769585553126</v>
      </c>
      <c r="G22" s="14">
        <v>219.54214701927043</v>
      </c>
      <c r="H22" s="14">
        <v>53.286000000000001</v>
      </c>
      <c r="I22" s="14">
        <v>56.394000000000005</v>
      </c>
      <c r="J22" s="14">
        <v>55.617000000000019</v>
      </c>
      <c r="K22" s="14">
        <v>59.690318599999998</v>
      </c>
      <c r="L22" s="14">
        <v>224.98731859999998</v>
      </c>
      <c r="M22" s="14">
        <v>68.368000000000009</v>
      </c>
      <c r="N22" s="14">
        <v>51.593000000000004</v>
      </c>
      <c r="O22" s="14">
        <v>69.234000000000009</v>
      </c>
      <c r="P22" s="14">
        <v>63.674000000000007</v>
      </c>
      <c r="Q22" s="14">
        <v>252.86899999999997</v>
      </c>
      <c r="R22" s="14">
        <v>53.126999999999995</v>
      </c>
      <c r="S22" s="14">
        <v>60.958999999999989</v>
      </c>
      <c r="T22" s="14">
        <v>68.930000000000007</v>
      </c>
      <c r="U22" s="14">
        <v>70.472708803000017</v>
      </c>
      <c r="V22" s="14">
        <v>253.48870880299995</v>
      </c>
      <c r="W22" s="14">
        <v>61.156907622903802</v>
      </c>
      <c r="X22" s="14">
        <v>57.391999999999975</v>
      </c>
      <c r="Y22" s="14">
        <v>71.885999999999996</v>
      </c>
      <c r="Z22" s="14">
        <v>67.131</v>
      </c>
      <c r="AA22" s="15">
        <f t="shared" ref="AA22:BP22" si="2">AA14+AA21</f>
        <v>257.56667028740384</v>
      </c>
      <c r="AB22" s="15">
        <f t="shared" si="2"/>
        <v>59.393003171549992</v>
      </c>
      <c r="AC22" s="15">
        <f t="shared" si="2"/>
        <v>68.133558934649983</v>
      </c>
      <c r="AD22" s="15">
        <f t="shared" si="2"/>
        <v>72.874775677983337</v>
      </c>
      <c r="AE22" s="15">
        <f t="shared" si="2"/>
        <v>59.096007884650014</v>
      </c>
      <c r="AF22" s="15">
        <f t="shared" si="2"/>
        <v>259.476505971042</v>
      </c>
      <c r="AG22" s="15">
        <f t="shared" si="2"/>
        <v>66.19328237000002</v>
      </c>
      <c r="AH22" s="15">
        <f t="shared" si="2"/>
        <v>85.714007460000005</v>
      </c>
      <c r="AI22" s="15">
        <f t="shared" si="2"/>
        <v>61.772926701713324</v>
      </c>
      <c r="AJ22" s="15">
        <f t="shared" si="2"/>
        <v>71.15088353000003</v>
      </c>
      <c r="AK22" s="15">
        <f t="shared" si="2"/>
        <v>284.83110007171337</v>
      </c>
      <c r="AL22" s="15">
        <f t="shared" si="2"/>
        <v>72.646440110000015</v>
      </c>
      <c r="AM22" s="15">
        <f t="shared" si="2"/>
        <v>74.494891610000025</v>
      </c>
      <c r="AN22" s="15">
        <f t="shared" si="2"/>
        <v>75.070799043316057</v>
      </c>
      <c r="AO22" s="15">
        <f t="shared" si="2"/>
        <v>85.351969882661663</v>
      </c>
      <c r="AP22" s="15">
        <f t="shared" si="2"/>
        <v>372.75189754597773</v>
      </c>
      <c r="AQ22" s="15">
        <f t="shared" si="2"/>
        <v>83.377444635012495</v>
      </c>
      <c r="AR22" s="15">
        <f t="shared" si="2"/>
        <v>54.448170551946987</v>
      </c>
      <c r="AS22" s="15">
        <f t="shared" si="2"/>
        <v>97.903387081329981</v>
      </c>
      <c r="AT22" s="15">
        <f t="shared" si="2"/>
        <v>70.866202620094725</v>
      </c>
      <c r="AU22" s="15">
        <f t="shared" si="2"/>
        <v>341.84365167838416</v>
      </c>
      <c r="AV22" s="15">
        <f t="shared" si="2"/>
        <v>73.109147727005023</v>
      </c>
      <c r="AW22" s="15">
        <f t="shared" si="2"/>
        <v>68.810019254477481</v>
      </c>
      <c r="AX22" s="15">
        <f t="shared" si="2"/>
        <v>77.101408568283972</v>
      </c>
      <c r="AY22" s="15">
        <f t="shared" si="2"/>
        <v>1445.9343307502343</v>
      </c>
      <c r="AZ22" s="15">
        <f t="shared" si="2"/>
        <v>1727.4527725922035</v>
      </c>
      <c r="BA22" s="15">
        <f t="shared" si="2"/>
        <v>53.049646294448024</v>
      </c>
      <c r="BB22" s="15">
        <f t="shared" si="2"/>
        <v>51.102672161142024</v>
      </c>
      <c r="BC22" s="15">
        <f t="shared" si="2"/>
        <v>57.436249029909945</v>
      </c>
      <c r="BD22" s="15">
        <f t="shared" si="2"/>
        <v>58.662571060888148</v>
      </c>
      <c r="BE22" s="15">
        <f t="shared" si="2"/>
        <v>228.84229750638809</v>
      </c>
      <c r="BF22" s="15">
        <f t="shared" si="2"/>
        <v>49.358862650051982</v>
      </c>
      <c r="BG22" s="15">
        <f t="shared" si="2"/>
        <v>55.742086173627996</v>
      </c>
      <c r="BH22" s="15">
        <f t="shared" si="2"/>
        <v>61.500712385880007</v>
      </c>
      <c r="BI22" s="15">
        <f t="shared" si="2"/>
        <v>68.163335954098983</v>
      </c>
      <c r="BJ22" s="15">
        <f t="shared" si="2"/>
        <v>234.7649971636589</v>
      </c>
      <c r="BK22" s="15">
        <f t="shared" si="2"/>
        <v>66.61183694002797</v>
      </c>
      <c r="BL22" s="15">
        <f t="shared" si="2"/>
        <v>420.11630194670806</v>
      </c>
      <c r="BM22" s="15">
        <f t="shared" si="2"/>
        <v>44.727763106359994</v>
      </c>
      <c r="BN22" s="15">
        <f t="shared" si="2"/>
        <v>41.814708342888004</v>
      </c>
      <c r="BO22" s="15">
        <f t="shared" si="2"/>
        <v>573.27061033598397</v>
      </c>
      <c r="BP22" s="15">
        <f t="shared" si="2"/>
        <v>43.65458799440799</v>
      </c>
      <c r="BQ22" s="15">
        <f>BQ14+BQ21</f>
        <v>39.043946734171953</v>
      </c>
    </row>
    <row r="23" spans="1:69" s="16" customFormat="1" ht="15" customHeight="1" x14ac:dyDescent="0.3">
      <c r="A23" s="12" t="s">
        <v>76</v>
      </c>
      <c r="B23" s="13" t="str">
        <f>IF('Sumário | Summary'!P1=1,"Margem Bruta","Gross Margin")</f>
        <v>Margem Bruta</v>
      </c>
      <c r="C23" s="22">
        <v>0.79888087590651069</v>
      </c>
      <c r="D23" s="22">
        <v>0.67945388110982818</v>
      </c>
      <c r="E23" s="22">
        <v>0.69000099790440084</v>
      </c>
      <c r="F23" s="22">
        <v>0.44372279657023839</v>
      </c>
      <c r="G23" s="22">
        <v>0.58883796749723794</v>
      </c>
      <c r="H23" s="22">
        <v>0.7592653282227384</v>
      </c>
      <c r="I23" s="22">
        <v>0.63693245990512759</v>
      </c>
      <c r="J23" s="22">
        <v>0.66790359188673143</v>
      </c>
      <c r="K23" s="22">
        <v>0.74332495079629779</v>
      </c>
      <c r="L23" s="22">
        <v>0.69808147332222226</v>
      </c>
      <c r="M23" s="22">
        <v>0.72461341162255832</v>
      </c>
      <c r="N23" s="22">
        <v>0.62354064441275292</v>
      </c>
      <c r="O23" s="22">
        <v>0.59949604717414084</v>
      </c>
      <c r="P23" s="22">
        <v>0.71318645624488974</v>
      </c>
      <c r="Q23" s="22">
        <v>0.66220169119129735</v>
      </c>
      <c r="R23" s="22">
        <v>0.64499562937062938</v>
      </c>
      <c r="S23" s="22">
        <v>0.67073412261784249</v>
      </c>
      <c r="T23" s="22">
        <v>0.6544194436532802</v>
      </c>
      <c r="U23" s="22">
        <v>0.66672566652331056</v>
      </c>
      <c r="V23" s="22">
        <v>0.65964292079524822</v>
      </c>
      <c r="W23" s="22">
        <v>0.65915401336089829</v>
      </c>
      <c r="X23" s="22">
        <v>0.63576745834810344</v>
      </c>
      <c r="Y23" s="22">
        <v>0.58012815339671053</v>
      </c>
      <c r="Z23" s="22">
        <v>0.58739992124950779</v>
      </c>
      <c r="AA23" s="23">
        <f t="shared" ref="AA23:BP23" si="3">AA22/AA14</f>
        <v>0.61143146328009579</v>
      </c>
      <c r="AB23" s="23">
        <f t="shared" si="3"/>
        <v>0.60556906922602405</v>
      </c>
      <c r="AC23" s="23">
        <f t="shared" si="3"/>
        <v>0.63730423944335823</v>
      </c>
      <c r="AD23" s="23">
        <f t="shared" si="3"/>
        <v>0.55816649442010502</v>
      </c>
      <c r="AE23" s="23">
        <f t="shared" si="3"/>
        <v>0.53372516242120605</v>
      </c>
      <c r="AF23" s="23">
        <f t="shared" si="3"/>
        <v>0.58143069158042437</v>
      </c>
      <c r="AG23" s="23">
        <f t="shared" si="3"/>
        <v>0.63322140573555619</v>
      </c>
      <c r="AH23" s="23">
        <f t="shared" si="3"/>
        <v>0.51656277766719638</v>
      </c>
      <c r="AI23" s="23">
        <f t="shared" si="3"/>
        <v>0.57332027890657289</v>
      </c>
      <c r="AJ23" s="23">
        <f t="shared" si="3"/>
        <v>0.63781076192041697</v>
      </c>
      <c r="AK23" s="23">
        <f t="shared" si="3"/>
        <v>0.58156520407921608</v>
      </c>
      <c r="AL23" s="23">
        <f t="shared" si="3"/>
        <v>0.64679337586365038</v>
      </c>
      <c r="AM23" s="23">
        <f t="shared" si="3"/>
        <v>0.6514578626632519</v>
      </c>
      <c r="AN23" s="23">
        <f t="shared" si="3"/>
        <v>0.64893609459104351</v>
      </c>
      <c r="AO23" s="23">
        <f t="shared" si="3"/>
        <v>0.66435290576216277</v>
      </c>
      <c r="AP23" s="23">
        <f t="shared" si="3"/>
        <v>0.79169840729883267</v>
      </c>
      <c r="AQ23" s="23">
        <f t="shared" si="3"/>
        <v>0.64185319138151442</v>
      </c>
      <c r="AR23" s="23">
        <f t="shared" si="3"/>
        <v>0.58509972462078652</v>
      </c>
      <c r="AS23" s="23">
        <f t="shared" si="3"/>
        <v>0.69796395377941389</v>
      </c>
      <c r="AT23" s="23">
        <f t="shared" si="3"/>
        <v>0.57570422201852678</v>
      </c>
      <c r="AU23" s="23">
        <f t="shared" si="3"/>
        <v>0.70291363064265233</v>
      </c>
      <c r="AV23" s="23">
        <f t="shared" si="3"/>
        <v>0.61746155618551968</v>
      </c>
      <c r="AW23" s="23">
        <f t="shared" si="3"/>
        <v>0.60982133877495981</v>
      </c>
      <c r="AX23" s="23">
        <f t="shared" si="3"/>
        <v>0.61868750036736941</v>
      </c>
      <c r="AY23" s="23">
        <f t="shared" si="3"/>
        <v>0.74140898593286941</v>
      </c>
      <c r="AZ23" s="23">
        <f t="shared" si="3"/>
        <v>0.72961289472726676</v>
      </c>
      <c r="BA23" s="23">
        <f t="shared" si="3"/>
        <v>0.34601358719891567</v>
      </c>
      <c r="BB23" s="23">
        <f t="shared" si="3"/>
        <v>0.50808626977026894</v>
      </c>
      <c r="BC23" s="23">
        <f t="shared" si="3"/>
        <v>0.54461637859750267</v>
      </c>
      <c r="BD23" s="23">
        <f t="shared" si="3"/>
        <v>0.50948317106796481</v>
      </c>
      <c r="BE23" s="23">
        <f t="shared" si="3"/>
        <v>0.47370557800338409</v>
      </c>
      <c r="BF23" s="23">
        <f t="shared" si="3"/>
        <v>0.49731867215241693</v>
      </c>
      <c r="BG23" s="23">
        <f t="shared" si="3"/>
        <v>0.53612592625477851</v>
      </c>
      <c r="BH23" s="23">
        <f t="shared" si="3"/>
        <v>0.58069254408845961</v>
      </c>
      <c r="BI23" s="23">
        <f t="shared" si="3"/>
        <v>0.58976906774228399</v>
      </c>
      <c r="BJ23" s="23">
        <f t="shared" si="3"/>
        <v>0.55276861417841261</v>
      </c>
      <c r="BK23" s="23">
        <f t="shared" si="3"/>
        <v>0.59259520018744738</v>
      </c>
      <c r="BL23" s="23">
        <f t="shared" si="3"/>
        <v>0.3884825663478596</v>
      </c>
      <c r="BM23" s="23">
        <f t="shared" si="3"/>
        <v>0.52030927492108481</v>
      </c>
      <c r="BN23" s="23">
        <f t="shared" si="3"/>
        <v>0.53647495852913929</v>
      </c>
      <c r="BO23" s="23">
        <f t="shared" si="3"/>
        <v>0.42222314935858823</v>
      </c>
      <c r="BP23" s="23">
        <f t="shared" si="3"/>
        <v>0.52116874707174821</v>
      </c>
      <c r="BQ23" s="23">
        <f>BQ22/BQ14</f>
        <v>0.52498407410026893</v>
      </c>
    </row>
    <row r="24" spans="1:69" s="16" customFormat="1" ht="15" customHeight="1" x14ac:dyDescent="0.3">
      <c r="A24" s="12" t="s">
        <v>77</v>
      </c>
      <c r="B24" s="24" t="str">
        <f>IF('Sumário | Summary'!P1=1,"Despesas/ Receitas Operacionais","Operating Expenses/Revenues")</f>
        <v>Despesas/ Receitas Operacionais</v>
      </c>
      <c r="C24" s="14">
        <v>-2.5860000000000003</v>
      </c>
      <c r="D24" s="14">
        <v>30.187919625349998</v>
      </c>
      <c r="E24" s="14">
        <v>-1.3929999999999989</v>
      </c>
      <c r="F24" s="14">
        <v>-5.5133559999999999</v>
      </c>
      <c r="G24" s="14">
        <v>22.156976705350004</v>
      </c>
      <c r="H24" s="14">
        <v>15.301</v>
      </c>
      <c r="I24" s="14">
        <v>-3.3150000000000004</v>
      </c>
      <c r="J24" s="14">
        <v>-2.7030000000000012</v>
      </c>
      <c r="K24" s="14">
        <v>-5.6657344999999983</v>
      </c>
      <c r="L24" s="14">
        <v>3.6172654999999971</v>
      </c>
      <c r="M24" s="14">
        <v>-5.8850000000000007</v>
      </c>
      <c r="N24" s="14">
        <v>-0.72499999999999865</v>
      </c>
      <c r="O24" s="14">
        <v>5.5649999999999995</v>
      </c>
      <c r="P24" s="14">
        <v>-7.6209999999999996</v>
      </c>
      <c r="Q24" s="14">
        <v>-8.6660000000000004</v>
      </c>
      <c r="R24" s="14">
        <v>-9.0539999999999985</v>
      </c>
      <c r="S24" s="14">
        <v>11.234</v>
      </c>
      <c r="T24" s="14">
        <v>1.9000000000000015</v>
      </c>
      <c r="U24" s="14">
        <v>2.378000000000001</v>
      </c>
      <c r="V24" s="14">
        <v>6.458000000000002</v>
      </c>
      <c r="W24" s="14">
        <v>36.484000000000002</v>
      </c>
      <c r="X24" s="14">
        <v>2.3079999999999981</v>
      </c>
      <c r="Y24" s="14">
        <v>-9.5460000000000012</v>
      </c>
      <c r="Z24" s="14">
        <v>1.092000000000001</v>
      </c>
      <c r="AA24" s="15">
        <f t="shared" ref="AA24:BP24" si="4">SUM(AA25:AA32)</f>
        <v>30.338000000000001</v>
      </c>
      <c r="AB24" s="15">
        <f t="shared" si="4"/>
        <v>-10.142999999999999</v>
      </c>
      <c r="AC24" s="15">
        <f t="shared" si="4"/>
        <v>-9.2390000000000025</v>
      </c>
      <c r="AD24" s="15">
        <f t="shared" si="4"/>
        <v>250.56099999999998</v>
      </c>
      <c r="AE24" s="15">
        <f t="shared" si="4"/>
        <v>-19.583999999999996</v>
      </c>
      <c r="AF24" s="15">
        <f t="shared" si="4"/>
        <v>211.595</v>
      </c>
      <c r="AG24" s="15">
        <f t="shared" si="4"/>
        <v>-3.0019999999999989</v>
      </c>
      <c r="AH24" s="15">
        <f t="shared" si="4"/>
        <v>-0.25799999999999912</v>
      </c>
      <c r="AI24" s="15">
        <f t="shared" si="4"/>
        <v>-37.313999999999993</v>
      </c>
      <c r="AJ24" s="15">
        <f t="shared" si="4"/>
        <v>-31.268000000000001</v>
      </c>
      <c r="AK24" s="15">
        <f t="shared" si="4"/>
        <v>-71.842000000000013</v>
      </c>
      <c r="AL24" s="15">
        <f t="shared" si="4"/>
        <v>-8.6419999999999995</v>
      </c>
      <c r="AM24" s="15">
        <f t="shared" si="4"/>
        <v>-30.564999999999998</v>
      </c>
      <c r="AN24" s="15">
        <f t="shared" si="4"/>
        <v>-5.4179999999999993</v>
      </c>
      <c r="AO24" s="15">
        <f t="shared" si="4"/>
        <v>8.1490000000000009</v>
      </c>
      <c r="AP24" s="15">
        <f t="shared" si="4"/>
        <v>-36.475999999999999</v>
      </c>
      <c r="AQ24" s="15">
        <f t="shared" si="4"/>
        <v>-11.17339842</v>
      </c>
      <c r="AR24" s="15">
        <f t="shared" si="4"/>
        <v>-23.493709610983657</v>
      </c>
      <c r="AS24" s="15">
        <f t="shared" si="4"/>
        <v>-18.097999999999999</v>
      </c>
      <c r="AT24" s="15">
        <f t="shared" si="4"/>
        <v>-9.6280000000000001</v>
      </c>
      <c r="AU24" s="15">
        <f t="shared" si="4"/>
        <v>-62.362999999999992</v>
      </c>
      <c r="AV24" s="15">
        <f t="shared" si="4"/>
        <v>-12.770999999999999</v>
      </c>
      <c r="AW24" s="15">
        <f t="shared" si="4"/>
        <v>-7.9520000000000017</v>
      </c>
      <c r="AX24" s="15">
        <f t="shared" si="4"/>
        <v>-1.1610000000000005</v>
      </c>
      <c r="AY24" s="15">
        <f t="shared" si="4"/>
        <v>-8.8413804211737599</v>
      </c>
      <c r="AZ24" s="15">
        <f t="shared" si="4"/>
        <v>-30.725380421173767</v>
      </c>
      <c r="BA24" s="15">
        <f t="shared" si="4"/>
        <v>-5.4015542673060075</v>
      </c>
      <c r="BB24" s="15">
        <f t="shared" si="4"/>
        <v>-17.620150549950004</v>
      </c>
      <c r="BC24" s="15">
        <f t="shared" si="4"/>
        <v>-9.5799571879392555</v>
      </c>
      <c r="BD24" s="15">
        <f t="shared" si="4"/>
        <v>-44.713755697068208</v>
      </c>
      <c r="BE24" s="15">
        <f t="shared" si="4"/>
        <v>-77.315417702263488</v>
      </c>
      <c r="BF24" s="15">
        <f t="shared" si="4"/>
        <v>-12.315321079180009</v>
      </c>
      <c r="BG24" s="15">
        <f t="shared" si="4"/>
        <v>-17.655102958074973</v>
      </c>
      <c r="BH24" s="15">
        <f t="shared" si="4"/>
        <v>-13.530348432558263</v>
      </c>
      <c r="BI24" s="15">
        <f t="shared" si="4"/>
        <v>-18.900728014097123</v>
      </c>
      <c r="BJ24" s="15">
        <f t="shared" si="4"/>
        <v>-62.401500483910375</v>
      </c>
      <c r="BK24" s="15">
        <f t="shared" si="4"/>
        <v>-14.606920875670017</v>
      </c>
      <c r="BL24" s="15">
        <f t="shared" si="4"/>
        <v>284.98291458746229</v>
      </c>
      <c r="BM24" s="15">
        <f t="shared" si="4"/>
        <v>-17.031739149410097</v>
      </c>
      <c r="BN24" s="15">
        <f t="shared" si="4"/>
        <v>8.019157992627413</v>
      </c>
      <c r="BO24" s="15">
        <f t="shared" si="4"/>
        <v>261.36341255500963</v>
      </c>
      <c r="BP24" s="15">
        <f t="shared" si="4"/>
        <v>-0.76354885250701798</v>
      </c>
      <c r="BQ24" s="15">
        <f>SUM(BQ25:BQ32)</f>
        <v>1.484815107017905</v>
      </c>
    </row>
    <row r="25" spans="1:69" s="16" customFormat="1" ht="15" customHeight="1" x14ac:dyDescent="0.3">
      <c r="A25" t="s">
        <v>78</v>
      </c>
      <c r="B25" s="25" t="str">
        <f>IF('Sumário | Summary'!P1=1,"Comerciais ","Commercial")</f>
        <v xml:space="preserve">Comerciais </v>
      </c>
      <c r="C25" s="18">
        <v>-1.748</v>
      </c>
      <c r="D25" s="18">
        <v>-5.0394855999999999</v>
      </c>
      <c r="E25" s="18">
        <v>-1.2929999999999999</v>
      </c>
      <c r="F25" s="18">
        <v>-1.918655</v>
      </c>
      <c r="G25" s="18">
        <v>-9.9991405999999987</v>
      </c>
      <c r="H25" s="18">
        <v>-2.0419999999999998</v>
      </c>
      <c r="I25" s="18">
        <v>-2.0259999999999998</v>
      </c>
      <c r="J25" s="18">
        <v>-2.036</v>
      </c>
      <c r="K25" s="18">
        <v>-5.1416785000000003</v>
      </c>
      <c r="L25" s="18">
        <v>-11.2456785</v>
      </c>
      <c r="M25" s="18">
        <v>-3.613</v>
      </c>
      <c r="N25" s="18">
        <v>-2.3809999999999998</v>
      </c>
      <c r="O25" s="18">
        <v>-2.7429999999999999</v>
      </c>
      <c r="P25" s="18">
        <v>-3.1739999999999999</v>
      </c>
      <c r="Q25" s="18">
        <v>-11.911</v>
      </c>
      <c r="R25" s="18">
        <v>-5.3920000000000003</v>
      </c>
      <c r="S25" s="18">
        <v>-2.133</v>
      </c>
      <c r="T25" s="18">
        <v>-1.4</v>
      </c>
      <c r="U25" s="18">
        <v>-0.97</v>
      </c>
      <c r="V25" s="18">
        <v>-9.8950000000000014</v>
      </c>
      <c r="W25" s="18">
        <v>-0.61</v>
      </c>
      <c r="X25" s="18">
        <v>-2.3370000000000002</v>
      </c>
      <c r="Y25" s="18">
        <v>-1.266</v>
      </c>
      <c r="Z25" s="18">
        <v>-7.4450000000000003</v>
      </c>
      <c r="AA25" s="18">
        <v>-11.657999999999999</v>
      </c>
      <c r="AB25" s="19">
        <v>-6.9779999999999998</v>
      </c>
      <c r="AC25" s="19">
        <v>-2.569</v>
      </c>
      <c r="AD25" s="19">
        <v>-3.5950000000000002</v>
      </c>
      <c r="AE25" s="19">
        <v>-3.9039999999999999</v>
      </c>
      <c r="AF25" s="19">
        <v>-17.045999999999999</v>
      </c>
      <c r="AG25" s="19">
        <v>-4.8840000000000003</v>
      </c>
      <c r="AH25" s="19">
        <v>-2.419</v>
      </c>
      <c r="AI25" s="19">
        <v>-3.597</v>
      </c>
      <c r="AJ25" s="19">
        <v>-6.3979999999999997</v>
      </c>
      <c r="AK25" s="19">
        <v>-17.297999999999998</v>
      </c>
      <c r="AL25" s="19">
        <v>-4.2690000000000001</v>
      </c>
      <c r="AM25" s="19">
        <v>-2.8879999999999999</v>
      </c>
      <c r="AN25" s="19">
        <v>-5.9729999999999999</v>
      </c>
      <c r="AO25" s="19">
        <v>-2.1480000000000001</v>
      </c>
      <c r="AP25" s="19">
        <v>-15.278</v>
      </c>
      <c r="AQ25" s="19">
        <v>-4.3040000000000003</v>
      </c>
      <c r="AR25" s="19">
        <v>-12.683999999999999</v>
      </c>
      <c r="AS25" s="19">
        <v>-8.3460000000000001</v>
      </c>
      <c r="AT25" s="19">
        <v>-1.827</v>
      </c>
      <c r="AU25" s="19">
        <v>-27.161000000000001</v>
      </c>
      <c r="AV25" s="19">
        <v>-3.028</v>
      </c>
      <c r="AW25" s="19">
        <v>-2.6819999999999999</v>
      </c>
      <c r="AX25" s="19">
        <v>-2.6259999999999999</v>
      </c>
      <c r="AY25" s="19">
        <v>-47.459807460490168</v>
      </c>
      <c r="AZ25" s="19">
        <v>-55.795807460490167</v>
      </c>
      <c r="BA25" s="19">
        <v>-1.9395536500000001</v>
      </c>
      <c r="BB25" s="19">
        <v>-4.4483282500000003</v>
      </c>
      <c r="BC25" s="19">
        <v>-1.8254472500000012</v>
      </c>
      <c r="BD25" s="19">
        <v>-7.0910759700000021</v>
      </c>
      <c r="BE25" s="19">
        <v>-15.304405120000004</v>
      </c>
      <c r="BF25" s="19">
        <v>-0.59105101000000038</v>
      </c>
      <c r="BG25" s="19">
        <v>-2.9598152900000003</v>
      </c>
      <c r="BH25" s="19">
        <v>-2.2617423199999993</v>
      </c>
      <c r="BI25" s="19">
        <v>-3.0686145000000007</v>
      </c>
      <c r="BJ25" s="19">
        <v>-8.8812231200000014</v>
      </c>
      <c r="BK25" s="19">
        <v>-5.2320314699999999</v>
      </c>
      <c r="BL25" s="19">
        <v>-7.9894616999999979</v>
      </c>
      <c r="BM25" s="19">
        <v>-3.5573770699999985</v>
      </c>
      <c r="BN25" s="19">
        <v>-1.2857666446500007</v>
      </c>
      <c r="BO25" s="19">
        <v>-18.064636884649996</v>
      </c>
      <c r="BP25" s="19">
        <v>-1.5897426000000001</v>
      </c>
      <c r="BQ25" s="19">
        <v>-3.8286911275</v>
      </c>
    </row>
    <row r="26" spans="1:69" s="16" customFormat="1" ht="15" customHeight="1" x14ac:dyDescent="0.3">
      <c r="A26" t="s">
        <v>79</v>
      </c>
      <c r="B26" s="20" t="str">
        <f>IF('Sumário | Summary'!P1=1,"Gerais e Administrativas","General and Administrative")</f>
        <v>Gerais e Administrativas</v>
      </c>
      <c r="C26" s="18">
        <v>-3.3220000000000001</v>
      </c>
      <c r="D26" s="18">
        <v>-3.2909303746499998</v>
      </c>
      <c r="E26" s="18">
        <v>-3.7029999999999998</v>
      </c>
      <c r="F26" s="18">
        <v>-6.1768299999999998</v>
      </c>
      <c r="G26" s="18">
        <v>-16.49276037465</v>
      </c>
      <c r="H26" s="18">
        <v>-3.5630000000000002</v>
      </c>
      <c r="I26" s="18">
        <v>-4.915</v>
      </c>
      <c r="J26" s="18">
        <v>-6.4080000000000004</v>
      </c>
      <c r="K26" s="18">
        <v>-3.5858029999999999</v>
      </c>
      <c r="L26" s="18">
        <v>-18.471802999999998</v>
      </c>
      <c r="M26" s="18">
        <v>-5.9080000000000004</v>
      </c>
      <c r="N26" s="18">
        <v>-4.71</v>
      </c>
      <c r="O26" s="18">
        <v>-6.1589999999999998</v>
      </c>
      <c r="P26" s="18">
        <v>-6.7149999999999999</v>
      </c>
      <c r="Q26" s="18">
        <v>-23.492000000000001</v>
      </c>
      <c r="R26" s="18">
        <v>-6.1479999999999997</v>
      </c>
      <c r="S26" s="18">
        <v>-6.5220000000000002</v>
      </c>
      <c r="T26" s="18">
        <v>-4.8</v>
      </c>
      <c r="U26" s="18">
        <v>-6.3609999999999998</v>
      </c>
      <c r="V26" s="18">
        <v>-23.831</v>
      </c>
      <c r="W26" s="18">
        <v>-4.7279999999999998</v>
      </c>
      <c r="X26" s="18">
        <v>-4.9400000000000004</v>
      </c>
      <c r="Y26" s="18">
        <v>-16.367999999999999</v>
      </c>
      <c r="Z26" s="18">
        <v>-5.5549999999999997</v>
      </c>
      <c r="AA26" s="18">
        <v>-31.591000000000001</v>
      </c>
      <c r="AB26" s="19">
        <v>-7.2389999999999999</v>
      </c>
      <c r="AC26" s="19">
        <v>-8.9260000000000002</v>
      </c>
      <c r="AD26" s="19">
        <v>-10.047000000000001</v>
      </c>
      <c r="AE26" s="19">
        <v>-9.1950000000000003</v>
      </c>
      <c r="AF26" s="19">
        <v>-35.406999999999996</v>
      </c>
      <c r="AG26" s="19">
        <v>-5.0730000000000004</v>
      </c>
      <c r="AH26" s="19">
        <v>-6.6909999999999998</v>
      </c>
      <c r="AI26" s="19">
        <v>-8.8829999999999991</v>
      </c>
      <c r="AJ26" s="19">
        <v>-8.3230000000000004</v>
      </c>
      <c r="AK26" s="19">
        <v>-28.97</v>
      </c>
      <c r="AL26" s="19">
        <v>-1.4219999999999999</v>
      </c>
      <c r="AM26" s="19">
        <v>-5.7679999999999998</v>
      </c>
      <c r="AN26" s="19">
        <v>-8.0180000000000007</v>
      </c>
      <c r="AO26" s="19">
        <v>-11.500999999999999</v>
      </c>
      <c r="AP26" s="19">
        <v>-26.709</v>
      </c>
      <c r="AQ26" s="19">
        <v>-6.2130000000000001</v>
      </c>
      <c r="AR26" s="19">
        <v>-4.9626098358399959</v>
      </c>
      <c r="AS26" s="19">
        <v>-5.3609999999999998</v>
      </c>
      <c r="AT26" s="19">
        <v>-8.51</v>
      </c>
      <c r="AU26" s="19">
        <v>-25.015999999999998</v>
      </c>
      <c r="AV26" s="19">
        <v>-7.0350000000000001</v>
      </c>
      <c r="AW26" s="19">
        <v>-8.09</v>
      </c>
      <c r="AX26" s="19">
        <v>-2.2450000000000001</v>
      </c>
      <c r="AY26" s="19">
        <v>-11.95371925000001</v>
      </c>
      <c r="AZ26" s="19">
        <v>-29.323719250000011</v>
      </c>
      <c r="BA26" s="19">
        <v>-6.4426020130000037</v>
      </c>
      <c r="BB26" s="19">
        <v>-6.4516352031199986</v>
      </c>
      <c r="BC26" s="19">
        <v>-10.431337046680003</v>
      </c>
      <c r="BD26" s="19">
        <v>-6.1546340681799991</v>
      </c>
      <c r="BE26" s="19">
        <v>-29.480208330980005</v>
      </c>
      <c r="BF26" s="19">
        <v>-7.5634105599999994</v>
      </c>
      <c r="BG26" s="19">
        <v>-7.4827465295199991</v>
      </c>
      <c r="BH26" s="19">
        <v>-7.0491880998800003</v>
      </c>
      <c r="BI26" s="19">
        <v>-10.882010128407998</v>
      </c>
      <c r="BJ26" s="19">
        <v>-32.977355317807998</v>
      </c>
      <c r="BK26" s="19">
        <v>-6.9695348527480014</v>
      </c>
      <c r="BL26" s="19">
        <v>-12.959601108179999</v>
      </c>
      <c r="BM26" s="19">
        <v>-7.1811440206720034</v>
      </c>
      <c r="BN26" s="19">
        <v>-16.602976712677002</v>
      </c>
      <c r="BO26" s="19">
        <v>-43.713256694277007</v>
      </c>
      <c r="BP26" s="19">
        <v>-7.4469660699999984</v>
      </c>
      <c r="BQ26" s="19">
        <v>-5.7603898229499988</v>
      </c>
    </row>
    <row r="27" spans="1:69" s="16" customFormat="1" ht="15" customHeight="1" x14ac:dyDescent="0.3">
      <c r="A27" s="12" t="s">
        <v>80</v>
      </c>
      <c r="B27" s="26" t="str">
        <f>IF('Sumário | Summary'!P1=1,"Plano de Opções","Options Plan")</f>
        <v>Plano de Opções</v>
      </c>
      <c r="C27" s="18">
        <v>0</v>
      </c>
      <c r="D27" s="18">
        <v>0</v>
      </c>
      <c r="E27" s="18">
        <v>0</v>
      </c>
      <c r="F27" s="18">
        <v>0</v>
      </c>
      <c r="G27" s="18">
        <v>0</v>
      </c>
      <c r="H27" s="18">
        <v>0</v>
      </c>
      <c r="I27" s="18">
        <v>0</v>
      </c>
      <c r="J27" s="18">
        <v>0</v>
      </c>
      <c r="K27" s="19">
        <v>0</v>
      </c>
      <c r="L27" s="18">
        <v>0</v>
      </c>
      <c r="M27" s="18">
        <v>0</v>
      </c>
      <c r="N27" s="18">
        <v>0</v>
      </c>
      <c r="O27" s="18">
        <v>0</v>
      </c>
      <c r="P27" s="18">
        <v>0</v>
      </c>
      <c r="Q27" s="18">
        <v>0</v>
      </c>
      <c r="R27" s="18">
        <v>0</v>
      </c>
      <c r="S27" s="18">
        <v>0</v>
      </c>
      <c r="T27" s="18">
        <v>0</v>
      </c>
      <c r="U27" s="18">
        <v>0</v>
      </c>
      <c r="V27" s="18">
        <v>0</v>
      </c>
      <c r="W27" s="18">
        <v>0</v>
      </c>
      <c r="X27" s="18">
        <v>0</v>
      </c>
      <c r="Y27" s="18">
        <v>0</v>
      </c>
      <c r="Z27" s="18">
        <v>0</v>
      </c>
      <c r="AA27" s="18">
        <v>0</v>
      </c>
      <c r="AB27" s="19">
        <v>0</v>
      </c>
      <c r="AC27" s="19">
        <v>0</v>
      </c>
      <c r="AD27" s="19">
        <v>0</v>
      </c>
      <c r="AE27" s="19">
        <v>0</v>
      </c>
      <c r="AF27" s="19">
        <v>0</v>
      </c>
      <c r="AG27" s="19">
        <v>0</v>
      </c>
      <c r="AH27" s="19">
        <v>0</v>
      </c>
      <c r="AI27" s="19">
        <v>0</v>
      </c>
      <c r="AJ27" s="19">
        <v>0</v>
      </c>
      <c r="AK27" s="19">
        <v>0</v>
      </c>
      <c r="AL27" s="19">
        <v>0</v>
      </c>
      <c r="AM27" s="19">
        <v>0</v>
      </c>
      <c r="AN27" s="19">
        <v>0</v>
      </c>
      <c r="AO27" s="19">
        <v>0</v>
      </c>
      <c r="AP27" s="19">
        <v>0</v>
      </c>
      <c r="AQ27" s="19">
        <v>0</v>
      </c>
      <c r="AR27" s="19">
        <v>0</v>
      </c>
      <c r="AS27" s="19">
        <v>0</v>
      </c>
      <c r="AT27" s="19">
        <v>0</v>
      </c>
      <c r="AU27" s="19">
        <v>0</v>
      </c>
      <c r="AV27" s="19">
        <v>0</v>
      </c>
      <c r="AW27" s="19">
        <v>0</v>
      </c>
      <c r="AX27" s="19">
        <v>0</v>
      </c>
      <c r="AY27" s="19">
        <v>0</v>
      </c>
      <c r="AZ27" s="19">
        <v>0</v>
      </c>
      <c r="BA27" s="19">
        <v>0</v>
      </c>
      <c r="BB27" s="19">
        <v>0</v>
      </c>
      <c r="BC27" s="19">
        <v>0</v>
      </c>
      <c r="BD27" s="19">
        <v>0</v>
      </c>
      <c r="BE27" s="19">
        <v>0</v>
      </c>
      <c r="BF27" s="19">
        <v>0</v>
      </c>
      <c r="BG27" s="19">
        <v>0</v>
      </c>
      <c r="BH27" s="19">
        <v>0</v>
      </c>
      <c r="BI27" s="19">
        <v>0</v>
      </c>
      <c r="BJ27" s="19">
        <v>0</v>
      </c>
      <c r="BK27" s="19">
        <v>0</v>
      </c>
      <c r="BL27" s="19">
        <v>0</v>
      </c>
      <c r="BM27" s="19">
        <v>0</v>
      </c>
      <c r="BN27" s="19">
        <v>0</v>
      </c>
      <c r="BO27" s="19">
        <v>0</v>
      </c>
      <c r="BP27" s="19">
        <v>0</v>
      </c>
      <c r="BQ27" s="19">
        <v>0</v>
      </c>
    </row>
    <row r="28" spans="1:69" s="16" customFormat="1" ht="15" customHeight="1" x14ac:dyDescent="0.3">
      <c r="A28" t="s">
        <v>81</v>
      </c>
      <c r="B28" s="26" t="str">
        <f>IF('Sumário | Summary'!P1=1,"Remuneração da administração","Management Compensation")</f>
        <v>Remuneração da administração</v>
      </c>
      <c r="C28" s="18">
        <v>-1.085</v>
      </c>
      <c r="D28" s="18">
        <v>-1.1328026</v>
      </c>
      <c r="E28" s="18">
        <v>-1.159</v>
      </c>
      <c r="F28" s="18">
        <v>-1.1584369999999999</v>
      </c>
      <c r="G28" s="18">
        <v>-4.5352395999999997</v>
      </c>
      <c r="H28" s="18">
        <v>-1.008</v>
      </c>
      <c r="I28" s="18">
        <v>-1.0189999999999999</v>
      </c>
      <c r="J28" s="18">
        <v>-1.157</v>
      </c>
      <c r="K28" s="18">
        <v>-1.230642</v>
      </c>
      <c r="L28" s="18">
        <v>-4.4146420000000006</v>
      </c>
      <c r="M28" s="18">
        <v>-1.23</v>
      </c>
      <c r="N28" s="18">
        <v>-1.292</v>
      </c>
      <c r="O28" s="18">
        <v>-1.32</v>
      </c>
      <c r="P28" s="18">
        <v>-1.319</v>
      </c>
      <c r="Q28" s="18">
        <v>-5.1610000000000005</v>
      </c>
      <c r="R28" s="18">
        <v>-1.3180000000000001</v>
      </c>
      <c r="S28" s="18">
        <v>-1.3109999999999999</v>
      </c>
      <c r="T28" s="18">
        <v>-1.5</v>
      </c>
      <c r="U28" s="18">
        <v>-1.857</v>
      </c>
      <c r="V28" s="18">
        <v>-5.9859999999999998</v>
      </c>
      <c r="W28" s="18">
        <v>-1.7669999999999999</v>
      </c>
      <c r="X28" s="18">
        <v>-1.8029999999999999</v>
      </c>
      <c r="Y28" s="18">
        <v>-1.617</v>
      </c>
      <c r="Z28" s="18">
        <v>-3.153</v>
      </c>
      <c r="AA28" s="18">
        <v>-8.34</v>
      </c>
      <c r="AB28" s="19">
        <v>-1.552</v>
      </c>
      <c r="AC28" s="19">
        <v>-1.8979999999999999</v>
      </c>
      <c r="AD28" s="19">
        <v>-1.8939999999999999</v>
      </c>
      <c r="AE28" s="19">
        <v>-1.3660000000000001</v>
      </c>
      <c r="AF28" s="19">
        <v>-6.71</v>
      </c>
      <c r="AG28" s="19">
        <v>-1.3220000000000001</v>
      </c>
      <c r="AH28" s="19">
        <v>-1.3180000000000001</v>
      </c>
      <c r="AI28" s="19">
        <v>-1.331</v>
      </c>
      <c r="AJ28" s="19">
        <v>-1.339</v>
      </c>
      <c r="AK28" s="19">
        <v>-5.31</v>
      </c>
      <c r="AL28" s="19">
        <v>-1.3959999999999999</v>
      </c>
      <c r="AM28" s="19">
        <v>-1.883</v>
      </c>
      <c r="AN28" s="19">
        <v>-1.165</v>
      </c>
      <c r="AO28" s="19">
        <v>-1.179</v>
      </c>
      <c r="AP28" s="19">
        <v>-5.6230000000000002</v>
      </c>
      <c r="AQ28" s="19">
        <v>-1.179</v>
      </c>
      <c r="AR28" s="19">
        <v>-1.1792556000000003</v>
      </c>
      <c r="AS28" s="19">
        <v>-1.179</v>
      </c>
      <c r="AT28" s="19">
        <v>-1.179</v>
      </c>
      <c r="AU28" s="19">
        <v>-5.8570000000000002</v>
      </c>
      <c r="AV28" s="19">
        <v>-3.3119999999999998</v>
      </c>
      <c r="AW28" s="19">
        <v>-1.034</v>
      </c>
      <c r="AX28" s="19">
        <v>-1.002</v>
      </c>
      <c r="AY28" s="19">
        <v>-1.0115999999999998</v>
      </c>
      <c r="AZ28" s="19">
        <v>-6.3595999999999995</v>
      </c>
      <c r="BA28" s="19">
        <v>-1.8455999999999999</v>
      </c>
      <c r="BB28" s="19">
        <v>-2.3469711500000003</v>
      </c>
      <c r="BC28" s="19">
        <v>-1.2275999999999994</v>
      </c>
      <c r="BD28" s="19">
        <v>-1.0835999999999995</v>
      </c>
      <c r="BE28" s="19">
        <v>-6.5037711499999986</v>
      </c>
      <c r="BF28" s="19">
        <v>-2</v>
      </c>
      <c r="BG28" s="19">
        <v>-1.0595999999999994</v>
      </c>
      <c r="BH28" s="19">
        <v>-1.0813118900000001</v>
      </c>
      <c r="BI28" s="19">
        <v>-1.1126057099999989</v>
      </c>
      <c r="BJ28" s="19">
        <v>-5.2535175999999986</v>
      </c>
      <c r="BK28" s="19">
        <v>-2.4001218799999999</v>
      </c>
      <c r="BL28" s="19">
        <v>-1.2800057099999995</v>
      </c>
      <c r="BM28" s="19">
        <v>-2.5400057099999991</v>
      </c>
      <c r="BN28" s="19">
        <v>-1.0395610399999995</v>
      </c>
      <c r="BO28" s="19">
        <v>-7.2596943399999985</v>
      </c>
      <c r="BP28" s="19">
        <v>-1.32800571</v>
      </c>
      <c r="BQ28" s="19">
        <v>-3.0768852</v>
      </c>
    </row>
    <row r="29" spans="1:69" s="16" customFormat="1" ht="15" customHeight="1" x14ac:dyDescent="0.3">
      <c r="A29" t="s">
        <v>82</v>
      </c>
      <c r="B29" s="17" t="str">
        <f>IF('Sumário | Summary'!P1=1,"Participação de empregados e administradores","Profit Sharing")</f>
        <v>Participação de empregados e administradores</v>
      </c>
      <c r="C29" s="18">
        <v>-1.44</v>
      </c>
      <c r="D29" s="18">
        <v>-1.3260000000000001</v>
      </c>
      <c r="E29" s="18">
        <v>-1.38</v>
      </c>
      <c r="F29" s="18">
        <v>-4.78</v>
      </c>
      <c r="G29" s="18">
        <v>-8.9260000000000002</v>
      </c>
      <c r="H29" s="18">
        <v>-1.6950000000000001</v>
      </c>
      <c r="I29" s="18">
        <v>-2.633</v>
      </c>
      <c r="J29" s="18">
        <v>-1.6950000000000001</v>
      </c>
      <c r="K29" s="18">
        <v>-1.945397</v>
      </c>
      <c r="L29" s="18">
        <v>-7.9683970000000004</v>
      </c>
      <c r="M29" s="18">
        <v>-4.72</v>
      </c>
      <c r="N29" s="18">
        <v>-2.25</v>
      </c>
      <c r="O29" s="18">
        <v>-2.25</v>
      </c>
      <c r="P29" s="18">
        <v>-3.0179999999999998</v>
      </c>
      <c r="Q29" s="18">
        <v>-12.238</v>
      </c>
      <c r="R29" s="18">
        <v>-1.141</v>
      </c>
      <c r="S29" s="18">
        <v>-1.1160000000000001</v>
      </c>
      <c r="T29" s="18">
        <v>-1.1000000000000001</v>
      </c>
      <c r="U29" s="18">
        <v>-0.2</v>
      </c>
      <c r="V29" s="18">
        <v>-3.5570000000000004</v>
      </c>
      <c r="W29" s="18">
        <v>1.7569999999999999</v>
      </c>
      <c r="X29" s="18">
        <v>-2.0699999999999998</v>
      </c>
      <c r="Y29" s="18">
        <v>-2.0699999999999998</v>
      </c>
      <c r="Z29" s="18">
        <v>1.038</v>
      </c>
      <c r="AA29" s="18">
        <v>-1.345</v>
      </c>
      <c r="AB29" s="19">
        <v>-1.746</v>
      </c>
      <c r="AC29" s="19">
        <v>-1.484</v>
      </c>
      <c r="AD29" s="19">
        <v>-1.286</v>
      </c>
      <c r="AE29" s="19">
        <v>-2.1179999999999999</v>
      </c>
      <c r="AF29" s="19">
        <v>-6.6340000000000003</v>
      </c>
      <c r="AG29" s="19">
        <v>-0.90700000000000003</v>
      </c>
      <c r="AH29" s="19">
        <v>-2.0449999999999999</v>
      </c>
      <c r="AI29" s="19">
        <v>-4.1719999999999997</v>
      </c>
      <c r="AJ29" s="19">
        <v>-1.748</v>
      </c>
      <c r="AK29" s="19">
        <v>-8.8719999999999999</v>
      </c>
      <c r="AL29" s="19">
        <v>-1.5620000000000001</v>
      </c>
      <c r="AM29" s="19">
        <v>-1.7470000000000001</v>
      </c>
      <c r="AN29" s="19">
        <v>-1.5469999999999999</v>
      </c>
      <c r="AO29" s="19">
        <v>-7.3570000000000002</v>
      </c>
      <c r="AP29" s="19">
        <v>-12.212999999999999</v>
      </c>
      <c r="AQ29" s="19">
        <v>4.2999999999999997E-2</v>
      </c>
      <c r="AR29" s="19">
        <v>-1.9846669799999994</v>
      </c>
      <c r="AS29" s="19">
        <v>-2.8639999999999999</v>
      </c>
      <c r="AT29" s="19">
        <v>-2.2770000000000001</v>
      </c>
      <c r="AU29" s="19">
        <v>-5.9429999999999996</v>
      </c>
      <c r="AV29" s="19">
        <v>5.7960000000000003</v>
      </c>
      <c r="AW29" s="19">
        <v>-1.5820000000000001</v>
      </c>
      <c r="AX29" s="19">
        <v>-1.581</v>
      </c>
      <c r="AY29" s="19">
        <v>-8.2839369999999999</v>
      </c>
      <c r="AZ29" s="19">
        <v>-5.6509369999999999</v>
      </c>
      <c r="BA29" s="19">
        <v>3.9534925600000017</v>
      </c>
      <c r="BB29" s="19">
        <v>-1.9423237900000003</v>
      </c>
      <c r="BC29" s="19">
        <v>-1.9055391600000002</v>
      </c>
      <c r="BD29" s="19">
        <v>-2.34466697</v>
      </c>
      <c r="BE29" s="19">
        <v>-2.2390373599999993</v>
      </c>
      <c r="BF29" s="19">
        <v>-2.0994662600000011</v>
      </c>
      <c r="BG29" s="19">
        <v>-2.1906572900000012</v>
      </c>
      <c r="BH29" s="19">
        <v>-2.0333110800000012</v>
      </c>
      <c r="BI29" s="19">
        <v>-3.3533110800000014</v>
      </c>
      <c r="BJ29" s="19">
        <v>-9.6767457100000041</v>
      </c>
      <c r="BK29" s="19">
        <v>-0.91292494000000002</v>
      </c>
      <c r="BL29" s="19">
        <v>-9.6748360900000012</v>
      </c>
      <c r="BM29" s="19">
        <v>-0.87483609000000073</v>
      </c>
      <c r="BN29" s="19">
        <v>-3.3148360900000009</v>
      </c>
      <c r="BO29" s="19">
        <v>-14.777433210000002</v>
      </c>
      <c r="BP29" s="19">
        <v>-2.1088607399999999</v>
      </c>
      <c r="BQ29" s="19">
        <v>-0.46358396000000174</v>
      </c>
    </row>
    <row r="30" spans="1:69" s="16" customFormat="1" ht="15" customHeight="1" x14ac:dyDescent="0.3">
      <c r="A30" t="s">
        <v>83</v>
      </c>
      <c r="B30" s="17" t="str">
        <f>IF('Sumário | Summary'!P1=1,"Equivalência patrimonial","Equity")</f>
        <v>Equivalência patrimonial</v>
      </c>
      <c r="C30" s="19">
        <v>5.0090000000000003</v>
      </c>
      <c r="D30" s="18">
        <v>40.977138199999999</v>
      </c>
      <c r="E30" s="19">
        <v>6.1420000000000003</v>
      </c>
      <c r="F30" s="19">
        <v>8.5205660000000005</v>
      </c>
      <c r="G30" s="18">
        <v>60.648704200000005</v>
      </c>
      <c r="H30" s="19">
        <v>23.452999999999999</v>
      </c>
      <c r="I30" s="19">
        <v>7.1429999999999998</v>
      </c>
      <c r="J30" s="19">
        <v>6.9980000000000002</v>
      </c>
      <c r="K30" s="19">
        <v>5.7957530000000004</v>
      </c>
      <c r="L30" s="18">
        <v>43.389752999999999</v>
      </c>
      <c r="M30" s="19">
        <v>9.5749999999999993</v>
      </c>
      <c r="N30" s="19">
        <v>10.717000000000001</v>
      </c>
      <c r="O30" s="19">
        <v>17.792999999999999</v>
      </c>
      <c r="P30" s="19">
        <v>6.601</v>
      </c>
      <c r="Q30" s="18">
        <v>44.686</v>
      </c>
      <c r="R30" s="18">
        <v>4.9489999999999998</v>
      </c>
      <c r="S30" s="18">
        <v>10.201000000000001</v>
      </c>
      <c r="T30" s="18">
        <v>11.4</v>
      </c>
      <c r="U30" s="18">
        <v>9.9689999999999994</v>
      </c>
      <c r="V30" s="18">
        <v>36.518999999999998</v>
      </c>
      <c r="W30" s="18">
        <v>10.173999999999999</v>
      </c>
      <c r="X30" s="18">
        <v>9.65</v>
      </c>
      <c r="Y30" s="18">
        <v>9.8930000000000007</v>
      </c>
      <c r="Z30" s="18">
        <v>13.673999999999999</v>
      </c>
      <c r="AA30" s="18">
        <v>43.390999999999998</v>
      </c>
      <c r="AB30" s="19">
        <v>7.97</v>
      </c>
      <c r="AC30" s="19">
        <v>4.1369999999999996</v>
      </c>
      <c r="AD30" s="19">
        <v>-15.163</v>
      </c>
      <c r="AE30" s="19">
        <v>-0.65300000000000002</v>
      </c>
      <c r="AF30" s="19">
        <v>-3.7090000000000001</v>
      </c>
      <c r="AG30" s="19">
        <v>-1.427</v>
      </c>
      <c r="AH30" s="19">
        <v>0.98399999999999999</v>
      </c>
      <c r="AI30" s="19">
        <v>0.217</v>
      </c>
      <c r="AJ30" s="19">
        <v>-0.91900000000000004</v>
      </c>
      <c r="AK30" s="19">
        <v>-1.145</v>
      </c>
      <c r="AL30" s="19">
        <v>0.16700000000000001</v>
      </c>
      <c r="AM30" s="19">
        <v>1.6819999999999999</v>
      </c>
      <c r="AN30" s="19">
        <v>2.004</v>
      </c>
      <c r="AO30" s="19">
        <v>-1.113</v>
      </c>
      <c r="AP30" s="19">
        <v>2.74</v>
      </c>
      <c r="AQ30" s="19">
        <v>0.92500000000000004</v>
      </c>
      <c r="AR30" s="19">
        <v>0.64124931499999016</v>
      </c>
      <c r="AS30" s="19">
        <v>-1.4319999999999999</v>
      </c>
      <c r="AT30" s="19">
        <v>6.1639999999999997</v>
      </c>
      <c r="AU30" s="19">
        <v>6.298</v>
      </c>
      <c r="AV30" s="19">
        <v>-0.14799999999999999</v>
      </c>
      <c r="AW30" s="19">
        <v>-0.41299999999999998</v>
      </c>
      <c r="AX30" s="19">
        <v>1.855</v>
      </c>
      <c r="AY30" s="19">
        <v>5.7001714329960258</v>
      </c>
      <c r="AZ30" s="19">
        <v>6.9941714329960263</v>
      </c>
      <c r="BA30" s="19">
        <v>-0.57995973503866427</v>
      </c>
      <c r="BB30" s="19">
        <v>-0.20988924592572636</v>
      </c>
      <c r="BC30" s="19">
        <v>0.24720728067644496</v>
      </c>
      <c r="BD30" s="19">
        <v>-2.2748055622562018</v>
      </c>
      <c r="BE30" s="19">
        <v>-2.8174472625441478</v>
      </c>
      <c r="BF30" s="19">
        <v>-0.59072501500000052</v>
      </c>
      <c r="BG30" s="19">
        <v>-1.1098425050000114</v>
      </c>
      <c r="BH30" s="19">
        <v>-2.0668486113596414</v>
      </c>
      <c r="BI30" s="19">
        <v>1.2349362614753394</v>
      </c>
      <c r="BJ30" s="19">
        <v>-2.5324798698843138</v>
      </c>
      <c r="BK30" s="19">
        <v>0</v>
      </c>
      <c r="BL30" s="19">
        <v>-1.8410178435888287</v>
      </c>
      <c r="BM30" s="19">
        <v>-1.1098818831686972</v>
      </c>
      <c r="BN30" s="19">
        <v>4.8956140110837225</v>
      </c>
      <c r="BO30" s="19">
        <v>1.9447142843261966</v>
      </c>
      <c r="BP30" s="19">
        <v>-0.12894496282168474</v>
      </c>
      <c r="BQ30" s="19">
        <v>-3.4629261906790285</v>
      </c>
    </row>
    <row r="31" spans="1:69" s="16" customFormat="1" ht="15" customHeight="1" x14ac:dyDescent="0.3">
      <c r="A31" t="s">
        <v>84</v>
      </c>
      <c r="B31" s="17" t="str">
        <f>IF('Sumário | Summary'!P1=1,"Amortização de Ágios e outros resultados em investimentos","Amortization of goodwill and other income from investments ")</f>
        <v>Amortização de Ágios e outros resultados em investimentos</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c r="W31" s="18">
        <v>0</v>
      </c>
      <c r="X31" s="18">
        <v>0</v>
      </c>
      <c r="Y31" s="18">
        <v>0</v>
      </c>
      <c r="Z31" s="18">
        <v>0</v>
      </c>
      <c r="AA31" s="18">
        <v>0</v>
      </c>
      <c r="AB31" s="18">
        <v>0</v>
      </c>
      <c r="AC31" s="18">
        <v>0</v>
      </c>
      <c r="AD31" s="18">
        <v>0</v>
      </c>
      <c r="AE31" s="19">
        <v>0</v>
      </c>
      <c r="AF31" s="18">
        <v>0</v>
      </c>
      <c r="AG31" s="18">
        <v>0</v>
      </c>
      <c r="AH31" s="18">
        <v>0</v>
      </c>
      <c r="AI31" s="18">
        <v>0</v>
      </c>
      <c r="AJ31" s="18">
        <v>0</v>
      </c>
      <c r="AK31" s="18">
        <v>0</v>
      </c>
      <c r="AL31" s="19">
        <v>0</v>
      </c>
      <c r="AM31" s="19">
        <v>0</v>
      </c>
      <c r="AN31" s="19">
        <v>0</v>
      </c>
      <c r="AO31" s="19">
        <v>0</v>
      </c>
      <c r="AP31" s="19">
        <v>0</v>
      </c>
      <c r="AQ31" s="19">
        <v>0</v>
      </c>
      <c r="AR31" s="19">
        <v>0</v>
      </c>
      <c r="AS31" s="19">
        <v>0</v>
      </c>
      <c r="AT31" s="19">
        <v>0</v>
      </c>
      <c r="AU31" s="19">
        <v>0</v>
      </c>
      <c r="AV31" s="19">
        <v>0</v>
      </c>
      <c r="AW31" s="19">
        <v>0</v>
      </c>
      <c r="AX31" s="19">
        <v>0</v>
      </c>
      <c r="AY31" s="19">
        <v>0</v>
      </c>
      <c r="AZ31" s="19">
        <v>0</v>
      </c>
      <c r="BA31" s="19">
        <v>0</v>
      </c>
      <c r="BB31" s="19">
        <v>0</v>
      </c>
      <c r="BC31" s="19">
        <v>0</v>
      </c>
      <c r="BD31" s="19">
        <v>0</v>
      </c>
      <c r="BE31" s="19">
        <v>0</v>
      </c>
      <c r="BF31" s="19">
        <v>0</v>
      </c>
      <c r="BG31" s="19">
        <v>0</v>
      </c>
      <c r="BH31" s="19">
        <v>0</v>
      </c>
      <c r="BI31" s="19">
        <v>0</v>
      </c>
      <c r="BJ31" s="19">
        <v>0</v>
      </c>
      <c r="BK31" s="19">
        <v>0</v>
      </c>
      <c r="BL31" s="19">
        <v>0</v>
      </c>
      <c r="BM31" s="19">
        <v>0</v>
      </c>
      <c r="BN31" s="19">
        <v>0</v>
      </c>
      <c r="BO31" s="19">
        <v>0</v>
      </c>
      <c r="BP31" s="19">
        <v>0</v>
      </c>
      <c r="BQ31" s="19">
        <v>0</v>
      </c>
    </row>
    <row r="32" spans="1:69" s="16" customFormat="1" ht="15" customHeight="1" x14ac:dyDescent="0.3">
      <c r="A32" t="s">
        <v>85</v>
      </c>
      <c r="B32" s="17" t="str">
        <f>IF('Sumário | Summary'!P1=1,"Outras receitas (despesas) operacionais líquidas","
Other net operating revenues (expenses)")</f>
        <v>Outras receitas (despesas) operacionais líquidas</v>
      </c>
      <c r="C32" s="18">
        <v>0.06</v>
      </c>
      <c r="D32" s="18">
        <v>1.2592990799999999</v>
      </c>
      <c r="E32" s="18">
        <v>5.0000000000000001E-3</v>
      </c>
      <c r="F32" s="18">
        <v>0.13711400000000001</v>
      </c>
      <c r="G32" s="18">
        <v>1.4614130799999998</v>
      </c>
      <c r="H32" s="18">
        <v>0.156</v>
      </c>
      <c r="I32" s="18">
        <v>0.13500000000000001</v>
      </c>
      <c r="J32" s="18">
        <v>1.595</v>
      </c>
      <c r="K32" s="18">
        <v>0.44203300000000001</v>
      </c>
      <c r="L32" s="18">
        <v>2.328033</v>
      </c>
      <c r="M32" s="18">
        <v>1.0999999999999999E-2</v>
      </c>
      <c r="N32" s="18">
        <v>-0.80900000000000005</v>
      </c>
      <c r="O32" s="18">
        <v>0.24399999999999999</v>
      </c>
      <c r="P32" s="18">
        <v>4.0000000000000001E-3</v>
      </c>
      <c r="Q32" s="18">
        <v>-0.55000000000000004</v>
      </c>
      <c r="R32" s="18">
        <v>-4.0000000000000001E-3</v>
      </c>
      <c r="S32" s="18">
        <v>12.115</v>
      </c>
      <c r="T32" s="18">
        <v>-0.7</v>
      </c>
      <c r="U32" s="18">
        <v>1.7969999999999999</v>
      </c>
      <c r="V32" s="18">
        <v>13.208000000000002</v>
      </c>
      <c r="W32" s="18">
        <v>31.658000000000001</v>
      </c>
      <c r="X32" s="18">
        <v>3.8079999999999998</v>
      </c>
      <c r="Y32" s="18">
        <v>1.8819999999999999</v>
      </c>
      <c r="Z32" s="18">
        <v>2.5329999999999999</v>
      </c>
      <c r="AA32" s="18">
        <v>39.881</v>
      </c>
      <c r="AB32" s="18">
        <v>-0.59799999999999998</v>
      </c>
      <c r="AC32" s="18">
        <v>1.5009999999999999</v>
      </c>
      <c r="AD32" s="18">
        <v>282.54599999999999</v>
      </c>
      <c r="AE32" s="18">
        <v>-2.3479999999999999</v>
      </c>
      <c r="AF32" s="18">
        <v>281.101</v>
      </c>
      <c r="AG32" s="18">
        <v>10.611000000000001</v>
      </c>
      <c r="AH32" s="18">
        <v>11.231</v>
      </c>
      <c r="AI32" s="18">
        <v>-19.547999999999998</v>
      </c>
      <c r="AJ32" s="18">
        <v>-12.541</v>
      </c>
      <c r="AK32" s="18">
        <v>-10.247</v>
      </c>
      <c r="AL32" s="19">
        <v>-0.16</v>
      </c>
      <c r="AM32" s="19">
        <v>-19.960999999999999</v>
      </c>
      <c r="AN32" s="19">
        <v>9.2810000000000006</v>
      </c>
      <c r="AO32" s="19">
        <v>31.446999999999999</v>
      </c>
      <c r="AP32" s="19">
        <v>20.606999999999999</v>
      </c>
      <c r="AQ32" s="19">
        <v>-0.44539842000000013</v>
      </c>
      <c r="AR32" s="19">
        <v>-3.3244265101436494</v>
      </c>
      <c r="AS32" s="19">
        <v>1.0840000000000001</v>
      </c>
      <c r="AT32" s="19">
        <v>-1.9990000000000001</v>
      </c>
      <c r="AU32" s="19">
        <v>-4.6840000000000002</v>
      </c>
      <c r="AV32" s="19">
        <v>-5.0439999999999996</v>
      </c>
      <c r="AW32" s="19">
        <v>5.8490000000000002</v>
      </c>
      <c r="AX32" s="19">
        <v>4.4379999999999997</v>
      </c>
      <c r="AY32" s="19">
        <v>54.167511856320381</v>
      </c>
      <c r="AZ32" s="19">
        <v>59.410511856320383</v>
      </c>
      <c r="BA32" s="19">
        <v>1.452668570732659</v>
      </c>
      <c r="BB32" s="19">
        <v>-2.221002910904279</v>
      </c>
      <c r="BC32" s="19">
        <v>5.5627589880643029</v>
      </c>
      <c r="BD32" s="19">
        <v>-25.764973126632007</v>
      </c>
      <c r="BE32" s="19">
        <v>-20.970548478739325</v>
      </c>
      <c r="BF32" s="19">
        <v>0.52933176581999253</v>
      </c>
      <c r="BG32" s="19">
        <v>-2.8524413435549598</v>
      </c>
      <c r="BH32" s="19">
        <v>0.96205356868138048</v>
      </c>
      <c r="BI32" s="19">
        <v>-1.7191228571644657</v>
      </c>
      <c r="BJ32" s="19">
        <v>-3.0801788662180525</v>
      </c>
      <c r="BK32" s="19">
        <v>0.90769226707798423</v>
      </c>
      <c r="BL32" s="19">
        <v>318.72783703923113</v>
      </c>
      <c r="BM32" s="19">
        <v>-1.7684943755693967</v>
      </c>
      <c r="BN32" s="19">
        <v>25.366684468870691</v>
      </c>
      <c r="BO32" s="19">
        <v>343.23371939961044</v>
      </c>
      <c r="BP32" s="19">
        <v>11.838971230314666</v>
      </c>
      <c r="BQ32" s="19">
        <v>18.077291408146934</v>
      </c>
    </row>
    <row r="33" spans="1:69" s="16" customFormat="1" ht="15" customHeight="1" x14ac:dyDescent="0.3">
      <c r="A33" s="12" t="s">
        <v>86</v>
      </c>
      <c r="B33" s="24" t="str">
        <f>IF('Sumário | Summary'!P1=1,"Lucro antes do Resultado Financeiro","Profit Before Financial Results")</f>
        <v>Lucro antes do Resultado Financeiro</v>
      </c>
      <c r="C33" s="14">
        <v>36.960999999999999</v>
      </c>
      <c r="D33" s="14">
        <v>92.779297059067289</v>
      </c>
      <c r="E33" s="14">
        <v>40.094000000000008</v>
      </c>
      <c r="F33" s="14">
        <v>70.403413585553125</v>
      </c>
      <c r="G33" s="14">
        <v>241.69912372462045</v>
      </c>
      <c r="H33" s="14">
        <v>68.587000000000003</v>
      </c>
      <c r="I33" s="14">
        <v>53.079000000000008</v>
      </c>
      <c r="J33" s="14">
        <v>52.914000000000016</v>
      </c>
      <c r="K33" s="14">
        <v>54.024584099999998</v>
      </c>
      <c r="L33" s="14">
        <v>228.60458409999998</v>
      </c>
      <c r="M33" s="14">
        <v>62.483000000000011</v>
      </c>
      <c r="N33" s="14">
        <v>50.868000000000002</v>
      </c>
      <c r="O33" s="14">
        <v>74.799000000000007</v>
      </c>
      <c r="P33" s="14">
        <v>56.053000000000004</v>
      </c>
      <c r="Q33" s="14">
        <v>244.20299999999997</v>
      </c>
      <c r="R33" s="14">
        <v>44.072999999999993</v>
      </c>
      <c r="S33" s="14">
        <v>72.192999999999984</v>
      </c>
      <c r="T33" s="14">
        <v>70.830000000000013</v>
      </c>
      <c r="U33" s="14">
        <v>72.850708803000018</v>
      </c>
      <c r="V33" s="14">
        <v>259.97135443629247</v>
      </c>
      <c r="W33" s="14">
        <v>97.640907622903796</v>
      </c>
      <c r="X33" s="14">
        <v>59.699999999999974</v>
      </c>
      <c r="Y33" s="14">
        <v>62.339999999999996</v>
      </c>
      <c r="Z33" s="14">
        <v>68.222999999999999</v>
      </c>
      <c r="AA33" s="14">
        <f t="shared" ref="AA33:BP33" si="5">AA22+AA24</f>
        <v>287.90467028740386</v>
      </c>
      <c r="AB33" s="14">
        <f t="shared" si="5"/>
        <v>49.250003171549992</v>
      </c>
      <c r="AC33" s="14">
        <f t="shared" si="5"/>
        <v>58.894558934649979</v>
      </c>
      <c r="AD33" s="14">
        <f t="shared" si="5"/>
        <v>323.43577567798332</v>
      </c>
      <c r="AE33" s="14">
        <f t="shared" si="5"/>
        <v>39.512007884650018</v>
      </c>
      <c r="AF33" s="14">
        <f t="shared" si="5"/>
        <v>471.07150597104203</v>
      </c>
      <c r="AG33" s="14">
        <f t="shared" si="5"/>
        <v>63.191282370000025</v>
      </c>
      <c r="AH33" s="14">
        <f t="shared" si="5"/>
        <v>85.456007460000009</v>
      </c>
      <c r="AI33" s="14">
        <f t="shared" si="5"/>
        <v>24.458926701713331</v>
      </c>
      <c r="AJ33" s="14">
        <f t="shared" si="5"/>
        <v>39.882883530000029</v>
      </c>
      <c r="AK33" s="14">
        <f t="shared" si="5"/>
        <v>212.98910007171335</v>
      </c>
      <c r="AL33" s="14">
        <f t="shared" si="5"/>
        <v>64.004440110000019</v>
      </c>
      <c r="AM33" s="14">
        <f t="shared" si="5"/>
        <v>43.929891610000027</v>
      </c>
      <c r="AN33" s="14">
        <f t="shared" si="5"/>
        <v>69.652799043316065</v>
      </c>
      <c r="AO33" s="14">
        <f t="shared" si="5"/>
        <v>93.500969882661664</v>
      </c>
      <c r="AP33" s="14">
        <f t="shared" si="5"/>
        <v>336.27589754597773</v>
      </c>
      <c r="AQ33" s="14">
        <f t="shared" si="5"/>
        <v>72.204046215012497</v>
      </c>
      <c r="AR33" s="14">
        <f t="shared" si="5"/>
        <v>30.95446094096333</v>
      </c>
      <c r="AS33" s="14">
        <f t="shared" si="5"/>
        <v>79.805387081329982</v>
      </c>
      <c r="AT33" s="14">
        <f t="shared" si="5"/>
        <v>61.238202620094725</v>
      </c>
      <c r="AU33" s="14">
        <f t="shared" si="5"/>
        <v>279.48065167838416</v>
      </c>
      <c r="AV33" s="14">
        <f t="shared" si="5"/>
        <v>60.338147727005023</v>
      </c>
      <c r="AW33" s="14">
        <f t="shared" si="5"/>
        <v>60.858019254477483</v>
      </c>
      <c r="AX33" s="14">
        <f t="shared" si="5"/>
        <v>75.940408568283971</v>
      </c>
      <c r="AY33" s="14">
        <f t="shared" si="5"/>
        <v>1437.0929503290606</v>
      </c>
      <c r="AZ33" s="14">
        <f t="shared" si="5"/>
        <v>1696.7273921710298</v>
      </c>
      <c r="BA33" s="14">
        <f t="shared" si="5"/>
        <v>47.648092027142013</v>
      </c>
      <c r="BB33" s="14">
        <f t="shared" si="5"/>
        <v>33.48252161119202</v>
      </c>
      <c r="BC33" s="14">
        <f t="shared" si="5"/>
        <v>47.856291841970688</v>
      </c>
      <c r="BD33" s="14">
        <f t="shared" si="5"/>
        <v>13.948815363819939</v>
      </c>
      <c r="BE33" s="14">
        <f t="shared" si="5"/>
        <v>151.5268798041246</v>
      </c>
      <c r="BF33" s="14">
        <f t="shared" si="5"/>
        <v>37.043541570871973</v>
      </c>
      <c r="BG33" s="14">
        <f t="shared" si="5"/>
        <v>38.086983215553019</v>
      </c>
      <c r="BH33" s="14">
        <f t="shared" si="5"/>
        <v>47.970363953321744</v>
      </c>
      <c r="BI33" s="14">
        <f t="shared" si="5"/>
        <v>49.262607940001857</v>
      </c>
      <c r="BJ33" s="14">
        <f t="shared" si="5"/>
        <v>172.36349667974852</v>
      </c>
      <c r="BK33" s="14">
        <f t="shared" si="5"/>
        <v>52.004916064357957</v>
      </c>
      <c r="BL33" s="14">
        <f t="shared" si="5"/>
        <v>705.09921653417041</v>
      </c>
      <c r="BM33" s="14">
        <f t="shared" si="5"/>
        <v>27.696023956949897</v>
      </c>
      <c r="BN33" s="14">
        <f t="shared" si="5"/>
        <v>49.833866335515417</v>
      </c>
      <c r="BO33" s="14">
        <f t="shared" si="5"/>
        <v>834.63402289099361</v>
      </c>
      <c r="BP33" s="14">
        <f t="shared" si="5"/>
        <v>42.891039141900976</v>
      </c>
      <c r="BQ33" s="14">
        <f>BQ22+BQ24</f>
        <v>40.528761841189862</v>
      </c>
    </row>
    <row r="34" spans="1:69" s="16" customFormat="1" ht="15" customHeight="1" x14ac:dyDescent="0.3">
      <c r="A34" t="s">
        <v>87</v>
      </c>
      <c r="B34" s="17" t="str">
        <f>IF('Sumário | Summary'!P1=1,"Despesas financeiras","Financial Expenses")</f>
        <v>Despesas financeiras</v>
      </c>
      <c r="C34" s="18">
        <v>-19.774000000000001</v>
      </c>
      <c r="D34" s="18">
        <v>-16.2891660294</v>
      </c>
      <c r="E34" s="18">
        <v>-15.205</v>
      </c>
      <c r="F34" s="18">
        <v>-10.217374</v>
      </c>
      <c r="G34" s="18">
        <v>-61.485540029399999</v>
      </c>
      <c r="H34" s="18">
        <v>-8.5559999999999992</v>
      </c>
      <c r="I34" s="18">
        <v>-8.5719999999999992</v>
      </c>
      <c r="J34" s="18">
        <v>-6.4329999999999998</v>
      </c>
      <c r="K34" s="18">
        <v>-22.798012</v>
      </c>
      <c r="L34" s="18">
        <v>-46.359012</v>
      </c>
      <c r="M34" s="18">
        <v>-17.643000000000001</v>
      </c>
      <c r="N34" s="18">
        <v>-22.928999999999998</v>
      </c>
      <c r="O34" s="18">
        <v>-29.055</v>
      </c>
      <c r="P34" s="18">
        <v>-35.890999999999998</v>
      </c>
      <c r="Q34" s="18">
        <v>-105.518</v>
      </c>
      <c r="R34" s="18">
        <v>-54.685000000000002</v>
      </c>
      <c r="S34" s="18">
        <v>-52.624000000000002</v>
      </c>
      <c r="T34" s="18">
        <v>-59.145000000000003</v>
      </c>
      <c r="U34" s="18">
        <v>-71.340999999999994</v>
      </c>
      <c r="V34" s="18">
        <v>-237.79500000000002</v>
      </c>
      <c r="W34" s="18">
        <v>-93.76</v>
      </c>
      <c r="X34" s="18">
        <v>-67.674000000000007</v>
      </c>
      <c r="Y34" s="18">
        <v>-74.063000000000002</v>
      </c>
      <c r="Z34" s="18">
        <v>-72.515000000000001</v>
      </c>
      <c r="AA34" s="18">
        <v>-308.012</v>
      </c>
      <c r="AB34" s="18">
        <v>-67.248999999999995</v>
      </c>
      <c r="AC34" s="18">
        <v>-66.08</v>
      </c>
      <c r="AD34" s="18">
        <v>-78.694999999999993</v>
      </c>
      <c r="AE34" s="18">
        <v>-42.204999999999998</v>
      </c>
      <c r="AF34" s="18">
        <v>-254.22900000000001</v>
      </c>
      <c r="AG34" s="18">
        <v>-40.777000000000001</v>
      </c>
      <c r="AH34" s="18">
        <v>-47.963000000000001</v>
      </c>
      <c r="AI34" s="18">
        <v>-30.76</v>
      </c>
      <c r="AJ34" s="18">
        <v>-39.987000000000002</v>
      </c>
      <c r="AK34" s="18">
        <v>-159.48699999999999</v>
      </c>
      <c r="AL34" s="19">
        <v>-37.885540941598421</v>
      </c>
      <c r="AM34" s="19">
        <v>-40.366</v>
      </c>
      <c r="AN34" s="19">
        <v>-39.829000000000001</v>
      </c>
      <c r="AO34" s="19">
        <v>-39.807000000000002</v>
      </c>
      <c r="AP34" s="19">
        <v>-157.88800000000001</v>
      </c>
      <c r="AQ34" s="19">
        <v>-33.908380364798411</v>
      </c>
      <c r="AR34" s="19">
        <v>-21.582000000000001</v>
      </c>
      <c r="AS34" s="19">
        <v>-24.160939972398403</v>
      </c>
      <c r="AT34" s="19">
        <v>-28.690999999999999</v>
      </c>
      <c r="AU34" s="19">
        <v>-108.342</v>
      </c>
      <c r="AV34" s="19">
        <v>-27.02</v>
      </c>
      <c r="AW34" s="19">
        <v>-33.868000000000002</v>
      </c>
      <c r="AX34" s="19">
        <v>-43.719000000000001</v>
      </c>
      <c r="AY34" s="19">
        <v>-67.366198712703451</v>
      </c>
      <c r="AZ34" s="19">
        <v>-171.97319871270346</v>
      </c>
      <c r="BA34" s="19">
        <v>-59.922415459360451</v>
      </c>
      <c r="BB34" s="19">
        <v>-62.348258842091909</v>
      </c>
      <c r="BC34" s="19">
        <v>-49.290030570960432</v>
      </c>
      <c r="BD34" s="19">
        <v>-48.45829481196057</v>
      </c>
      <c r="BE34" s="19">
        <v>-220.01899968437334</v>
      </c>
      <c r="BF34" s="19">
        <v>-53.077782569760451</v>
      </c>
      <c r="BG34" s="19">
        <v>-47.868932290160437</v>
      </c>
      <c r="BH34" s="19">
        <v>-45.871228784960479</v>
      </c>
      <c r="BI34" s="19">
        <v>-43.431762074160389</v>
      </c>
      <c r="BJ34" s="19">
        <v>-190.24970571904174</v>
      </c>
      <c r="BK34" s="19">
        <v>-45.607685884560453</v>
      </c>
      <c r="BL34" s="19">
        <v>-47.709033067221036</v>
      </c>
      <c r="BM34" s="19">
        <v>-32.649659174849887</v>
      </c>
      <c r="BN34" s="19">
        <v>-38.890276175844946</v>
      </c>
      <c r="BO34" s="19">
        <v>-164.85665430247633</v>
      </c>
      <c r="BP34" s="19">
        <v>-46.127958722449925</v>
      </c>
      <c r="BQ34" s="19">
        <v>-42.728106639749953</v>
      </c>
    </row>
    <row r="35" spans="1:69" s="16" customFormat="1" ht="15" customHeight="1" x14ac:dyDescent="0.3">
      <c r="A35" t="s">
        <v>88</v>
      </c>
      <c r="B35" s="17" t="str">
        <f>IF('Sumário | Summary'!P1=1,"Receitas financeiras","Financial Revenues")</f>
        <v>Receitas financeiras</v>
      </c>
      <c r="C35" s="18">
        <v>9.4540000000000006</v>
      </c>
      <c r="D35" s="18">
        <v>9.9499727153589994</v>
      </c>
      <c r="E35" s="18">
        <v>7.1120000000000001</v>
      </c>
      <c r="F35" s="18">
        <v>5.1839149999999998</v>
      </c>
      <c r="G35" s="18">
        <v>31.699887715358997</v>
      </c>
      <c r="H35" s="18">
        <v>7.4779999999999998</v>
      </c>
      <c r="I35" s="18">
        <v>8.0660000000000007</v>
      </c>
      <c r="J35" s="18">
        <v>7.6260000000000003</v>
      </c>
      <c r="K35" s="18">
        <v>8.4713659999999997</v>
      </c>
      <c r="L35" s="18">
        <v>31.641366000000001</v>
      </c>
      <c r="M35" s="18">
        <v>8.4570000000000007</v>
      </c>
      <c r="N35" s="18">
        <v>10.052</v>
      </c>
      <c r="O35" s="18">
        <v>9.1229999999999993</v>
      </c>
      <c r="P35" s="18">
        <v>9.3140000000000001</v>
      </c>
      <c r="Q35" s="18">
        <v>36.945999999999998</v>
      </c>
      <c r="R35" s="18">
        <v>15.019</v>
      </c>
      <c r="S35" s="18">
        <v>12.268000000000001</v>
      </c>
      <c r="T35" s="18">
        <v>15.718</v>
      </c>
      <c r="U35" s="18">
        <v>18.873999999999999</v>
      </c>
      <c r="V35" s="18">
        <v>61.878999999999991</v>
      </c>
      <c r="W35" s="18">
        <v>16.757000000000001</v>
      </c>
      <c r="X35" s="18">
        <v>15.305999999999999</v>
      </c>
      <c r="Y35" s="18">
        <v>14.225</v>
      </c>
      <c r="Z35" s="18">
        <v>18.692</v>
      </c>
      <c r="AA35" s="18">
        <v>64.98</v>
      </c>
      <c r="AB35" s="18">
        <v>14.29</v>
      </c>
      <c r="AC35" s="18">
        <v>8.2319999999999993</v>
      </c>
      <c r="AD35" s="18">
        <v>9.9890000000000008</v>
      </c>
      <c r="AE35" s="18">
        <v>9.8170000000000002</v>
      </c>
      <c r="AF35" s="18">
        <v>42.328000000000003</v>
      </c>
      <c r="AG35" s="18">
        <v>7.2510000000000003</v>
      </c>
      <c r="AH35" s="18">
        <v>8.8109999999999999</v>
      </c>
      <c r="AI35" s="18">
        <v>8.0459999999999994</v>
      </c>
      <c r="AJ35" s="18">
        <v>8.5489999999999995</v>
      </c>
      <c r="AK35" s="18">
        <v>32.656999999999996</v>
      </c>
      <c r="AL35" s="19">
        <v>5.4219275481630014</v>
      </c>
      <c r="AM35" s="19">
        <v>7.702</v>
      </c>
      <c r="AN35" s="19">
        <v>6.0110000000000001</v>
      </c>
      <c r="AO35" s="19">
        <v>9.9619999999999997</v>
      </c>
      <c r="AP35" s="19">
        <v>29.097000000000001</v>
      </c>
      <c r="AQ35" s="19">
        <v>6.6229928576470005</v>
      </c>
      <c r="AR35" s="19">
        <v>7.7160000000000002</v>
      </c>
      <c r="AS35" s="19">
        <v>4.4249008149450022</v>
      </c>
      <c r="AT35" s="19">
        <v>5.2859999999999996</v>
      </c>
      <c r="AU35" s="19">
        <v>24.05</v>
      </c>
      <c r="AV35" s="19">
        <v>3.5209999999999999</v>
      </c>
      <c r="AW35" s="19">
        <v>7.4459999999999997</v>
      </c>
      <c r="AX35" s="19">
        <v>8.7249999999999996</v>
      </c>
      <c r="AY35" s="19">
        <v>14.354581375903997</v>
      </c>
      <c r="AZ35" s="19">
        <v>34.046581375903997</v>
      </c>
      <c r="BA35" s="19">
        <v>16.494104544856</v>
      </c>
      <c r="BB35" s="19">
        <v>14.777218668603989</v>
      </c>
      <c r="BC35" s="19">
        <v>21.259190672980026</v>
      </c>
      <c r="BD35" s="19">
        <v>18.443179033465981</v>
      </c>
      <c r="BE35" s="19">
        <v>70.973692919906</v>
      </c>
      <c r="BF35" s="19">
        <v>12.284525172677997</v>
      </c>
      <c r="BG35" s="19">
        <v>17.264307342541994</v>
      </c>
      <c r="BH35" s="19">
        <v>15.370873528040015</v>
      </c>
      <c r="BI35" s="19">
        <v>16.066497029947968</v>
      </c>
      <c r="BJ35" s="19">
        <v>60.986203073207975</v>
      </c>
      <c r="BK35" s="19">
        <v>14.742144856995997</v>
      </c>
      <c r="BL35" s="19">
        <v>22.085792105749999</v>
      </c>
      <c r="BM35" s="19">
        <v>52.595169451554014</v>
      </c>
      <c r="BN35" s="19">
        <v>58.043279293794008</v>
      </c>
      <c r="BO35" s="19">
        <v>147.46638570809401</v>
      </c>
      <c r="BP35" s="19">
        <v>37.218959816656003</v>
      </c>
      <c r="BQ35" s="19">
        <v>23.662887053083978</v>
      </c>
    </row>
    <row r="36" spans="1:69" s="16" customFormat="1" ht="15" customHeight="1" x14ac:dyDescent="0.3">
      <c r="A36" t="s">
        <v>89</v>
      </c>
      <c r="B36" s="24" t="str">
        <f>IF('Sumário | Summary'!P1=1,"Lucro antes de IR e CS","Pre Tax Profit")</f>
        <v>Lucro antes de IR e CS</v>
      </c>
      <c r="C36" s="14">
        <v>26.640999999999998</v>
      </c>
      <c r="D36" s="14">
        <v>86.440103745026292</v>
      </c>
      <c r="E36" s="14">
        <v>32.001000000000005</v>
      </c>
      <c r="F36" s="14">
        <v>65.369954585553131</v>
      </c>
      <c r="G36" s="14">
        <v>211.91347141057946</v>
      </c>
      <c r="H36" s="14">
        <v>67.509</v>
      </c>
      <c r="I36" s="14">
        <v>52.573000000000008</v>
      </c>
      <c r="J36" s="14">
        <v>54.107000000000014</v>
      </c>
      <c r="K36" s="14">
        <v>39.697938100000002</v>
      </c>
      <c r="L36" s="14">
        <v>213.88693809999998</v>
      </c>
      <c r="M36" s="14">
        <v>53.297000000000011</v>
      </c>
      <c r="N36" s="14">
        <v>37.991</v>
      </c>
      <c r="O36" s="14">
        <v>54.867000000000004</v>
      </c>
      <c r="P36" s="14">
        <v>29.476000000000006</v>
      </c>
      <c r="Q36" s="14">
        <v>175.63099999999997</v>
      </c>
      <c r="R36" s="14">
        <v>4.4069999999999894</v>
      </c>
      <c r="S36" s="14">
        <v>31.836999999999982</v>
      </c>
      <c r="T36" s="14">
        <v>27.403000000000006</v>
      </c>
      <c r="U36" s="14">
        <v>20.383708803000019</v>
      </c>
      <c r="V36" s="14">
        <v>84.055354436292447</v>
      </c>
      <c r="W36" s="14">
        <v>20.637907622903796</v>
      </c>
      <c r="X36" s="14">
        <v>7.3319999999999652</v>
      </c>
      <c r="Y36" s="14">
        <v>2.5019999999999953</v>
      </c>
      <c r="Z36" s="14">
        <v>14.399999999999999</v>
      </c>
      <c r="AA36" s="14">
        <f t="shared" ref="AA36:BP36" si="6">SUM(AA33:AA35)</f>
        <v>44.872670287403864</v>
      </c>
      <c r="AB36" s="14">
        <f t="shared" si="6"/>
        <v>-3.7089968284500046</v>
      </c>
      <c r="AC36" s="14">
        <f t="shared" si="6"/>
        <v>1.0465589346499797</v>
      </c>
      <c r="AD36" s="14">
        <f t="shared" si="6"/>
        <v>254.72977567798333</v>
      </c>
      <c r="AE36" s="14">
        <f t="shared" si="6"/>
        <v>7.1240078846500197</v>
      </c>
      <c r="AF36" s="14">
        <f t="shared" si="6"/>
        <v>259.17050597104202</v>
      </c>
      <c r="AG36" s="14">
        <f t="shared" si="6"/>
        <v>29.665282370000025</v>
      </c>
      <c r="AH36" s="14">
        <f t="shared" si="6"/>
        <v>46.304007460000008</v>
      </c>
      <c r="AI36" s="14">
        <f t="shared" si="6"/>
        <v>1.7449267017133288</v>
      </c>
      <c r="AJ36" s="14">
        <f t="shared" si="6"/>
        <v>8.4448835300000269</v>
      </c>
      <c r="AK36" s="14">
        <f t="shared" si="6"/>
        <v>86.159100071713354</v>
      </c>
      <c r="AL36" s="14">
        <f t="shared" si="6"/>
        <v>31.540826716564599</v>
      </c>
      <c r="AM36" s="14">
        <f t="shared" si="6"/>
        <v>11.265891610000027</v>
      </c>
      <c r="AN36" s="14">
        <f t="shared" si="6"/>
        <v>35.834799043316067</v>
      </c>
      <c r="AO36" s="14">
        <f t="shared" si="6"/>
        <v>63.655969882661665</v>
      </c>
      <c r="AP36" s="14">
        <f t="shared" si="6"/>
        <v>207.48489754597773</v>
      </c>
      <c r="AQ36" s="14">
        <f t="shared" si="6"/>
        <v>44.918658707861084</v>
      </c>
      <c r="AR36" s="14">
        <f t="shared" si="6"/>
        <v>17.08846094096333</v>
      </c>
      <c r="AS36" s="14">
        <f t="shared" si="6"/>
        <v>60.069347923876585</v>
      </c>
      <c r="AT36" s="14">
        <f t="shared" si="6"/>
        <v>37.833202620094724</v>
      </c>
      <c r="AU36" s="14">
        <f t="shared" si="6"/>
        <v>195.18865167838419</v>
      </c>
      <c r="AV36" s="14">
        <f t="shared" si="6"/>
        <v>36.839147727005027</v>
      </c>
      <c r="AW36" s="14">
        <f t="shared" si="6"/>
        <v>34.436019254477479</v>
      </c>
      <c r="AX36" s="14">
        <f t="shared" si="6"/>
        <v>40.946408568283971</v>
      </c>
      <c r="AY36" s="14">
        <f t="shared" si="6"/>
        <v>1384.0813329922612</v>
      </c>
      <c r="AZ36" s="14">
        <f t="shared" si="6"/>
        <v>1558.8007748342304</v>
      </c>
      <c r="BA36" s="14">
        <f t="shared" si="6"/>
        <v>4.2197811126375626</v>
      </c>
      <c r="BB36" s="14">
        <f t="shared" si="6"/>
        <v>-14.088518562295899</v>
      </c>
      <c r="BC36" s="14">
        <f t="shared" si="6"/>
        <v>19.825451943990281</v>
      </c>
      <c r="BD36" s="14">
        <f t="shared" si="6"/>
        <v>-16.06630041467465</v>
      </c>
      <c r="BE36" s="14">
        <f t="shared" si="6"/>
        <v>2.4815730396572633</v>
      </c>
      <c r="BF36" s="14">
        <f t="shared" si="6"/>
        <v>-3.7497158262104815</v>
      </c>
      <c r="BG36" s="14">
        <f t="shared" si="6"/>
        <v>7.4823582679345755</v>
      </c>
      <c r="BH36" s="14">
        <f t="shared" si="6"/>
        <v>17.47000869640128</v>
      </c>
      <c r="BI36" s="14">
        <f t="shared" si="6"/>
        <v>21.897342895789436</v>
      </c>
      <c r="BJ36" s="14">
        <f t="shared" si="6"/>
        <v>43.099994033914754</v>
      </c>
      <c r="BK36" s="14">
        <f t="shared" si="6"/>
        <v>21.139375036793503</v>
      </c>
      <c r="BL36" s="14">
        <f t="shared" si="6"/>
        <v>679.47597557269933</v>
      </c>
      <c r="BM36" s="14">
        <f t="shared" si="6"/>
        <v>47.641534233654028</v>
      </c>
      <c r="BN36" s="14">
        <f t="shared" si="6"/>
        <v>68.986869453464479</v>
      </c>
      <c r="BO36" s="14">
        <f t="shared" si="6"/>
        <v>817.2437542966112</v>
      </c>
      <c r="BP36" s="14">
        <f t="shared" si="6"/>
        <v>33.982040236107053</v>
      </c>
      <c r="BQ36" s="14">
        <f>SUM(BQ33:BQ35)</f>
        <v>21.463542254523887</v>
      </c>
    </row>
    <row r="37" spans="1:69" s="16" customFormat="1" ht="15" customHeight="1" x14ac:dyDescent="0.3">
      <c r="A37" t="s">
        <v>90</v>
      </c>
      <c r="B37" s="24" t="str">
        <f>IF('Sumário | Summary'!P1=1,"Imposto de Renda e Contribuição Social","Income and Social Contribution Taxes")</f>
        <v>Imposto de Renda e Contribuição Social</v>
      </c>
      <c r="C37" s="14">
        <v>-3.7450000000000001</v>
      </c>
      <c r="D37" s="14">
        <v>-6.0661030700000005</v>
      </c>
      <c r="E37" s="14">
        <v>-2.7869999999999999</v>
      </c>
      <c r="F37" s="14">
        <v>-7.2870430000000006</v>
      </c>
      <c r="G37" s="14">
        <f t="shared" ref="G37:BP37" si="7">SUM(G38:G39)</f>
        <v>-19.885146070000001</v>
      </c>
      <c r="H37" s="14">
        <f t="shared" si="7"/>
        <v>-4.9240000000000004</v>
      </c>
      <c r="I37" s="14">
        <f t="shared" si="7"/>
        <v>-5.1989999999999998</v>
      </c>
      <c r="J37" s="14">
        <f t="shared" si="7"/>
        <v>-5.3919999999999995</v>
      </c>
      <c r="K37" s="14">
        <f t="shared" si="7"/>
        <v>-7.3718149999999998</v>
      </c>
      <c r="L37" s="14">
        <f t="shared" si="7"/>
        <v>-22.886814999999999</v>
      </c>
      <c r="M37" s="14">
        <f t="shared" si="7"/>
        <v>-4.3570000000000002</v>
      </c>
      <c r="N37" s="14">
        <f t="shared" si="7"/>
        <v>-7.1379999999999999</v>
      </c>
      <c r="O37" s="14">
        <f t="shared" si="7"/>
        <v>-7.5780000000000003</v>
      </c>
      <c r="P37" s="14">
        <f t="shared" si="7"/>
        <v>-7.7389999999999999</v>
      </c>
      <c r="Q37" s="14">
        <f t="shared" si="7"/>
        <v>-26.812000000000001</v>
      </c>
      <c r="R37" s="14">
        <f t="shared" si="7"/>
        <v>-7.1349999999999998</v>
      </c>
      <c r="S37" s="14">
        <f t="shared" si="7"/>
        <v>-7.3209999999999997</v>
      </c>
      <c r="T37" s="14">
        <f t="shared" si="7"/>
        <v>-8.5259999999999998</v>
      </c>
      <c r="U37" s="14">
        <f t="shared" si="7"/>
        <v>-8.8019999999999996</v>
      </c>
      <c r="V37" s="14">
        <f t="shared" si="7"/>
        <v>-31.784000000000002</v>
      </c>
      <c r="W37" s="14">
        <f t="shared" si="7"/>
        <v>-6.4319999999999995</v>
      </c>
      <c r="X37" s="14">
        <f t="shared" si="7"/>
        <v>-6.8</v>
      </c>
      <c r="Y37" s="14">
        <f t="shared" si="7"/>
        <v>-9.2040000000000006</v>
      </c>
      <c r="Z37" s="14">
        <f t="shared" si="7"/>
        <v>-7.6710000000000003</v>
      </c>
      <c r="AA37" s="14">
        <f t="shared" si="7"/>
        <v>-30.512</v>
      </c>
      <c r="AB37" s="14">
        <f t="shared" si="7"/>
        <v>-8.234</v>
      </c>
      <c r="AC37" s="14">
        <f t="shared" si="7"/>
        <v>-7.4569999999999999</v>
      </c>
      <c r="AD37" s="14">
        <f t="shared" si="7"/>
        <v>-18.041</v>
      </c>
      <c r="AE37" s="14">
        <f t="shared" si="7"/>
        <v>-2.984</v>
      </c>
      <c r="AF37" s="14">
        <f t="shared" si="7"/>
        <v>-36.716000000000001</v>
      </c>
      <c r="AG37" s="14">
        <f t="shared" si="7"/>
        <v>-8.3680000000000003</v>
      </c>
      <c r="AH37" s="14">
        <f t="shared" si="7"/>
        <v>-10.093999999999999</v>
      </c>
      <c r="AI37" s="14">
        <f t="shared" si="7"/>
        <v>-8.9809999999999999</v>
      </c>
      <c r="AJ37" s="14">
        <f t="shared" si="7"/>
        <v>-9.0150000000000006</v>
      </c>
      <c r="AK37" s="14">
        <f t="shared" si="7"/>
        <v>-36.457999999999998</v>
      </c>
      <c r="AL37" s="14">
        <f t="shared" si="7"/>
        <v>-13.77907884</v>
      </c>
      <c r="AM37" s="14">
        <f t="shared" si="7"/>
        <v>-10.959257060000001</v>
      </c>
      <c r="AN37" s="14">
        <f t="shared" si="7"/>
        <v>-10.530000000000001</v>
      </c>
      <c r="AO37" s="14">
        <f t="shared" si="7"/>
        <v>-10.256</v>
      </c>
      <c r="AP37" s="14">
        <f t="shared" si="7"/>
        <v>-45.524000000000001</v>
      </c>
      <c r="AQ37" s="14">
        <f t="shared" si="7"/>
        <v>-9.1598614700000009</v>
      </c>
      <c r="AR37" s="14">
        <f t="shared" si="7"/>
        <v>-6.6763110799999996</v>
      </c>
      <c r="AS37" s="14">
        <f t="shared" si="7"/>
        <v>-8.0425179899999986</v>
      </c>
      <c r="AT37" s="14">
        <f t="shared" si="7"/>
        <v>-8.072000000000001</v>
      </c>
      <c r="AU37" s="14">
        <f t="shared" si="7"/>
        <v>-31.950000000000003</v>
      </c>
      <c r="AV37" s="14">
        <f t="shared" si="7"/>
        <v>-7.7670000000000003</v>
      </c>
      <c r="AW37" s="14">
        <f t="shared" si="7"/>
        <v>-8.2759999999999998</v>
      </c>
      <c r="AX37" s="14">
        <f t="shared" si="7"/>
        <v>-8.94</v>
      </c>
      <c r="AY37" s="14">
        <f t="shared" si="7"/>
        <v>-67.135263189999975</v>
      </c>
      <c r="AZ37" s="14">
        <f t="shared" si="7"/>
        <v>-92.118263189999979</v>
      </c>
      <c r="BA37" s="14">
        <f t="shared" si="7"/>
        <v>-7.2310501899999977</v>
      </c>
      <c r="BB37" s="14">
        <f t="shared" si="7"/>
        <v>-7.1269345100000008</v>
      </c>
      <c r="BC37" s="14">
        <f t="shared" si="7"/>
        <v>-7.082073170000001</v>
      </c>
      <c r="BD37" s="14">
        <f t="shared" si="7"/>
        <v>-5.3900176199999938</v>
      </c>
      <c r="BE37" s="14">
        <f t="shared" si="7"/>
        <v>-26.830075489999992</v>
      </c>
      <c r="BF37" s="14">
        <f t="shared" si="7"/>
        <v>-8.5647349999999989</v>
      </c>
      <c r="BG37" s="14">
        <f t="shared" si="7"/>
        <v>-9.1009362800000044</v>
      </c>
      <c r="BH37" s="14">
        <f t="shared" si="7"/>
        <v>-9.0328208899999964</v>
      </c>
      <c r="BI37" s="14">
        <f t="shared" si="7"/>
        <v>-10.854782900000004</v>
      </c>
      <c r="BJ37" s="14">
        <f t="shared" si="7"/>
        <v>-37.553275070000005</v>
      </c>
      <c r="BK37" s="14">
        <f t="shared" si="7"/>
        <v>-8.274086040000002</v>
      </c>
      <c r="BL37" s="14">
        <f t="shared" si="7"/>
        <v>-113.03173105999998</v>
      </c>
      <c r="BM37" s="14">
        <f t="shared" si="7"/>
        <v>-11.18303693</v>
      </c>
      <c r="BN37" s="14">
        <f t="shared" si="7"/>
        <v>-24.809710543374997</v>
      </c>
      <c r="BO37" s="14">
        <f t="shared" si="7"/>
        <v>-157.29856457337499</v>
      </c>
      <c r="BP37" s="14">
        <f t="shared" si="7"/>
        <v>-10.121129629999999</v>
      </c>
      <c r="BQ37" s="14">
        <f>SUM(BQ38:BQ39)</f>
        <v>-5.2699206650000017</v>
      </c>
    </row>
    <row r="38" spans="1:69" s="16" customFormat="1" ht="15" customHeight="1" x14ac:dyDescent="0.3">
      <c r="A38" t="s">
        <v>91</v>
      </c>
      <c r="B38" s="20" t="str">
        <f>IF('Sumário | Summary'!P1=1,"Diferidos","Deferred")</f>
        <v>Diferidos</v>
      </c>
      <c r="C38" s="18">
        <v>0.59</v>
      </c>
      <c r="D38" s="18">
        <v>-2.0874259300000002</v>
      </c>
      <c r="E38" s="18">
        <v>1.8380000000000001</v>
      </c>
      <c r="F38" s="18">
        <v>2.2769569999999999</v>
      </c>
      <c r="G38" s="18">
        <v>2.6175310699999996</v>
      </c>
      <c r="H38" s="18">
        <v>0.27900000000000003</v>
      </c>
      <c r="I38" s="18">
        <v>-0.10299999999999999</v>
      </c>
      <c r="J38" s="18">
        <v>-0.379</v>
      </c>
      <c r="K38" s="18">
        <v>-2.3784700000000001</v>
      </c>
      <c r="L38" s="18">
        <v>-2.5814699999999999</v>
      </c>
      <c r="M38" s="18">
        <v>2.2770000000000001</v>
      </c>
      <c r="N38" s="18">
        <v>-6.0999999999999999E-2</v>
      </c>
      <c r="O38" s="18">
        <v>-0.45700000000000002</v>
      </c>
      <c r="P38" s="18">
        <v>-0.245</v>
      </c>
      <c r="Q38" s="18">
        <v>1.5140000000000002</v>
      </c>
      <c r="R38" s="18">
        <v>0.25800000000000001</v>
      </c>
      <c r="S38" s="18">
        <v>0.19400000000000001</v>
      </c>
      <c r="T38" s="18">
        <v>-0.126</v>
      </c>
      <c r="U38" s="18">
        <v>-0.129</v>
      </c>
      <c r="V38" s="18">
        <v>0.19700000000000001</v>
      </c>
      <c r="W38" s="18">
        <v>-2.9000000000000001E-2</v>
      </c>
      <c r="X38" s="18">
        <v>0.45</v>
      </c>
      <c r="Y38" s="18">
        <v>-0.78700000000000003</v>
      </c>
      <c r="Z38" s="18">
        <v>0.20399999999999999</v>
      </c>
      <c r="AA38" s="18">
        <v>-0.56699999999999995</v>
      </c>
      <c r="AB38" s="18">
        <v>0.11899999999999999</v>
      </c>
      <c r="AC38" s="18">
        <v>0.127</v>
      </c>
      <c r="AD38" s="18">
        <v>0.29699999999999999</v>
      </c>
      <c r="AE38" s="18">
        <v>0.121</v>
      </c>
      <c r="AF38" s="18">
        <v>0.66400000000000003</v>
      </c>
      <c r="AG38" s="18">
        <v>-0.122</v>
      </c>
      <c r="AH38" s="18">
        <v>1.7999999999999999E-2</v>
      </c>
      <c r="AI38" s="18">
        <v>-0.17399999999999999</v>
      </c>
      <c r="AJ38" s="18">
        <v>2.1999999999999999E-2</v>
      </c>
      <c r="AK38" s="18">
        <v>-0.25600000000000001</v>
      </c>
      <c r="AL38" s="19">
        <v>6.5065620000000005E-2</v>
      </c>
      <c r="AM38" s="19">
        <v>7.0000000000000001E-3</v>
      </c>
      <c r="AN38" s="19">
        <v>7.0000000000000001E-3</v>
      </c>
      <c r="AO38" s="19">
        <v>7.0000000000000001E-3</v>
      </c>
      <c r="AP38" s="19">
        <v>8.5999999999999993E-2</v>
      </c>
      <c r="AQ38" s="19">
        <v>1.142599E-2</v>
      </c>
      <c r="AR38" s="19">
        <v>2.0227619999999998E-2</v>
      </c>
      <c r="AS38" s="19">
        <v>9.9590299999999989E-3</v>
      </c>
      <c r="AT38" s="19">
        <v>0.01</v>
      </c>
      <c r="AU38" s="19">
        <v>5.1999999999999998E-2</v>
      </c>
      <c r="AV38" s="19">
        <v>6.6000000000000003E-2</v>
      </c>
      <c r="AW38" s="19">
        <v>4.0000000000000001E-3</v>
      </c>
      <c r="AX38" s="19">
        <v>-1.4E-2</v>
      </c>
      <c r="AY38" s="19">
        <v>7.5508500000000013E-3</v>
      </c>
      <c r="AZ38" s="19">
        <v>6.3550850000000006E-2</v>
      </c>
      <c r="BA38" s="19">
        <v>-1.7517560000000001E-2</v>
      </c>
      <c r="BB38" s="19">
        <v>-1.0060610000000001E-2</v>
      </c>
      <c r="BC38" s="19">
        <v>2.0724970000000002E-2</v>
      </c>
      <c r="BD38" s="19">
        <v>-5.2454600000000004E-3</v>
      </c>
      <c r="BE38" s="19">
        <v>-1.2098660000000002E-2</v>
      </c>
      <c r="BF38" s="19">
        <v>2.078054E-2</v>
      </c>
      <c r="BG38" s="19">
        <v>-2.9681099999999995E-3</v>
      </c>
      <c r="BH38" s="19">
        <v>1.0138099999999995E-3</v>
      </c>
      <c r="BI38" s="19">
        <v>6.0319999999997268E-5</v>
      </c>
      <c r="BJ38" s="19">
        <v>1.8886559999999997E-2</v>
      </c>
      <c r="BK38" s="19">
        <v>2.06514E-3</v>
      </c>
      <c r="BL38" s="19">
        <v>2.1873700000000001E-3</v>
      </c>
      <c r="BM38" s="19">
        <v>2.4318599999999997E-3</v>
      </c>
      <c r="BN38" s="19">
        <v>2.4318700000000018E-3</v>
      </c>
      <c r="BO38" s="19">
        <v>9.1162400000000011E-3</v>
      </c>
      <c r="BP38" s="19">
        <v>1.7798899999999997E-3</v>
      </c>
      <c r="BQ38" s="19">
        <v>-5.3958999999999995E-3</v>
      </c>
    </row>
    <row r="39" spans="1:69" s="16" customFormat="1" ht="15" customHeight="1" x14ac:dyDescent="0.3">
      <c r="A39" t="s">
        <v>92</v>
      </c>
      <c r="B39" s="20" t="str">
        <f>IF('Sumário | Summary'!P1=1,"Correntes","Current")</f>
        <v>Correntes</v>
      </c>
      <c r="C39" s="18">
        <v>-4.335</v>
      </c>
      <c r="D39" s="18">
        <v>-3.9786771399999998</v>
      </c>
      <c r="E39" s="18">
        <v>-4.625</v>
      </c>
      <c r="F39" s="18">
        <v>-9.5640000000000001</v>
      </c>
      <c r="G39" s="18">
        <v>-22.502677139999999</v>
      </c>
      <c r="H39" s="18">
        <v>-5.2030000000000003</v>
      </c>
      <c r="I39" s="18">
        <v>-5.0960000000000001</v>
      </c>
      <c r="J39" s="18">
        <v>-5.0129999999999999</v>
      </c>
      <c r="K39" s="18">
        <v>-4.9933449999999997</v>
      </c>
      <c r="L39" s="18">
        <v>-20.305344999999999</v>
      </c>
      <c r="M39" s="18">
        <v>-6.6340000000000003</v>
      </c>
      <c r="N39" s="18">
        <v>-7.077</v>
      </c>
      <c r="O39" s="18">
        <v>-7.1210000000000004</v>
      </c>
      <c r="P39" s="18">
        <v>-7.4939999999999998</v>
      </c>
      <c r="Q39" s="18">
        <v>-28.326000000000001</v>
      </c>
      <c r="R39" s="18">
        <v>-7.3929999999999998</v>
      </c>
      <c r="S39" s="18">
        <v>-7.5149999999999997</v>
      </c>
      <c r="T39" s="18">
        <v>-8.4</v>
      </c>
      <c r="U39" s="18">
        <v>-8.673</v>
      </c>
      <c r="V39" s="18">
        <v>-31.981000000000002</v>
      </c>
      <c r="W39" s="18">
        <v>-6.4029999999999996</v>
      </c>
      <c r="X39" s="18">
        <v>-7.25</v>
      </c>
      <c r="Y39" s="18">
        <v>-8.4169999999999998</v>
      </c>
      <c r="Z39" s="18">
        <v>-7.875</v>
      </c>
      <c r="AA39" s="18">
        <v>-29.945</v>
      </c>
      <c r="AB39" s="18">
        <v>-8.3529999999999998</v>
      </c>
      <c r="AC39" s="18">
        <v>-7.5839999999999996</v>
      </c>
      <c r="AD39" s="18">
        <v>-18.338000000000001</v>
      </c>
      <c r="AE39" s="18">
        <v>-3.105</v>
      </c>
      <c r="AF39" s="18">
        <v>-37.380000000000003</v>
      </c>
      <c r="AG39" s="18">
        <v>-8.2460000000000004</v>
      </c>
      <c r="AH39" s="18">
        <v>-10.112</v>
      </c>
      <c r="AI39" s="18">
        <v>-8.8070000000000004</v>
      </c>
      <c r="AJ39" s="18">
        <v>-9.0370000000000008</v>
      </c>
      <c r="AK39" s="18">
        <v>-36.201999999999998</v>
      </c>
      <c r="AL39" s="19">
        <v>-13.844144460000001</v>
      </c>
      <c r="AM39" s="19">
        <v>-10.96625706</v>
      </c>
      <c r="AN39" s="19">
        <v>-10.537000000000001</v>
      </c>
      <c r="AO39" s="19">
        <v>-10.263</v>
      </c>
      <c r="AP39" s="19">
        <v>-45.61</v>
      </c>
      <c r="AQ39" s="19">
        <v>-9.1712874600000003</v>
      </c>
      <c r="AR39" s="19">
        <v>-6.6965386999999996</v>
      </c>
      <c r="AS39" s="19">
        <v>-8.0524770199999978</v>
      </c>
      <c r="AT39" s="19">
        <v>-8.0820000000000007</v>
      </c>
      <c r="AU39" s="19">
        <v>-32.002000000000002</v>
      </c>
      <c r="AV39" s="19">
        <v>-7.8330000000000002</v>
      </c>
      <c r="AW39" s="19">
        <v>-8.2799999999999994</v>
      </c>
      <c r="AX39" s="19">
        <v>-8.9260000000000002</v>
      </c>
      <c r="AY39" s="19">
        <v>-67.142814039999976</v>
      </c>
      <c r="AZ39" s="19">
        <v>-92.181814039999978</v>
      </c>
      <c r="BA39" s="19">
        <v>-7.2135326299999978</v>
      </c>
      <c r="BB39" s="19">
        <v>-7.1168739000000008</v>
      </c>
      <c r="BC39" s="19">
        <v>-7.1027981400000009</v>
      </c>
      <c r="BD39" s="19">
        <v>-5.3847721599999936</v>
      </c>
      <c r="BE39" s="19">
        <v>-26.817976829999992</v>
      </c>
      <c r="BF39" s="19">
        <v>-8.5855155399999994</v>
      </c>
      <c r="BG39" s="19">
        <v>-9.097968170000005</v>
      </c>
      <c r="BH39" s="19">
        <v>-9.0338346999999963</v>
      </c>
      <c r="BI39" s="19">
        <v>-10.854843220000003</v>
      </c>
      <c r="BJ39" s="19">
        <v>-37.572161630000004</v>
      </c>
      <c r="BK39" s="19">
        <v>-8.2761511800000012</v>
      </c>
      <c r="BL39" s="19">
        <v>-113.03391842999999</v>
      </c>
      <c r="BM39" s="19">
        <v>-11.18546879</v>
      </c>
      <c r="BN39" s="19">
        <v>-24.812142413374996</v>
      </c>
      <c r="BO39" s="19">
        <v>-157.30768081337499</v>
      </c>
      <c r="BP39" s="19">
        <v>-10.122909519999999</v>
      </c>
      <c r="BQ39" s="19">
        <v>-5.2645247650000018</v>
      </c>
    </row>
    <row r="40" spans="1:69" s="16" customFormat="1" ht="15" customHeight="1" x14ac:dyDescent="0.3">
      <c r="A40" t="s">
        <v>93</v>
      </c>
      <c r="B40" s="24" t="str">
        <f>IF('Sumário | Summary'!P1=1,"Lucro antes da participação dos minoritários","Profit before minority
interest")</f>
        <v>Lucro antes da participação dos minoritários</v>
      </c>
      <c r="C40" s="27">
        <v>6.5030000000000001</v>
      </c>
      <c r="D40" s="27">
        <v>5.5459429105779998</v>
      </c>
      <c r="E40" s="27">
        <v>5.7039999999999997</v>
      </c>
      <c r="F40" s="27">
        <v>21.239153999999999</v>
      </c>
      <c r="G40" s="15">
        <v>192.02832534057947</v>
      </c>
      <c r="H40" s="15">
        <v>62.585000000000001</v>
      </c>
      <c r="I40" s="15">
        <v>47.374000000000009</v>
      </c>
      <c r="J40" s="15">
        <v>48.715000000000018</v>
      </c>
      <c r="K40" s="15">
        <v>32.326123100000004</v>
      </c>
      <c r="L40" s="15">
        <v>191.0001231</v>
      </c>
      <c r="M40" s="15">
        <v>48.940000000000012</v>
      </c>
      <c r="N40" s="15">
        <v>30.853000000000002</v>
      </c>
      <c r="O40" s="15">
        <v>47.289000000000001</v>
      </c>
      <c r="P40" s="15">
        <v>21.737000000000005</v>
      </c>
      <c r="Q40" s="15">
        <v>148.81899999999996</v>
      </c>
      <c r="R40" s="15">
        <v>-2.7280000000000104</v>
      </c>
      <c r="S40" s="15">
        <v>24.515999999999984</v>
      </c>
      <c r="T40" s="15">
        <v>18.877000000000006</v>
      </c>
      <c r="U40" s="15">
        <v>11.581708803000019</v>
      </c>
      <c r="V40" s="15">
        <v>52.271354436292441</v>
      </c>
      <c r="W40" s="15">
        <v>14.205907622903798</v>
      </c>
      <c r="X40" s="15">
        <v>0.53199999999996539</v>
      </c>
      <c r="Y40" s="15">
        <v>-6.7020000000000053</v>
      </c>
      <c r="Z40" s="15">
        <v>6.7289999999999983</v>
      </c>
      <c r="AA40" s="15">
        <f t="shared" ref="AA40:BP40" si="8">AA36+AA37</f>
        <v>14.360670287403863</v>
      </c>
      <c r="AB40" s="15">
        <f t="shared" si="8"/>
        <v>-11.942996828450005</v>
      </c>
      <c r="AC40" s="15">
        <f t="shared" si="8"/>
        <v>-6.4104410653500201</v>
      </c>
      <c r="AD40" s="15">
        <f t="shared" si="8"/>
        <v>236.68877567798333</v>
      </c>
      <c r="AE40" s="15">
        <f t="shared" si="8"/>
        <v>4.1400078846500197</v>
      </c>
      <c r="AF40" s="15">
        <f t="shared" si="8"/>
        <v>222.45450597104201</v>
      </c>
      <c r="AG40" s="15">
        <f t="shared" si="8"/>
        <v>21.297282370000026</v>
      </c>
      <c r="AH40" s="15">
        <f t="shared" si="8"/>
        <v>36.210007460000007</v>
      </c>
      <c r="AI40" s="15">
        <f t="shared" si="8"/>
        <v>-7.2360732982866711</v>
      </c>
      <c r="AJ40" s="15">
        <f t="shared" si="8"/>
        <v>-0.57011646999997367</v>
      </c>
      <c r="AK40" s="15">
        <f t="shared" si="8"/>
        <v>49.701100071713356</v>
      </c>
      <c r="AL40" s="15">
        <f t="shared" si="8"/>
        <v>17.761747876564598</v>
      </c>
      <c r="AM40" s="15">
        <f t="shared" si="8"/>
        <v>0.30663455000002671</v>
      </c>
      <c r="AN40" s="15">
        <f t="shared" si="8"/>
        <v>25.304799043316066</v>
      </c>
      <c r="AO40" s="15">
        <f t="shared" si="8"/>
        <v>53.399969882661665</v>
      </c>
      <c r="AP40" s="15">
        <f t="shared" si="8"/>
        <v>161.96089754597773</v>
      </c>
      <c r="AQ40" s="15">
        <f t="shared" si="8"/>
        <v>35.758797237861081</v>
      </c>
      <c r="AR40" s="15">
        <f t="shared" si="8"/>
        <v>10.41214986096333</v>
      </c>
      <c r="AS40" s="15">
        <f t="shared" si="8"/>
        <v>52.026829933876584</v>
      </c>
      <c r="AT40" s="15">
        <f t="shared" si="8"/>
        <v>29.761202620094721</v>
      </c>
      <c r="AU40" s="15">
        <f t="shared" si="8"/>
        <v>163.2386516783842</v>
      </c>
      <c r="AV40" s="15">
        <f t="shared" si="8"/>
        <v>29.072147727005028</v>
      </c>
      <c r="AW40" s="15">
        <f t="shared" si="8"/>
        <v>26.160019254477479</v>
      </c>
      <c r="AX40" s="15">
        <f t="shared" si="8"/>
        <v>32.006408568283973</v>
      </c>
      <c r="AY40" s="15">
        <f t="shared" si="8"/>
        <v>1316.9460698022613</v>
      </c>
      <c r="AZ40" s="15">
        <f t="shared" si="8"/>
        <v>1466.6825116442305</v>
      </c>
      <c r="BA40" s="15">
        <f t="shared" si="8"/>
        <v>-3.0112690773624351</v>
      </c>
      <c r="BB40" s="15">
        <f t="shared" si="8"/>
        <v>-21.215453072295901</v>
      </c>
      <c r="BC40" s="15">
        <f t="shared" si="8"/>
        <v>12.74337877399028</v>
      </c>
      <c r="BD40" s="15">
        <f t="shared" si="8"/>
        <v>-21.456318034674645</v>
      </c>
      <c r="BE40" s="15">
        <f t="shared" si="8"/>
        <v>-24.348502450342728</v>
      </c>
      <c r="BF40" s="15">
        <f t="shared" si="8"/>
        <v>-12.31445082621048</v>
      </c>
      <c r="BG40" s="15">
        <f t="shared" si="8"/>
        <v>-1.618578012065429</v>
      </c>
      <c r="BH40" s="15">
        <f t="shared" si="8"/>
        <v>8.4371878064012833</v>
      </c>
      <c r="BI40" s="15">
        <f t="shared" si="8"/>
        <v>11.042559995789432</v>
      </c>
      <c r="BJ40" s="15">
        <f t="shared" si="8"/>
        <v>5.5467189639147492</v>
      </c>
      <c r="BK40" s="15">
        <f t="shared" si="8"/>
        <v>12.865288996793501</v>
      </c>
      <c r="BL40" s="15">
        <f t="shared" si="8"/>
        <v>566.44424451269936</v>
      </c>
      <c r="BM40" s="15">
        <f t="shared" si="8"/>
        <v>36.458497303654028</v>
      </c>
      <c r="BN40" s="15">
        <f t="shared" si="8"/>
        <v>44.177158910089481</v>
      </c>
      <c r="BO40" s="15">
        <f t="shared" si="8"/>
        <v>659.94518972323624</v>
      </c>
      <c r="BP40" s="15">
        <f t="shared" si="8"/>
        <v>23.860910606107055</v>
      </c>
      <c r="BQ40" s="15">
        <f>BQ36+BQ37</f>
        <v>16.193621589523886</v>
      </c>
    </row>
    <row r="41" spans="1:69" s="16" customFormat="1" ht="15" customHeight="1" x14ac:dyDescent="0.3">
      <c r="A41" t="s">
        <v>94</v>
      </c>
      <c r="B41" s="20" t="str">
        <f>IF('Sumário | Summary'!P1=1,"Participação dos minoritários","Minority interest")</f>
        <v>Participação dos minoritários</v>
      </c>
      <c r="C41" s="28">
        <v>16.392999999999997</v>
      </c>
      <c r="D41" s="28">
        <v>74.828057764448289</v>
      </c>
      <c r="E41" s="28">
        <v>23.510000000000005</v>
      </c>
      <c r="F41" s="28">
        <v>36.843757585553135</v>
      </c>
      <c r="G41" s="28">
        <v>153.03622843000147</v>
      </c>
      <c r="H41" s="28">
        <v>45.41</v>
      </c>
      <c r="I41" s="28">
        <v>38.106000000000009</v>
      </c>
      <c r="J41" s="28">
        <v>40.686000000000021</v>
      </c>
      <c r="K41" s="28">
        <v>24.701076100000002</v>
      </c>
      <c r="L41" s="28">
        <v>148.90307609999999</v>
      </c>
      <c r="M41" s="28">
        <v>38.663000000000011</v>
      </c>
      <c r="N41" s="28">
        <v>19.884</v>
      </c>
      <c r="O41" s="28">
        <v>29.619</v>
      </c>
      <c r="P41" s="28">
        <v>9.7950000000000053</v>
      </c>
      <c r="Q41" s="28">
        <v>97.960999999999956</v>
      </c>
      <c r="R41" s="28">
        <v>-3.3650000000000104</v>
      </c>
      <c r="S41" s="28">
        <v>18.320999999999984</v>
      </c>
      <c r="T41" s="28">
        <v>9.4770000000000056</v>
      </c>
      <c r="U41" s="28">
        <v>-1.1012911969999806</v>
      </c>
      <c r="V41" s="28">
        <v>23.32335443629249</v>
      </c>
      <c r="W41" s="28">
        <v>4.3979076229037979</v>
      </c>
      <c r="X41" s="28">
        <v>-10.957000000000034</v>
      </c>
      <c r="Y41" s="28">
        <v>-17.142000000000003</v>
      </c>
      <c r="Z41" s="28">
        <v>2.3749999999999982</v>
      </c>
      <c r="AA41" s="27">
        <v>35.686</v>
      </c>
      <c r="AB41" s="19">
        <v>-7.7219047390223601</v>
      </c>
      <c r="AC41" s="19">
        <v>-10.635687708305719</v>
      </c>
      <c r="AD41" s="19">
        <v>-17.834636962671915</v>
      </c>
      <c r="AE41" s="19">
        <v>-12.056752870000004</v>
      </c>
      <c r="AF41" s="19">
        <v>-48.248982280000007</v>
      </c>
      <c r="AG41" s="19">
        <v>21.296202674981952</v>
      </c>
      <c r="AH41" s="19">
        <v>36.211792788443312</v>
      </c>
      <c r="AI41" s="19">
        <v>-7.2365596369716894</v>
      </c>
      <c r="AJ41" s="19">
        <v>-0.56958190822070442</v>
      </c>
      <c r="AK41" s="19">
        <v>49.701853918232878</v>
      </c>
      <c r="AL41" s="19">
        <v>-14.604088756440001</v>
      </c>
      <c r="AM41" s="19">
        <v>-17.450733490661001</v>
      </c>
      <c r="AN41" s="19">
        <v>-16.544</v>
      </c>
      <c r="AO41" s="19">
        <v>-15.326024028190174</v>
      </c>
      <c r="AP41" s="19">
        <v>-63.963927194454932</v>
      </c>
      <c r="AQ41" s="19">
        <v>-19.344578009999999</v>
      </c>
      <c r="AR41" s="19">
        <v>-9.5514214438365759</v>
      </c>
      <c r="AS41" s="19">
        <v>-25.324612485263025</v>
      </c>
      <c r="AT41" s="19">
        <v>-23.112776838004983</v>
      </c>
      <c r="AU41" s="19">
        <v>-77.333388777104588</v>
      </c>
      <c r="AV41" s="19">
        <v>-21.947210782660587</v>
      </c>
      <c r="AW41" s="19">
        <v>-19.030755437339408</v>
      </c>
      <c r="AX41" s="19">
        <v>-22.98725177554854</v>
      </c>
      <c r="AY41" s="19">
        <v>-53.54178200445147</v>
      </c>
      <c r="AZ41" s="19">
        <v>-117.50700000000001</v>
      </c>
      <c r="BA41" s="19">
        <v>-7.908734407059999</v>
      </c>
      <c r="BB41" s="29">
        <v>-7.943363426737001</v>
      </c>
      <c r="BC41" s="19">
        <v>-5.8903645829480098</v>
      </c>
      <c r="BD41" s="19">
        <v>-2.3186961499091483</v>
      </c>
      <c r="BE41" s="19">
        <v>-24.061158566654157</v>
      </c>
      <c r="BF41" s="19">
        <v>-2.5662340270160056</v>
      </c>
      <c r="BG41" s="19">
        <v>-2.515455481631014</v>
      </c>
      <c r="BH41" s="19">
        <v>-4.878454732359347</v>
      </c>
      <c r="BI41" s="19">
        <v>-5.6282346767505329</v>
      </c>
      <c r="BJ41" s="19">
        <v>-15.5883789177569</v>
      </c>
      <c r="BK41" s="19">
        <v>-6.1790683206660031</v>
      </c>
      <c r="BL41" s="19">
        <v>-109.33635782691211</v>
      </c>
      <c r="BM41" s="19">
        <v>-13.887600752188401</v>
      </c>
      <c r="BN41" s="19">
        <v>15.712400121901432</v>
      </c>
      <c r="BO41" s="19">
        <v>-113.69062677786508</v>
      </c>
      <c r="BP41" s="19">
        <v>-5.1595179746422604</v>
      </c>
      <c r="BQ41" s="19">
        <v>0.37889679371109469</v>
      </c>
    </row>
    <row r="42" spans="1:69" s="16" customFormat="1" ht="15" customHeight="1" x14ac:dyDescent="0.3">
      <c r="A42" t="s">
        <v>95</v>
      </c>
      <c r="B42" s="24" t="str">
        <f>IF('Sumário | Summary'!P1=1,"Lucro/Prejuízo do Período","Profit / Loss for the Period")</f>
        <v>Lucro/Prejuízo do Período</v>
      </c>
      <c r="C42" s="27">
        <v>22.895999999999997</v>
      </c>
      <c r="D42" s="27">
        <v>80.374000675026295</v>
      </c>
      <c r="E42" s="27">
        <v>29.214000000000006</v>
      </c>
      <c r="F42" s="27">
        <v>58.082911585553134</v>
      </c>
      <c r="G42" s="30">
        <v>192.02832534057947</v>
      </c>
      <c r="H42" s="30">
        <v>62.584999999999994</v>
      </c>
      <c r="I42" s="30">
        <v>47.374000000000009</v>
      </c>
      <c r="J42" s="30">
        <v>48.715000000000018</v>
      </c>
      <c r="K42" s="30">
        <v>32.326123100000004</v>
      </c>
      <c r="L42" s="30">
        <v>191.0001231</v>
      </c>
      <c r="M42" s="30">
        <v>48.940000000000012</v>
      </c>
      <c r="N42" s="30">
        <v>30.853000000000002</v>
      </c>
      <c r="O42" s="30">
        <v>47.289000000000001</v>
      </c>
      <c r="P42" s="30">
        <v>21.737000000000005</v>
      </c>
      <c r="Q42" s="30">
        <v>148.81899999999996</v>
      </c>
      <c r="R42" s="30">
        <v>-2.7280000000000104</v>
      </c>
      <c r="S42" s="30">
        <v>24.515999999999984</v>
      </c>
      <c r="T42" s="30">
        <v>18.877000000000006</v>
      </c>
      <c r="U42" s="14">
        <v>11.581708803000019</v>
      </c>
      <c r="V42" s="30">
        <v>52.238354436292489</v>
      </c>
      <c r="W42" s="14">
        <v>14.205907622903798</v>
      </c>
      <c r="X42" s="14">
        <v>0.12699999999996514</v>
      </c>
      <c r="Y42" s="14">
        <v>-6.7020000000000035</v>
      </c>
      <c r="Z42" s="14">
        <v>6.7289999999999983</v>
      </c>
      <c r="AA42" s="15">
        <v>50.043762664500044</v>
      </c>
      <c r="AB42" s="15">
        <v>-19.664901567472363</v>
      </c>
      <c r="AC42" s="15">
        <v>-17.046128773655738</v>
      </c>
      <c r="AD42" s="15">
        <v>218.85413871531142</v>
      </c>
      <c r="AE42" s="15">
        <v>-7.9167449853499843</v>
      </c>
      <c r="AF42" s="15">
        <v>174.205523691042</v>
      </c>
      <c r="AG42" s="15">
        <v>42.593485044981975</v>
      </c>
      <c r="AH42" s="15">
        <v>72.421800248443319</v>
      </c>
      <c r="AI42" s="15">
        <v>-14.47263293525836</v>
      </c>
      <c r="AJ42" s="15">
        <v>-1.139698378220678</v>
      </c>
      <c r="AK42" s="15">
        <v>99.402953989946241</v>
      </c>
      <c r="AL42" s="15">
        <v>3.1571418701246099</v>
      </c>
      <c r="AM42" s="15">
        <v>-17.143536670660971</v>
      </c>
      <c r="AN42" s="15">
        <v>8.7607085256640538</v>
      </c>
      <c r="AO42" s="15">
        <v>38.074105933076495</v>
      </c>
      <c r="AP42" s="15">
        <v>97.997084932475786</v>
      </c>
      <c r="AQ42" s="15">
        <v>16.414593399808069</v>
      </c>
      <c r="AR42" s="15">
        <v>0.86005137675050847</v>
      </c>
      <c r="AS42" s="15">
        <v>26.702650265712826</v>
      </c>
      <c r="AT42" s="15">
        <v>6.648022958681743</v>
      </c>
      <c r="AU42" s="15">
        <v>85.904990026541711</v>
      </c>
      <c r="AV42" s="15">
        <v>7.1247551173394328</v>
      </c>
      <c r="AW42" s="15">
        <v>7.1299492226605885</v>
      </c>
      <c r="AX42" s="15">
        <v>9.0182666844514223</v>
      </c>
      <c r="AY42" s="15">
        <v>1263.4042877978097</v>
      </c>
      <c r="AZ42" s="15">
        <v>1287.6579544622614</v>
      </c>
      <c r="BA42" s="15">
        <v>-10.920003484422462</v>
      </c>
      <c r="BB42" s="15">
        <v>-29.158816499032902</v>
      </c>
      <c r="BC42" s="15">
        <v>6.8530141910423268</v>
      </c>
      <c r="BD42" s="15">
        <v>-23.77501418458375</v>
      </c>
      <c r="BE42" s="15">
        <v>-57.000819976996802</v>
      </c>
      <c r="BF42" s="15">
        <v>-14.880684853226471</v>
      </c>
      <c r="BG42" s="15">
        <v>-4.134033493696414</v>
      </c>
      <c r="BH42" s="15">
        <v>3.5587330740419363</v>
      </c>
      <c r="BI42" s="15">
        <v>5.4143253190388991</v>
      </c>
      <c r="BJ42" s="15">
        <v>-10.041659953842151</v>
      </c>
      <c r="BK42" s="15">
        <v>6.6862206761274976</v>
      </c>
      <c r="BL42" s="15">
        <v>457.10788668578726</v>
      </c>
      <c r="BM42" s="15">
        <v>22.570896551465626</v>
      </c>
      <c r="BN42" s="15">
        <v>59.889559031990913</v>
      </c>
      <c r="BO42" s="15">
        <v>546.25456294537128</v>
      </c>
      <c r="BP42" s="15">
        <v>18.701392631464795</v>
      </c>
      <c r="BQ42" s="15">
        <f>BQ40+BQ41</f>
        <v>16.572518383234982</v>
      </c>
    </row>
    <row r="43" spans="1:69" s="16" customFormat="1" x14ac:dyDescent="0.3">
      <c r="A43" s="12" t="s">
        <v>96</v>
      </c>
      <c r="B43" s="24" t="str">
        <f>IF('Sumário | Summary'!P1=1,"Margem Líquida","Net Margin")</f>
        <v>Margem Líquida</v>
      </c>
      <c r="C43" s="31">
        <v>0.46251742318647349</v>
      </c>
      <c r="D43" s="31">
        <v>0.87249121105861016</v>
      </c>
      <c r="E43" s="31">
        <v>0.48587965272926859</v>
      </c>
      <c r="F43" s="31">
        <v>0.33948641522001816</v>
      </c>
      <c r="G43" s="31">
        <f t="shared" ref="G43:Z43" si="9">G42/G14</f>
        <v>0.51504264821424051</v>
      </c>
      <c r="H43" s="31">
        <f t="shared" si="9"/>
        <v>0.89176557757797692</v>
      </c>
      <c r="I43" s="31">
        <f t="shared" si="9"/>
        <v>0.53505760108425582</v>
      </c>
      <c r="J43" s="31">
        <f t="shared" si="9"/>
        <v>0.5850175931596836</v>
      </c>
      <c r="K43" s="31">
        <f t="shared" si="9"/>
        <v>0.40255797634061496</v>
      </c>
      <c r="L43" s="31">
        <f t="shared" si="9"/>
        <v>0.59262738970379381</v>
      </c>
      <c r="M43" s="31">
        <f t="shared" si="9"/>
        <v>0.5187014446057806</v>
      </c>
      <c r="N43" s="31">
        <f t="shared" si="9"/>
        <v>0.37288197046240118</v>
      </c>
      <c r="O43" s="31">
        <f t="shared" si="9"/>
        <v>0.40947465948548317</v>
      </c>
      <c r="P43" s="31">
        <f t="shared" si="9"/>
        <v>0.24346725507106778</v>
      </c>
      <c r="Q43" s="31">
        <f t="shared" si="9"/>
        <v>0.38972034326626698</v>
      </c>
      <c r="R43" s="31">
        <f t="shared" si="9"/>
        <v>-3.3119658119658245E-2</v>
      </c>
      <c r="S43" s="31">
        <f t="shared" si="9"/>
        <v>0.26975045112451024</v>
      </c>
      <c r="T43" s="31">
        <f t="shared" si="9"/>
        <v>0.17921769676255581</v>
      </c>
      <c r="U43" s="31">
        <f t="shared" si="9"/>
        <v>0.10957181371791351</v>
      </c>
      <c r="V43" s="31">
        <f t="shared" si="9"/>
        <v>0.13593765521395715</v>
      </c>
      <c r="W43" s="31">
        <f t="shared" si="9"/>
        <v>0.15311240196789089</v>
      </c>
      <c r="X43" s="31">
        <f t="shared" si="9"/>
        <v>1.4068592697621097E-3</v>
      </c>
      <c r="Y43" s="31">
        <f t="shared" si="9"/>
        <v>-5.4085898284293971E-2</v>
      </c>
      <c r="Z43" s="31">
        <f t="shared" si="9"/>
        <v>5.8879117994487452E-2</v>
      </c>
      <c r="AA43" s="31">
        <v>0.11879853166298328</v>
      </c>
      <c r="AB43" s="31">
        <v>-0.2005026771291458</v>
      </c>
      <c r="AC43" s="31">
        <v>-0.15944521764917582</v>
      </c>
      <c r="AD43" s="31">
        <v>1.6762596695438257</v>
      </c>
      <c r="AE43" s="31">
        <v>-7.1500024356987282E-2</v>
      </c>
      <c r="AF43" s="31">
        <v>0.39035687542407599</v>
      </c>
      <c r="AG43" s="31">
        <v>0.40745987371648551</v>
      </c>
      <c r="AH43" s="31">
        <v>0.43645615703422774</v>
      </c>
      <c r="AI43" s="31">
        <v>-0.13432185253292589</v>
      </c>
      <c r="AJ43" s="31">
        <v>-1.0216484390751091E-2</v>
      </c>
      <c r="AK43" s="31">
        <v>0.20295992680815078</v>
      </c>
      <c r="AL43" s="31">
        <v>2.810912481303918E-2</v>
      </c>
      <c r="AM43" s="31">
        <v>-0.14991949920045081</v>
      </c>
      <c r="AN43" s="31">
        <v>7.5730437098896666E-2</v>
      </c>
      <c r="AO43" s="31">
        <v>0.29635650388133816</v>
      </c>
      <c r="AP43" s="31">
        <v>0.20813875848986771</v>
      </c>
      <c r="AQ43" s="31">
        <v>0.12636185790433443</v>
      </c>
      <c r="AR43" s="31">
        <v>9.2421743422140441E-3</v>
      </c>
      <c r="AS43" s="31">
        <v>0.19036552670748511</v>
      </c>
      <c r="AT43" s="31">
        <v>5.4007513717572585E-2</v>
      </c>
      <c r="AU43" s="31">
        <v>0.17664163723554061</v>
      </c>
      <c r="AV43" s="31">
        <v>6.0173990188280693E-2</v>
      </c>
      <c r="AW43" s="31">
        <v>6.3188018495880391E-2</v>
      </c>
      <c r="AX43" s="31">
        <v>7.2366106251366552E-2</v>
      </c>
      <c r="AY43" s="31">
        <v>0.64781592906325114</v>
      </c>
      <c r="AZ43" s="31">
        <v>0.55836757732399611</v>
      </c>
      <c r="BA43" s="31">
        <v>-7.1225160614598021E-2</v>
      </c>
      <c r="BB43" s="31">
        <v>-0.28991036435810358</v>
      </c>
      <c r="BC43" s="31">
        <v>6.4980980378074246E-2</v>
      </c>
      <c r="BD43" s="31">
        <v>-0.2064854881040766</v>
      </c>
      <c r="BE43" s="31">
        <v>-0.12012853996148545</v>
      </c>
      <c r="BF43" s="31">
        <v>-0.14993138080172877</v>
      </c>
      <c r="BG43" s="31">
        <v>-3.976102597008372E-2</v>
      </c>
      <c r="BH43" s="31">
        <v>3.3601720733427022E-2</v>
      </c>
      <c r="BI43" s="31">
        <v>4.6846322163770118E-2</v>
      </c>
      <c r="BJ43" s="31">
        <v>-2.3643705508903809E-2</v>
      </c>
      <c r="BK43" s="31">
        <v>5.9482255137844282E-2</v>
      </c>
      <c r="BL43" s="31">
        <v>0.42268877473854166</v>
      </c>
      <c r="BM43" s="31">
        <v>0.26256280223729755</v>
      </c>
      <c r="BN43" s="31">
        <v>0.76837194306248036</v>
      </c>
      <c r="BO43" s="31">
        <v>0.40232539006860818</v>
      </c>
      <c r="BP43" s="31">
        <v>0.22326591119095746</v>
      </c>
      <c r="BQ43" s="31">
        <f>BQ42/BQ14</f>
        <v>0.22283372831562748</v>
      </c>
    </row>
    <row r="44" spans="1:69" s="16" customFormat="1" x14ac:dyDescent="0.3">
      <c r="A44" s="12" t="s">
        <v>97</v>
      </c>
      <c r="B44" s="32" t="str">
        <f>IF('Sumário | Summary'!P1=1,"Lucro Líquido por ação","Profit Per Share")</f>
        <v>Lucro Líquido por ação</v>
      </c>
      <c r="C44" s="33">
        <v>0.19900000000000001</v>
      </c>
      <c r="D44" s="33">
        <v>0.92100000000000004</v>
      </c>
      <c r="E44" s="33">
        <v>0.28499999999999998</v>
      </c>
      <c r="F44" s="33">
        <v>0.44700000000000001</v>
      </c>
      <c r="G44" s="33">
        <v>1.8520000000000001</v>
      </c>
      <c r="H44" s="33">
        <v>0.54900000000000004</v>
      </c>
      <c r="I44" s="33">
        <v>0.46</v>
      </c>
      <c r="J44" s="33">
        <v>0.49199999999999999</v>
      </c>
      <c r="K44" s="33">
        <v>0.29799999999999999</v>
      </c>
      <c r="L44" s="33">
        <v>1.7989999999999999</v>
      </c>
      <c r="M44" s="33">
        <v>0.46700000000000003</v>
      </c>
      <c r="N44" s="33">
        <v>0.24</v>
      </c>
      <c r="O44" s="33">
        <v>0.35799999999999998</v>
      </c>
      <c r="P44" s="33">
        <v>0.11799999999999999</v>
      </c>
      <c r="Q44" s="33">
        <v>1.1839999999999999</v>
      </c>
      <c r="R44" s="33">
        <v>-4.1000000000000002E-2</v>
      </c>
      <c r="S44" s="33">
        <v>0.221</v>
      </c>
      <c r="T44" s="33">
        <v>7.9000000000000001E-2</v>
      </c>
      <c r="U44" s="33">
        <v>-8.8355280216679301E-3</v>
      </c>
      <c r="V44" s="33">
        <v>0.19478230722546205</v>
      </c>
      <c r="W44" s="33">
        <v>3.6750909816292664E-2</v>
      </c>
      <c r="X44" s="34">
        <v>-9.1999999999999998E-2</v>
      </c>
      <c r="Y44" s="34">
        <v>-0.14299999999999999</v>
      </c>
      <c r="Z44" s="34">
        <v>1.9848383910089577E-2</v>
      </c>
      <c r="AA44" s="33">
        <v>-0.17821723600962525</v>
      </c>
      <c r="AB44" s="35">
        <v>-0.16500000000000001</v>
      </c>
      <c r="AC44" s="35">
        <v>-0.14199999999999999</v>
      </c>
      <c r="AD44" s="35">
        <v>1.8289329229645859</v>
      </c>
      <c r="AE44" s="35">
        <v>-6.6171591327194537E-2</v>
      </c>
      <c r="AF44" s="35">
        <v>1.4557847508581703</v>
      </c>
      <c r="AG44" s="35">
        <v>7.5145509563926544E-2</v>
      </c>
      <c r="AH44" s="35">
        <v>0.19220917132269086</v>
      </c>
      <c r="AI44" s="35">
        <v>-0.15962304305171721</v>
      </c>
      <c r="AJ44" s="35">
        <v>-0.11514068737955196</v>
      </c>
      <c r="AK44" s="35">
        <v>-7.4090495446520336E-3</v>
      </c>
      <c r="AL44" s="35">
        <v>2.6385135258315404E-2</v>
      </c>
      <c r="AM44" s="35">
        <v>-0.14327292825871196</v>
      </c>
      <c r="AN44" s="35">
        <v>7.3754687056099819E-2</v>
      </c>
      <c r="AO44" s="35">
        <v>0.31731654668877579</v>
      </c>
      <c r="AP44" s="35">
        <v>0.27418344074447903</v>
      </c>
      <c r="AQ44" s="35">
        <v>0.10753487505491317</v>
      </c>
      <c r="AR44" s="35">
        <v>5.8298169181418315E-3</v>
      </c>
      <c r="AS44" s="35">
        <v>0.1749381575616627</v>
      </c>
      <c r="AT44" s="35">
        <v>4.3537067266978299E-2</v>
      </c>
      <c r="AU44" s="35">
        <v>0.33183991680169606</v>
      </c>
      <c r="AV44" s="35">
        <v>4.6679066897274378E-2</v>
      </c>
      <c r="AW44" s="35">
        <v>4.6708404575147314E-2</v>
      </c>
      <c r="AX44" s="35">
        <v>5.9135027477285995E-2</v>
      </c>
      <c r="AY44" s="35">
        <v>8.2767786786987845</v>
      </c>
      <c r="AZ44" s="35">
        <v>8.4293011776484921</v>
      </c>
      <c r="BA44" s="35">
        <v>-7.1538820062678615E-2</v>
      </c>
      <c r="BB44" s="35">
        <v>-0.19102441951970756</v>
      </c>
      <c r="BC44" s="35">
        <v>4.4895274053650319E-2</v>
      </c>
      <c r="BD44" s="35">
        <v>-0.15575420503893075</v>
      </c>
      <c r="BE44" s="35">
        <v>-0.37342217056766658</v>
      </c>
      <c r="BF44" s="35">
        <v>-9.7485924582623895E-2</v>
      </c>
      <c r="BG44" s="35">
        <v>3.0526358534066433E-2</v>
      </c>
      <c r="BH44" s="35">
        <v>-3.4295250481981746E-2</v>
      </c>
      <c r="BI44" s="35">
        <v>3.5470175930993664E-2</v>
      </c>
      <c r="BJ44" s="35">
        <v>-6.5784640599545544E-2</v>
      </c>
      <c r="BK44" s="35">
        <v>4.3802581064299538E-2</v>
      </c>
      <c r="BL44" s="35">
        <v>2.9945923461924036</v>
      </c>
      <c r="BM44" s="35">
        <v>0.1478658234268897</v>
      </c>
      <c r="BN44" s="35">
        <v>0.3923467967143579</v>
      </c>
      <c r="BO44" s="35">
        <v>3.5786075473979508</v>
      </c>
      <c r="BP44" s="35">
        <v>0.12251603804818964</v>
      </c>
      <c r="BQ44" s="35">
        <v>0.10856941687746999</v>
      </c>
    </row>
    <row r="46" spans="1:69" x14ac:dyDescent="0.3">
      <c r="BJ46" s="36"/>
    </row>
    <row r="47" spans="1:69" x14ac:dyDescent="0.3">
      <c r="BJ47" s="36"/>
    </row>
    <row r="48" spans="1:69" x14ac:dyDescent="0.3">
      <c r="BJ48" s="36"/>
    </row>
    <row r="72" spans="29:69" s="39" customFormat="1" x14ac:dyDescent="0.3">
      <c r="AC72" s="37"/>
      <c r="AD72" s="37"/>
      <c r="AE72" s="37"/>
      <c r="AF72" s="37"/>
      <c r="AG72" s="37"/>
      <c r="AH72" s="38"/>
      <c r="AI72" s="38"/>
      <c r="AJ72" s="38"/>
      <c r="AK72" s="38"/>
      <c r="AL72" s="38"/>
      <c r="AQ72" s="38"/>
      <c r="AR72" s="38"/>
      <c r="AS72" s="38"/>
      <c r="AT72" s="38"/>
      <c r="AV72" s="38"/>
      <c r="AW72" s="38"/>
      <c r="AX72" s="38"/>
      <c r="AY72" s="40"/>
      <c r="AZ72" s="38"/>
      <c r="BA72" s="2"/>
      <c r="BB72" s="2"/>
      <c r="BC72" s="2"/>
      <c r="BD72" s="2"/>
      <c r="BE72" s="40"/>
      <c r="BF72" s="40"/>
      <c r="BG72" s="40"/>
      <c r="BH72" s="40"/>
      <c r="BI72" s="40"/>
      <c r="BJ72" s="2"/>
      <c r="BK72" s="40"/>
      <c r="BL72" s="40"/>
      <c r="BM72" s="40"/>
      <c r="BN72" s="40"/>
      <c r="BO72" s="40"/>
      <c r="BP72" s="40"/>
      <c r="BQ72" s="40"/>
    </row>
    <row r="73" spans="29:69" x14ac:dyDescent="0.3">
      <c r="BA73" s="40"/>
      <c r="BB73" s="40"/>
      <c r="BC73" s="40"/>
      <c r="BD73" s="40"/>
      <c r="BJ73" s="40"/>
    </row>
  </sheetData>
  <pageMargins left="0.25" right="0.25"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7701-5C21-4852-A31E-DCA3A6010B08}">
  <dimension ref="A1:AY67"/>
  <sheetViews>
    <sheetView showGridLines="0" showRowColHeaders="0" zoomScale="85" zoomScaleNormal="85" workbookViewId="0">
      <pane xSplit="2" ySplit="5" topLeftCell="AF6" activePane="bottomRight" state="frozen"/>
      <selection activeCell="D4" sqref="D4"/>
      <selection pane="topRight" activeCell="D4" sqref="D4"/>
      <selection pane="bottomLeft" activeCell="D4" sqref="D4"/>
      <selection pane="bottomRight" activeCell="D4" sqref="D4"/>
    </sheetView>
  </sheetViews>
  <sheetFormatPr defaultRowHeight="14.4" x14ac:dyDescent="0.3"/>
  <cols>
    <col min="1" max="1" width="23.88671875" hidden="1" customWidth="1"/>
    <col min="2" max="2" width="58.44140625" bestFit="1" customWidth="1"/>
    <col min="3" max="12" width="11.77734375" style="2" bestFit="1" customWidth="1"/>
    <col min="13" max="13" width="13.109375" style="2" bestFit="1" customWidth="1"/>
    <col min="14" max="15" width="11.77734375" style="2" bestFit="1" customWidth="1"/>
    <col min="16" max="16" width="13.109375" style="2" bestFit="1" customWidth="1"/>
    <col min="17" max="19" width="11.77734375" style="2" bestFit="1" customWidth="1"/>
    <col min="20" max="20" width="13.109375" style="2" bestFit="1" customWidth="1"/>
    <col min="21" max="22" width="11.77734375" style="2" bestFit="1" customWidth="1"/>
    <col min="23" max="23" width="10.44140625" bestFit="1" customWidth="1"/>
    <col min="24" max="24" width="9.77734375" bestFit="1" customWidth="1"/>
    <col min="25" max="25" width="9.88671875" customWidth="1"/>
    <col min="26" max="26" width="9.77734375" bestFit="1" customWidth="1"/>
    <col min="27" max="30" width="9.33203125" style="52" customWidth="1"/>
    <col min="31" max="31" width="9.33203125" customWidth="1"/>
    <col min="32" max="34" width="9.33203125" style="52" customWidth="1"/>
    <col min="35" max="35" width="9.33203125" style="2" customWidth="1"/>
    <col min="36" max="36" width="9.33203125" style="52" customWidth="1"/>
    <col min="37" max="45" width="9.33203125" style="2" customWidth="1"/>
    <col min="46" max="46" width="13.109375" style="2" bestFit="1" customWidth="1"/>
    <col min="47" max="47" width="12.21875" style="2" bestFit="1" customWidth="1"/>
    <col min="48" max="49" width="11.6640625" style="2" customWidth="1"/>
  </cols>
  <sheetData>
    <row r="1" spans="1:51" x14ac:dyDescent="0.3">
      <c r="B1" s="41" t="s">
        <v>0</v>
      </c>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1" x14ac:dyDescent="0.3">
      <c r="B2" s="41" t="s">
        <v>98</v>
      </c>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51" s="3" customFormat="1" x14ac:dyDescent="0.3">
      <c r="B3" s="42">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51" ht="3" customHeight="1" x14ac:dyDescent="0.3">
      <c r="B4" s="5"/>
      <c r="C4" s="6"/>
      <c r="D4" s="6"/>
      <c r="E4" s="6"/>
      <c r="F4" s="6"/>
      <c r="G4" s="6"/>
      <c r="H4" s="6"/>
      <c r="I4" s="6"/>
      <c r="J4" s="6"/>
      <c r="K4" s="6"/>
      <c r="L4" s="6"/>
      <c r="M4" s="6"/>
      <c r="N4" s="6"/>
      <c r="O4" s="6"/>
      <c r="P4" s="6"/>
      <c r="Q4" s="6"/>
      <c r="R4" s="6"/>
      <c r="S4" s="6"/>
      <c r="T4" s="6"/>
      <c r="U4" s="6"/>
      <c r="V4" s="6"/>
      <c r="W4" s="5"/>
      <c r="X4" s="5"/>
      <c r="Y4" s="5"/>
      <c r="Z4" s="5"/>
      <c r="AA4" s="43"/>
      <c r="AB4" s="43"/>
      <c r="AC4" s="43"/>
      <c r="AD4" s="43"/>
      <c r="AE4" s="5"/>
      <c r="AF4" s="43"/>
      <c r="AG4" s="43"/>
      <c r="AH4" s="43"/>
      <c r="AI4" s="6"/>
      <c r="AJ4" s="43"/>
      <c r="AK4" s="6"/>
      <c r="AL4" s="6"/>
      <c r="AM4" s="6"/>
      <c r="AN4" s="6"/>
      <c r="AO4" s="6"/>
      <c r="AP4" s="6"/>
      <c r="AQ4" s="6"/>
      <c r="AR4" s="6"/>
      <c r="AS4" s="6"/>
      <c r="AT4" s="6"/>
      <c r="AU4" s="6"/>
      <c r="AV4" s="6"/>
      <c r="AW4" s="6"/>
    </row>
    <row r="5" spans="1:51" s="7" customFormat="1" ht="18.75" customHeight="1" x14ac:dyDescent="0.3">
      <c r="B5" s="8" t="str">
        <f>IF('Sumário | Summary'!P1=1,"Demonstração de Resultados - Proforma (R$ MM)","Income Statement - Proforma (R$ million)")</f>
        <v>Demonstração de Resultados - Proforma (R$ MM)</v>
      </c>
      <c r="C5" s="9" t="s">
        <v>17</v>
      </c>
      <c r="D5" s="9" t="s">
        <v>18</v>
      </c>
      <c r="E5" s="9" t="s">
        <v>19</v>
      </c>
      <c r="F5" s="9" t="s">
        <v>20</v>
      </c>
      <c r="G5" s="9">
        <v>2016</v>
      </c>
      <c r="H5" s="9" t="s">
        <v>21</v>
      </c>
      <c r="I5" s="9" t="s">
        <v>22</v>
      </c>
      <c r="J5" s="9" t="s">
        <v>23</v>
      </c>
      <c r="K5" s="9" t="s">
        <v>24</v>
      </c>
      <c r="L5" s="9">
        <v>2017</v>
      </c>
      <c r="M5" s="9" t="s">
        <v>25</v>
      </c>
      <c r="N5" s="9" t="s">
        <v>26</v>
      </c>
      <c r="O5" s="9" t="s">
        <v>27</v>
      </c>
      <c r="P5" s="9" t="s">
        <v>28</v>
      </c>
      <c r="Q5" s="9">
        <v>2018</v>
      </c>
      <c r="R5" s="9" t="s">
        <v>29</v>
      </c>
      <c r="S5" s="9" t="s">
        <v>30</v>
      </c>
      <c r="T5" s="9" t="s">
        <v>31</v>
      </c>
      <c r="U5" s="9" t="s">
        <v>32</v>
      </c>
      <c r="V5" s="9" t="s">
        <v>99</v>
      </c>
      <c r="W5" s="9" t="s">
        <v>33</v>
      </c>
      <c r="X5" s="9" t="s">
        <v>34</v>
      </c>
      <c r="Y5" s="9" t="s">
        <v>35</v>
      </c>
      <c r="Z5" s="9" t="s">
        <v>36</v>
      </c>
      <c r="AA5" s="44" t="s">
        <v>37</v>
      </c>
      <c r="AB5" s="44" t="s">
        <v>38</v>
      </c>
      <c r="AC5" s="44" t="s">
        <v>39</v>
      </c>
      <c r="AD5" s="44" t="s">
        <v>40</v>
      </c>
      <c r="AE5" s="45" t="s">
        <v>41</v>
      </c>
      <c r="AF5" s="9">
        <v>2021</v>
      </c>
      <c r="AG5" s="46" t="s">
        <v>42</v>
      </c>
      <c r="AH5" s="46" t="s">
        <v>43</v>
      </c>
      <c r="AI5" s="11" t="s">
        <v>44</v>
      </c>
      <c r="AJ5" s="46" t="s">
        <v>45</v>
      </c>
      <c r="AK5" s="10">
        <v>2022</v>
      </c>
      <c r="AL5" s="10" t="s">
        <v>47</v>
      </c>
      <c r="AM5" s="10" t="s">
        <v>48</v>
      </c>
      <c r="AN5" s="10" t="s">
        <v>49</v>
      </c>
      <c r="AO5" s="10" t="s">
        <v>50</v>
      </c>
      <c r="AP5" s="10">
        <v>2023</v>
      </c>
      <c r="AQ5" s="10" t="s">
        <v>52</v>
      </c>
      <c r="AR5" s="10" t="s">
        <v>53</v>
      </c>
      <c r="AS5" s="10" t="s">
        <v>54</v>
      </c>
      <c r="AT5" s="10" t="s">
        <v>55</v>
      </c>
      <c r="AU5" s="10">
        <v>2024</v>
      </c>
      <c r="AV5" s="10" t="s">
        <v>56</v>
      </c>
      <c r="AW5" s="10" t="s">
        <v>57</v>
      </c>
    </row>
    <row r="6" spans="1:51" s="16" customFormat="1" ht="15" customHeight="1" x14ac:dyDescent="0.3">
      <c r="A6" s="12" t="s">
        <v>58</v>
      </c>
      <c r="B6" s="13" t="str">
        <f>IF('Sumário | Summary'!P1=1,"Receita Bruta ","Gross Revenues")</f>
        <v xml:space="preserve">Receita Bruta </v>
      </c>
      <c r="C6" s="15">
        <v>107.78657109577887</v>
      </c>
      <c r="D6" s="15">
        <v>104.72299185141043</v>
      </c>
      <c r="E6" s="15">
        <v>139.72333832627226</v>
      </c>
      <c r="F6" s="15">
        <v>137.16453984149422</v>
      </c>
      <c r="G6" s="15">
        <v>489.39744111495577</v>
      </c>
      <c r="H6" s="15">
        <v>100.13205042850235</v>
      </c>
      <c r="I6" s="15">
        <v>109.37366391263639</v>
      </c>
      <c r="J6" s="15">
        <v>99.060342620004576</v>
      </c>
      <c r="K6" s="15">
        <v>92.322893939813383</v>
      </c>
      <c r="L6" s="15">
        <v>400.88895090095667</v>
      </c>
      <c r="M6" s="15">
        <v>84.684947715066713</v>
      </c>
      <c r="N6" s="15">
        <v>148.31577850850931</v>
      </c>
      <c r="O6" s="15">
        <v>89.978452663096022</v>
      </c>
      <c r="P6" s="15">
        <v>92.669049752549114</v>
      </c>
      <c r="Q6" s="15">
        <v>415.64822863922114</v>
      </c>
      <c r="R6" s="15">
        <v>88.862895242019874</v>
      </c>
      <c r="S6" s="15">
        <v>93.948435277672246</v>
      </c>
      <c r="T6" s="15">
        <v>95.812148827870104</v>
      </c>
      <c r="U6" s="15">
        <v>105.63246540481022</v>
      </c>
      <c r="V6" s="15">
        <v>384.25594475237244</v>
      </c>
      <c r="W6" s="15">
        <v>98.065788149118063</v>
      </c>
      <c r="X6" s="15">
        <v>70.395051241492411</v>
      </c>
      <c r="Y6" s="15">
        <v>102.51926202915354</v>
      </c>
      <c r="Z6" s="15">
        <v>98.69683150410458</v>
      </c>
      <c r="AA6" s="15">
        <v>369.67693292386861</v>
      </c>
      <c r="AB6" s="15">
        <v>87.978137416420537</v>
      </c>
      <c r="AC6" s="15">
        <v>90.322766462377132</v>
      </c>
      <c r="AD6" s="15">
        <v>99.596478611576686</v>
      </c>
      <c r="AE6" s="15">
        <v>1459.6954731797966</v>
      </c>
      <c r="AF6" s="15">
        <v>1737.592855670171</v>
      </c>
      <c r="AG6" s="15">
        <v>140.22337064717632</v>
      </c>
      <c r="AH6" s="15">
        <v>89.719215064606558</v>
      </c>
      <c r="AI6" s="15">
        <v>91.328593142645673</v>
      </c>
      <c r="AJ6" s="15">
        <v>101.17836327324942</v>
      </c>
      <c r="AK6" s="15">
        <v>422.449542127678</v>
      </c>
      <c r="AL6" s="15">
        <v>90.14264248012951</v>
      </c>
      <c r="AM6" s="15">
        <v>90.222286146336515</v>
      </c>
      <c r="AN6" s="15">
        <v>92.430039516420052</v>
      </c>
      <c r="AO6" s="15">
        <v>100.46642029968754</v>
      </c>
      <c r="AP6" s="15">
        <v>373.26138844257366</v>
      </c>
      <c r="AQ6" s="15">
        <v>95.322818750022122</v>
      </c>
      <c r="AR6" s="15">
        <v>834.44044518934277</v>
      </c>
      <c r="AS6" s="15">
        <v>54.540390397797573</v>
      </c>
      <c r="AT6" s="15">
        <v>74.719562945311424</v>
      </c>
      <c r="AU6" s="15">
        <v>1059.0232172824738</v>
      </c>
      <c r="AV6" s="15">
        <v>63.835743509774169</v>
      </c>
      <c r="AW6" s="15">
        <v>62.308687477175248</v>
      </c>
      <c r="AY6" s="47">
        <f>G6-SUM(C6:F6)</f>
        <v>0</v>
      </c>
    </row>
    <row r="7" spans="1:51" s="16" customFormat="1" ht="15" customHeight="1" x14ac:dyDescent="0.3">
      <c r="A7" t="s">
        <v>59</v>
      </c>
      <c r="B7" s="17" t="str">
        <f>IF('Sumário | Summary'!P1=1,"Locação de Edifícios Corporativos","Leases from Corporate Buildings")</f>
        <v>Locação de Edifícios Corporativos</v>
      </c>
      <c r="C7" s="19">
        <v>34.450375902500006</v>
      </c>
      <c r="D7" s="19">
        <v>31.3216119175</v>
      </c>
      <c r="E7" s="19">
        <v>31.282233159999997</v>
      </c>
      <c r="F7" s="19">
        <v>31.579513554999998</v>
      </c>
      <c r="G7" s="19">
        <v>128.633734535</v>
      </c>
      <c r="H7" s="19">
        <v>27.671425219073619</v>
      </c>
      <c r="I7" s="19">
        <v>32.917181450438662</v>
      </c>
      <c r="J7" s="19">
        <v>4.1655723677397081</v>
      </c>
      <c r="K7" s="19">
        <v>22.155350793442</v>
      </c>
      <c r="L7" s="19">
        <v>86.909529830693984</v>
      </c>
      <c r="M7" s="19">
        <v>20.804024668757997</v>
      </c>
      <c r="N7" s="19">
        <v>22.406576637468</v>
      </c>
      <c r="O7" s="19">
        <v>22.763985100260001</v>
      </c>
      <c r="P7" s="19">
        <v>22.551721361794996</v>
      </c>
      <c r="Q7" s="19">
        <v>88.526307768281001</v>
      </c>
      <c r="R7" s="19">
        <v>23.686218063026001</v>
      </c>
      <c r="S7" s="19">
        <v>23.678885767141999</v>
      </c>
      <c r="T7" s="19">
        <v>24.361632405595994</v>
      </c>
      <c r="U7" s="19">
        <v>24.395796424194995</v>
      </c>
      <c r="V7" s="19">
        <v>96.122532659958992</v>
      </c>
      <c r="W7" s="19">
        <v>29.054118513422996</v>
      </c>
      <c r="X7" s="19">
        <v>30.869952835605996</v>
      </c>
      <c r="Y7" s="19">
        <v>31.652321039729003</v>
      </c>
      <c r="Z7" s="19">
        <v>30.989794432553001</v>
      </c>
      <c r="AA7" s="19">
        <v>122.56618682131099</v>
      </c>
      <c r="AB7" s="19">
        <v>33.879318628904997</v>
      </c>
      <c r="AC7" s="19">
        <v>31.925060844444989</v>
      </c>
      <c r="AD7" s="19">
        <v>32.809627475188009</v>
      </c>
      <c r="AE7" s="19">
        <v>24.932202273973573</v>
      </c>
      <c r="AF7" s="19">
        <v>123.54620922251156</v>
      </c>
      <c r="AG7" s="19">
        <v>11.119382647066999</v>
      </c>
      <c r="AH7" s="19">
        <v>10.231840490687</v>
      </c>
      <c r="AI7" s="19">
        <v>9.9806121877820004</v>
      </c>
      <c r="AJ7" s="19">
        <v>10.997646555162003</v>
      </c>
      <c r="AK7" s="19">
        <v>42.329481880697998</v>
      </c>
      <c r="AL7" s="19">
        <v>10.380508579689998</v>
      </c>
      <c r="AM7" s="19">
        <v>10.6525417670883</v>
      </c>
      <c r="AN7" s="19">
        <v>10.805836499112607</v>
      </c>
      <c r="AO7" s="19">
        <v>10.767157711682666</v>
      </c>
      <c r="AP7" s="19">
        <v>42.606044557573568</v>
      </c>
      <c r="AQ7" s="19">
        <v>10.753043451085</v>
      </c>
      <c r="AR7" s="19">
        <v>8.0075223553253174</v>
      </c>
      <c r="AS7" s="19">
        <v>7.0452575293806765</v>
      </c>
      <c r="AT7" s="19">
        <v>6.9455747415100015</v>
      </c>
      <c r="AU7" s="19">
        <v>32.751398077300998</v>
      </c>
      <c r="AV7" s="19">
        <v>7.2243978117209995</v>
      </c>
      <c r="AW7" s="19">
        <v>7.8900536390330007</v>
      </c>
      <c r="AY7" s="47">
        <f t="shared" ref="AY7:AY44" si="0">G7-SUM(C7:F7)</f>
        <v>0</v>
      </c>
    </row>
    <row r="8" spans="1:51" s="16" customFormat="1" ht="15" customHeight="1" x14ac:dyDescent="0.3">
      <c r="A8" t="s">
        <v>60</v>
      </c>
      <c r="B8" s="17" t="str">
        <f>IF('Sumário | Summary'!P1=1,"Shopping Centers","Leases from Shopping Centers")</f>
        <v>Shopping Centers</v>
      </c>
      <c r="C8" s="19">
        <v>42.91633775322596</v>
      </c>
      <c r="D8" s="19">
        <v>43.998295932937509</v>
      </c>
      <c r="E8" s="19">
        <v>44.905669315999994</v>
      </c>
      <c r="F8" s="19">
        <v>43.31882025312499</v>
      </c>
      <c r="G8" s="19">
        <v>175.13912325528847</v>
      </c>
      <c r="H8" s="19">
        <v>40.764059612298681</v>
      </c>
      <c r="I8" s="19">
        <v>43.404407227668081</v>
      </c>
      <c r="J8" s="19">
        <v>38.876633353807321</v>
      </c>
      <c r="K8" s="19">
        <v>45.019543146371383</v>
      </c>
      <c r="L8" s="19">
        <v>169.06624472014545</v>
      </c>
      <c r="M8" s="19">
        <v>41.153923046308705</v>
      </c>
      <c r="N8" s="19">
        <v>40.627201871041301</v>
      </c>
      <c r="O8" s="19">
        <v>44.857467562836021</v>
      </c>
      <c r="P8" s="19">
        <v>44.853328390754115</v>
      </c>
      <c r="Q8" s="19">
        <v>171.49192087094013</v>
      </c>
      <c r="R8" s="19">
        <v>41.215442058791218</v>
      </c>
      <c r="S8" s="19">
        <v>44.504618223333701</v>
      </c>
      <c r="T8" s="19">
        <v>45.733125347253853</v>
      </c>
      <c r="U8" s="19">
        <v>43.714000504853495</v>
      </c>
      <c r="V8" s="19">
        <v>175.16718613423225</v>
      </c>
      <c r="W8" s="19">
        <v>44.049979540695055</v>
      </c>
      <c r="X8" s="19">
        <v>31.900098410886418</v>
      </c>
      <c r="Y8" s="19">
        <v>32.371940989424537</v>
      </c>
      <c r="Z8" s="19">
        <v>43.634037071551589</v>
      </c>
      <c r="AA8" s="19">
        <v>151.95605601255761</v>
      </c>
      <c r="AB8" s="19">
        <v>37.261818787515537</v>
      </c>
      <c r="AC8" s="19">
        <v>39.883705617932129</v>
      </c>
      <c r="AD8" s="19">
        <v>43.774851136388676</v>
      </c>
      <c r="AE8" s="19">
        <v>55.310514547151058</v>
      </c>
      <c r="AF8" s="19">
        <v>176.23089008898739</v>
      </c>
      <c r="AG8" s="19">
        <v>47.653197818387035</v>
      </c>
      <c r="AH8" s="19">
        <v>48.680994859059467</v>
      </c>
      <c r="AI8" s="19">
        <v>49.580825439239852</v>
      </c>
      <c r="AJ8" s="19">
        <v>55.19740876314652</v>
      </c>
      <c r="AK8" s="19">
        <v>201.11242687983287</v>
      </c>
      <c r="AL8" s="19">
        <v>48.344055370249997</v>
      </c>
      <c r="AM8" s="19">
        <v>47.823014723250012</v>
      </c>
      <c r="AN8" s="19">
        <v>47.622709407500004</v>
      </c>
      <c r="AO8" s="19">
        <v>52.118740069125025</v>
      </c>
      <c r="AP8" s="19">
        <v>195.90851957012501</v>
      </c>
      <c r="AQ8" s="19">
        <v>50.307908018749991</v>
      </c>
      <c r="AR8" s="19">
        <v>40.980434856645516</v>
      </c>
      <c r="AS8" s="19">
        <v>17.891091473837996</v>
      </c>
      <c r="AT8" s="19">
        <v>20.527165328827003</v>
      </c>
      <c r="AU8" s="19">
        <v>129.70659967806051</v>
      </c>
      <c r="AV8" s="19">
        <v>17.607805595729999</v>
      </c>
      <c r="AW8" s="19">
        <v>18.238268640484002</v>
      </c>
      <c r="AY8" s="47">
        <f t="shared" si="0"/>
        <v>0</v>
      </c>
    </row>
    <row r="9" spans="1:51" s="16" customFormat="1" ht="15" customHeight="1" x14ac:dyDescent="0.3">
      <c r="A9" t="s">
        <v>61</v>
      </c>
      <c r="B9" s="17" t="str">
        <f>IF('Sumário | Summary'!P1=1,"Locação de Centros de Distribuição","Leases from Distribution Centers")</f>
        <v>Locação de Centros de Distribuição</v>
      </c>
      <c r="C9" s="19">
        <v>8.8731043802860068</v>
      </c>
      <c r="D9" s="19">
        <v>10.906685054400743</v>
      </c>
      <c r="E9" s="19">
        <v>9.8168456985025987</v>
      </c>
      <c r="F9" s="19">
        <v>11.045548057415184</v>
      </c>
      <c r="G9" s="19">
        <v>40.642183190604527</v>
      </c>
      <c r="H9" s="19">
        <v>10.175746642990068</v>
      </c>
      <c r="I9" s="19">
        <v>10.032614416702925</v>
      </c>
      <c r="J9" s="19">
        <v>2.2774155844910844</v>
      </c>
      <c r="K9" s="19">
        <v>0</v>
      </c>
      <c r="L9" s="19">
        <v>22.485777730117356</v>
      </c>
      <c r="M9" s="19">
        <v>0</v>
      </c>
      <c r="N9" s="19">
        <v>0</v>
      </c>
      <c r="O9" s="19">
        <v>0</v>
      </c>
      <c r="P9" s="19" t="s">
        <v>73</v>
      </c>
      <c r="Q9" s="19" t="s">
        <v>73</v>
      </c>
      <c r="R9" s="19">
        <v>0</v>
      </c>
      <c r="S9" s="19">
        <v>0</v>
      </c>
      <c r="T9" s="19">
        <v>0</v>
      </c>
      <c r="U9" s="19">
        <v>0</v>
      </c>
      <c r="V9" s="19">
        <v>0</v>
      </c>
      <c r="W9" s="19">
        <v>0</v>
      </c>
      <c r="X9" s="19">
        <v>0</v>
      </c>
      <c r="Y9" s="19">
        <v>0</v>
      </c>
      <c r="Z9" s="19">
        <v>0</v>
      </c>
      <c r="AA9" s="48">
        <v>0</v>
      </c>
      <c r="AB9" s="48">
        <v>0</v>
      </c>
      <c r="AC9" s="48">
        <v>0</v>
      </c>
      <c r="AD9" s="48">
        <v>0</v>
      </c>
      <c r="AE9" s="19">
        <v>0</v>
      </c>
      <c r="AF9" s="48">
        <v>0</v>
      </c>
      <c r="AG9" s="48">
        <v>0</v>
      </c>
      <c r="AH9" s="48">
        <v>0</v>
      </c>
      <c r="AI9" s="19">
        <v>0</v>
      </c>
      <c r="AJ9" s="48">
        <v>0</v>
      </c>
      <c r="AK9" s="19">
        <v>0</v>
      </c>
      <c r="AL9" s="19">
        <v>0</v>
      </c>
      <c r="AM9" s="19">
        <v>0</v>
      </c>
      <c r="AN9" s="19">
        <v>0</v>
      </c>
      <c r="AO9" s="19">
        <v>0</v>
      </c>
      <c r="AP9" s="19">
        <v>0</v>
      </c>
      <c r="AQ9" s="19">
        <v>0.25316895600000006</v>
      </c>
      <c r="AR9" s="19">
        <v>0.46801955200000001</v>
      </c>
      <c r="AS9" s="19">
        <v>0.6010010600000002</v>
      </c>
      <c r="AT9" s="19">
        <v>1.4261977219999999</v>
      </c>
      <c r="AU9" s="19">
        <v>2.7483872900000001</v>
      </c>
      <c r="AV9" s="19">
        <v>0.94701936399999997</v>
      </c>
      <c r="AW9" s="19">
        <v>0.93374685800000023</v>
      </c>
      <c r="AY9" s="47">
        <f t="shared" si="0"/>
        <v>0</v>
      </c>
    </row>
    <row r="10" spans="1:51" s="16" customFormat="1" ht="15" customHeight="1" x14ac:dyDescent="0.3">
      <c r="A10" t="s">
        <v>62</v>
      </c>
      <c r="B10" s="17" t="str">
        <f>IF('Sumário | Summary'!P1=1,"Locação de outros empreendimentos","Leases of other projects")</f>
        <v>Locação de outros empreendimentos</v>
      </c>
      <c r="C10" s="19" t="s">
        <v>73</v>
      </c>
      <c r="D10" s="19" t="s">
        <v>73</v>
      </c>
      <c r="E10" s="19" t="s">
        <v>73</v>
      </c>
      <c r="F10" s="19" t="s">
        <v>73</v>
      </c>
      <c r="G10" s="19" t="s">
        <v>73</v>
      </c>
      <c r="H10" s="19" t="s">
        <v>73</v>
      </c>
      <c r="I10" s="19" t="s">
        <v>73</v>
      </c>
      <c r="J10" s="19" t="s">
        <v>73</v>
      </c>
      <c r="K10" s="19" t="s">
        <v>73</v>
      </c>
      <c r="L10" s="19" t="s">
        <v>73</v>
      </c>
      <c r="M10" s="19" t="s">
        <v>73</v>
      </c>
      <c r="N10" s="19" t="s">
        <v>73</v>
      </c>
      <c r="O10" s="19" t="s">
        <v>73</v>
      </c>
      <c r="P10" s="19" t="s">
        <v>73</v>
      </c>
      <c r="Q10" s="19" t="s">
        <v>73</v>
      </c>
      <c r="R10" s="19">
        <v>0</v>
      </c>
      <c r="S10" s="19">
        <v>0</v>
      </c>
      <c r="T10" s="19">
        <v>0</v>
      </c>
      <c r="U10" s="19">
        <v>0</v>
      </c>
      <c r="V10" s="19">
        <v>0</v>
      </c>
      <c r="W10" s="19">
        <v>0</v>
      </c>
      <c r="X10" s="19">
        <v>0</v>
      </c>
      <c r="Y10" s="19">
        <v>0</v>
      </c>
      <c r="Z10" s="19">
        <v>0</v>
      </c>
      <c r="AA10" s="48">
        <v>0</v>
      </c>
      <c r="AB10" s="48">
        <v>0</v>
      </c>
      <c r="AC10" s="48">
        <v>0</v>
      </c>
      <c r="AD10" s="48">
        <v>0</v>
      </c>
      <c r="AE10" s="19">
        <v>0</v>
      </c>
      <c r="AF10" s="48">
        <v>0</v>
      </c>
      <c r="AG10" s="48">
        <v>0</v>
      </c>
      <c r="AH10" s="48">
        <v>0</v>
      </c>
      <c r="AI10" s="19">
        <v>0</v>
      </c>
      <c r="AJ10" s="48">
        <v>0</v>
      </c>
      <c r="AK10" s="19">
        <v>0</v>
      </c>
      <c r="AL10" s="19">
        <v>0</v>
      </c>
      <c r="AM10" s="19">
        <v>0</v>
      </c>
      <c r="AN10" s="19">
        <v>0</v>
      </c>
      <c r="AO10" s="19">
        <v>0</v>
      </c>
      <c r="AP10" s="19">
        <v>0</v>
      </c>
      <c r="AQ10" s="19">
        <v>0</v>
      </c>
      <c r="AR10" s="19">
        <v>0</v>
      </c>
      <c r="AS10" s="19">
        <v>0</v>
      </c>
      <c r="AT10" s="19">
        <v>0</v>
      </c>
      <c r="AU10" s="19">
        <v>0</v>
      </c>
      <c r="AV10" s="19">
        <v>0</v>
      </c>
      <c r="AW10" s="19">
        <v>0</v>
      </c>
      <c r="AY10" s="47" t="e">
        <f t="shared" si="0"/>
        <v>#VALUE!</v>
      </c>
    </row>
    <row r="11" spans="1:51" s="16" customFormat="1" ht="15" customHeight="1" x14ac:dyDescent="0.3">
      <c r="A11" s="12" t="s">
        <v>63</v>
      </c>
      <c r="B11" s="20" t="str">
        <f>IF('Sumário | Summary'!P1=1,"Prestação de serviços de Administração","Services Revenues")</f>
        <v>Prestação de serviços de Administração</v>
      </c>
      <c r="C11" s="19">
        <v>20.855732640229444</v>
      </c>
      <c r="D11" s="19">
        <v>20.327403694074892</v>
      </c>
      <c r="E11" s="19">
        <v>21.877481986676138</v>
      </c>
      <c r="F11" s="19">
        <v>23.730477450427898</v>
      </c>
      <c r="G11" s="19">
        <v>86.791095771408379</v>
      </c>
      <c r="H11" s="19">
        <v>21.509670337134583</v>
      </c>
      <c r="I11" s="19">
        <v>22.393788408016579</v>
      </c>
      <c r="J11" s="19">
        <v>21.272446589638523</v>
      </c>
      <c r="K11" s="19">
        <v>25.473000000000003</v>
      </c>
      <c r="L11" s="19">
        <v>90.649000000000001</v>
      </c>
      <c r="M11" s="19">
        <v>22.881</v>
      </c>
      <c r="N11" s="19">
        <v>22.565999999999999</v>
      </c>
      <c r="O11" s="19">
        <v>23.035</v>
      </c>
      <c r="P11" s="19">
        <v>25.934000000000001</v>
      </c>
      <c r="Q11" s="19">
        <v>94.415999999999997</v>
      </c>
      <c r="R11" s="19">
        <v>24.248999999999999</v>
      </c>
      <c r="S11" s="19">
        <v>25.693999999999999</v>
      </c>
      <c r="T11" s="19">
        <v>26.263999999999999</v>
      </c>
      <c r="U11" s="19">
        <v>37.399000000000001</v>
      </c>
      <c r="V11" s="19">
        <v>113.60599999999999</v>
      </c>
      <c r="W11" s="19">
        <v>24.898</v>
      </c>
      <c r="X11" s="19">
        <v>7.6079999999999997</v>
      </c>
      <c r="Y11" s="19">
        <v>14.102</v>
      </c>
      <c r="Z11" s="19">
        <v>23.382000000000001</v>
      </c>
      <c r="AA11" s="19">
        <v>69.990000000000009</v>
      </c>
      <c r="AB11" s="19">
        <v>15.692</v>
      </c>
      <c r="AC11" s="19">
        <v>17.687000000000001</v>
      </c>
      <c r="AD11" s="19">
        <v>22.238</v>
      </c>
      <c r="AE11" s="19">
        <v>31.395397948345995</v>
      </c>
      <c r="AF11" s="19">
        <v>87.012397948346006</v>
      </c>
      <c r="AG11" s="19">
        <v>27.995314644447994</v>
      </c>
      <c r="AH11" s="19">
        <v>30.716807281142003</v>
      </c>
      <c r="AI11" s="19">
        <v>31.745333289910008</v>
      </c>
      <c r="AJ11" s="19">
        <v>34.903500678438988</v>
      </c>
      <c r="AK11" s="19">
        <v>125.36095589393899</v>
      </c>
      <c r="AL11" s="19">
        <v>31.182430350051995</v>
      </c>
      <c r="AM11" s="19">
        <v>32.972435073627999</v>
      </c>
      <c r="AN11" s="19">
        <v>33.150442945879988</v>
      </c>
      <c r="AO11" s="19">
        <v>37.588407324098995</v>
      </c>
      <c r="AP11" s="19">
        <v>134.89371569365898</v>
      </c>
      <c r="AQ11" s="19">
        <v>33.959012660028002</v>
      </c>
      <c r="AR11" s="19">
        <v>33.889864595761999</v>
      </c>
      <c r="AS11" s="19">
        <v>34.816957577609998</v>
      </c>
      <c r="AT11" s="19">
        <v>40.133750824252999</v>
      </c>
      <c r="AU11" s="19">
        <v>142.79958565765298</v>
      </c>
      <c r="AV11" s="19">
        <v>34.520352014407997</v>
      </c>
      <c r="AW11" s="19">
        <v>34.388298539171991</v>
      </c>
      <c r="AY11" s="47">
        <f t="shared" si="0"/>
        <v>0</v>
      </c>
    </row>
    <row r="12" spans="1:51" s="16" customFormat="1" ht="15" customHeight="1" x14ac:dyDescent="0.3">
      <c r="A12" s="12" t="s">
        <v>64</v>
      </c>
      <c r="B12" s="17" t="str">
        <f>IF('Sumário | Summary'!P1=1,"Vendas de Propriedades e Incorporação Imobiliária","Revenues from the Sale of Real Estate Properties")</f>
        <v>Vendas de Propriedades e Incorporação Imobiliária</v>
      </c>
      <c r="C12" s="19">
        <v>0.69102041953745208</v>
      </c>
      <c r="D12" s="19">
        <v>-1.8310047475027202</v>
      </c>
      <c r="E12" s="19">
        <v>31.841108165093534</v>
      </c>
      <c r="F12" s="19">
        <v>27.490180525526153</v>
      </c>
      <c r="G12" s="19">
        <v>58.191304362654414</v>
      </c>
      <c r="H12" s="19">
        <v>1.1148617005400032E-2</v>
      </c>
      <c r="I12" s="19">
        <v>0.62567240981012995</v>
      </c>
      <c r="J12" s="19">
        <v>32.468055345543206</v>
      </c>
      <c r="K12" s="19">
        <v>-0.32499999999999635</v>
      </c>
      <c r="L12" s="19">
        <v>32.78</v>
      </c>
      <c r="M12" s="19">
        <v>-0.154</v>
      </c>
      <c r="N12" s="19">
        <v>62.716000000000001</v>
      </c>
      <c r="O12" s="19">
        <v>-0.67800000000000005</v>
      </c>
      <c r="P12" s="19">
        <v>-0.67</v>
      </c>
      <c r="Q12" s="19">
        <v>61.213999999999999</v>
      </c>
      <c r="R12" s="19">
        <v>-0.28799999999999998</v>
      </c>
      <c r="S12" s="19">
        <v>7.0999999999999994E-2</v>
      </c>
      <c r="T12" s="19">
        <v>-0.54600000000000004</v>
      </c>
      <c r="U12" s="19">
        <v>0.107</v>
      </c>
      <c r="V12" s="19">
        <v>-0.65600000000000003</v>
      </c>
      <c r="W12" s="19">
        <v>2.5999999999999999E-2</v>
      </c>
      <c r="X12" s="19">
        <v>1.7000000000000001E-2</v>
      </c>
      <c r="Y12" s="19">
        <v>24.393000000000001</v>
      </c>
      <c r="Z12" s="19">
        <v>0.69099999999999995</v>
      </c>
      <c r="AA12" s="19">
        <v>25.126999999999999</v>
      </c>
      <c r="AB12" s="19">
        <v>1.145</v>
      </c>
      <c r="AC12" s="19">
        <v>0.82699999999999996</v>
      </c>
      <c r="AD12" s="19">
        <v>0.77400000000000002</v>
      </c>
      <c r="AE12" s="19">
        <v>1348.0573584103261</v>
      </c>
      <c r="AF12" s="19">
        <v>1350.8033584103262</v>
      </c>
      <c r="AG12" s="19">
        <v>53.455475537274289</v>
      </c>
      <c r="AH12" s="19">
        <v>8.9572433718096214E-2</v>
      </c>
      <c r="AI12" s="19">
        <v>2.1822225713782246E-2</v>
      </c>
      <c r="AJ12" s="19">
        <v>7.9807276501931479E-2</v>
      </c>
      <c r="AK12" s="19">
        <v>53.646677473208101</v>
      </c>
      <c r="AL12" s="19">
        <v>0.23564818013751812</v>
      </c>
      <c r="AM12" s="19">
        <v>-1.2257054176297755</v>
      </c>
      <c r="AN12" s="19">
        <v>0.85105066392749351</v>
      </c>
      <c r="AO12" s="19">
        <v>-7.8848052191519569E-3</v>
      </c>
      <c r="AP12" s="19">
        <v>-0.14689137878391584</v>
      </c>
      <c r="AQ12" s="19">
        <v>4.9685664159143356E-2</v>
      </c>
      <c r="AR12" s="19">
        <v>751.09460382960992</v>
      </c>
      <c r="AS12" s="19">
        <v>-5.8139172430310868</v>
      </c>
      <c r="AT12" s="19">
        <v>5.6868743287213146</v>
      </c>
      <c r="AU12" s="19">
        <v>751.0172465794592</v>
      </c>
      <c r="AV12" s="19">
        <v>3.5361687239151678</v>
      </c>
      <c r="AW12" s="19">
        <v>0.8583198004862993</v>
      </c>
      <c r="AY12" s="47">
        <f t="shared" si="0"/>
        <v>0</v>
      </c>
    </row>
    <row r="13" spans="1:51" s="16" customFormat="1" ht="15" customHeight="1" x14ac:dyDescent="0.3">
      <c r="A13" t="s">
        <v>65</v>
      </c>
      <c r="B13" s="17" t="str">
        <f>IF('Sumário | Summary'!P1=1,"Deduções da receita bruta","Deductions")</f>
        <v>Deduções da receita bruta</v>
      </c>
      <c r="C13" s="19">
        <v>-7.1189999999999998</v>
      </c>
      <c r="D13" s="19">
        <v>-7.3040000000000003</v>
      </c>
      <c r="E13" s="19">
        <v>-8.0749999999999993</v>
      </c>
      <c r="F13" s="19">
        <v>-8.4329999999999998</v>
      </c>
      <c r="G13" s="19">
        <v>-30.931000000000001</v>
      </c>
      <c r="H13" s="19">
        <v>-6.8819999999999997</v>
      </c>
      <c r="I13" s="19">
        <v>-8.0939999999999994</v>
      </c>
      <c r="J13" s="19">
        <v>-6.1779999999999999</v>
      </c>
      <c r="K13" s="19">
        <v>-6.657</v>
      </c>
      <c r="L13" s="19">
        <v>-27.811</v>
      </c>
      <c r="M13" s="19">
        <v>-4.976</v>
      </c>
      <c r="N13" s="19">
        <v>-7.2930000000000001</v>
      </c>
      <c r="O13" s="19">
        <v>-7.0359999999999996</v>
      </c>
      <c r="P13" s="19">
        <v>-6.6779999999999999</v>
      </c>
      <c r="Q13" s="19">
        <v>-25.983000000000001</v>
      </c>
      <c r="R13" s="19">
        <v>-3.66</v>
      </c>
      <c r="S13" s="19">
        <v>-6.3019999999999996</v>
      </c>
      <c r="T13" s="19">
        <v>-6.5129999999999999</v>
      </c>
      <c r="U13" s="19">
        <v>-7.2539999999999996</v>
      </c>
      <c r="V13" s="19">
        <v>-23.728999999999999</v>
      </c>
      <c r="W13" s="19">
        <v>-5.4379999999999997</v>
      </c>
      <c r="X13" s="19">
        <v>-7.0090000000000003</v>
      </c>
      <c r="Y13" s="19">
        <v>-8.6579999999999995</v>
      </c>
      <c r="Z13" s="19">
        <v>-10.33</v>
      </c>
      <c r="AA13" s="19">
        <v>-31.434999999999995</v>
      </c>
      <c r="AB13" s="19">
        <v>-9.7266767181180871</v>
      </c>
      <c r="AC13" s="19">
        <v>-13.397468425181462</v>
      </c>
      <c r="AD13" s="19">
        <v>-10.570212046111733</v>
      </c>
      <c r="AE13" s="19">
        <v>-62.263312670478086</v>
      </c>
      <c r="AF13" s="19">
        <v>-95.957669859889364</v>
      </c>
      <c r="AG13" s="19">
        <v>-18.051883293232528</v>
      </c>
      <c r="AH13" s="19">
        <v>-20.564949639154136</v>
      </c>
      <c r="AI13" s="19">
        <v>-17.063072758618379</v>
      </c>
      <c r="AJ13" s="19">
        <v>-21.461537255111121</v>
      </c>
      <c r="AK13" s="19">
        <v>-77.141442946116172</v>
      </c>
      <c r="AL13" s="19">
        <v>-15.944512706488091</v>
      </c>
      <c r="AM13" s="19">
        <v>-12.467776066102193</v>
      </c>
      <c r="AN13" s="19">
        <v>-11.909364723598031</v>
      </c>
      <c r="AO13" s="19">
        <v>-11.722549665218066</v>
      </c>
      <c r="AP13" s="19">
        <v>-52.044203161406386</v>
      </c>
      <c r="AQ13" s="19">
        <v>-9.3930087808304989</v>
      </c>
      <c r="AR13" s="19">
        <v>-39.446896475797502</v>
      </c>
      <c r="AS13" s="19">
        <v>-6.6786524283796611</v>
      </c>
      <c r="AT13" s="19">
        <v>-7.162632240438346</v>
      </c>
      <c r="AU13" s="19">
        <v>-62.681189925446013</v>
      </c>
      <c r="AV13" s="19">
        <v>-6.1186008429330005</v>
      </c>
      <c r="AW13" s="19">
        <v>-6.0124856350889981</v>
      </c>
      <c r="AY13" s="47">
        <f t="shared" si="0"/>
        <v>0</v>
      </c>
    </row>
    <row r="14" spans="1:51" s="16" customFormat="1" ht="15" customHeight="1" x14ac:dyDescent="0.3">
      <c r="A14" s="12" t="s">
        <v>66</v>
      </c>
      <c r="B14" s="13" t="str">
        <f>IF('Sumário | Summary'!P1=1,"Receita Líquida","Net Operating Revenues")</f>
        <v>Receita Líquida</v>
      </c>
      <c r="C14" s="15">
        <f t="shared" ref="C14:AV14" si="1">SUM(C7:C13)</f>
        <v>100.66757109577887</v>
      </c>
      <c r="D14" s="15">
        <f t="shared" si="1"/>
        <v>97.418991851410425</v>
      </c>
      <c r="E14" s="15">
        <f t="shared" si="1"/>
        <v>131.6483383262723</v>
      </c>
      <c r="F14" s="15">
        <f t="shared" si="1"/>
        <v>128.73153984149423</v>
      </c>
      <c r="G14" s="15">
        <f t="shared" si="1"/>
        <v>458.46644111495578</v>
      </c>
      <c r="H14" s="15">
        <f t="shared" si="1"/>
        <v>93.250050428502334</v>
      </c>
      <c r="I14" s="15">
        <f t="shared" si="1"/>
        <v>101.27966391263638</v>
      </c>
      <c r="J14" s="15">
        <f t="shared" si="1"/>
        <v>92.882123241219844</v>
      </c>
      <c r="K14" s="15">
        <f t="shared" si="1"/>
        <v>85.665893939813387</v>
      </c>
      <c r="L14" s="15">
        <f t="shared" si="1"/>
        <v>374.07955228095688</v>
      </c>
      <c r="M14" s="15">
        <f t="shared" si="1"/>
        <v>79.708947715066699</v>
      </c>
      <c r="N14" s="15">
        <f t="shared" si="1"/>
        <v>141.0227785085093</v>
      </c>
      <c r="O14" s="15">
        <f t="shared" si="1"/>
        <v>82.94245266309602</v>
      </c>
      <c r="P14" s="15">
        <f t="shared" si="1"/>
        <v>85.991049752549102</v>
      </c>
      <c r="Q14" s="15">
        <f t="shared" si="1"/>
        <v>389.66522863922114</v>
      </c>
      <c r="R14" s="15">
        <f t="shared" si="1"/>
        <v>85.202660121817217</v>
      </c>
      <c r="S14" s="15">
        <f t="shared" si="1"/>
        <v>87.646503990475708</v>
      </c>
      <c r="T14" s="15">
        <f t="shared" si="1"/>
        <v>89.299757752849828</v>
      </c>
      <c r="U14" s="15">
        <f t="shared" si="1"/>
        <v>98.361796929048481</v>
      </c>
      <c r="V14" s="15">
        <f t="shared" si="1"/>
        <v>360.51071879419123</v>
      </c>
      <c r="W14" s="15">
        <f t="shared" si="1"/>
        <v>92.590098054118045</v>
      </c>
      <c r="X14" s="15">
        <f t="shared" si="1"/>
        <v>63.386051246492414</v>
      </c>
      <c r="Y14" s="15">
        <f t="shared" si="1"/>
        <v>93.861262029153536</v>
      </c>
      <c r="Z14" s="15">
        <f t="shared" si="1"/>
        <v>88.366831504104596</v>
      </c>
      <c r="AA14" s="15">
        <f t="shared" si="1"/>
        <v>338.20424283386865</v>
      </c>
      <c r="AB14" s="15">
        <f t="shared" si="1"/>
        <v>78.251460698302438</v>
      </c>
      <c r="AC14" s="15">
        <f t="shared" si="1"/>
        <v>76.92529803719566</v>
      </c>
      <c r="AD14" s="15">
        <f t="shared" si="1"/>
        <v>89.026266565464951</v>
      </c>
      <c r="AE14" s="15">
        <f t="shared" si="1"/>
        <v>1397.4321605093185</v>
      </c>
      <c r="AF14" s="15">
        <f t="shared" si="1"/>
        <v>1641.6351858102817</v>
      </c>
      <c r="AG14" s="15">
        <f t="shared" si="1"/>
        <v>122.1714873539438</v>
      </c>
      <c r="AH14" s="15">
        <f t="shared" si="1"/>
        <v>69.154265425452422</v>
      </c>
      <c r="AI14" s="15">
        <f t="shared" si="1"/>
        <v>74.265520384027269</v>
      </c>
      <c r="AJ14" s="15">
        <f t="shared" si="1"/>
        <v>79.71682601813832</v>
      </c>
      <c r="AK14" s="15">
        <f t="shared" si="1"/>
        <v>345.30809918156177</v>
      </c>
      <c r="AL14" s="15">
        <f t="shared" si="1"/>
        <v>74.198129773641426</v>
      </c>
      <c r="AM14" s="15">
        <f t="shared" si="1"/>
        <v>77.754510080234354</v>
      </c>
      <c r="AN14" s="15">
        <f t="shared" si="1"/>
        <v>80.520674792822064</v>
      </c>
      <c r="AO14" s="15">
        <f t="shared" si="1"/>
        <v>88.743870634469459</v>
      </c>
      <c r="AP14" s="15">
        <f t="shared" si="1"/>
        <v>321.2171852811673</v>
      </c>
      <c r="AQ14" s="15">
        <f t="shared" si="1"/>
        <v>85.929809969191638</v>
      </c>
      <c r="AR14" s="15">
        <f t="shared" si="1"/>
        <v>794.99354871354524</v>
      </c>
      <c r="AS14" s="15">
        <f t="shared" si="1"/>
        <v>47.861737969417923</v>
      </c>
      <c r="AT14" s="15">
        <f t="shared" si="1"/>
        <v>67.556930704872983</v>
      </c>
      <c r="AU14" s="15">
        <f t="shared" si="1"/>
        <v>996.34202735702775</v>
      </c>
      <c r="AV14" s="15">
        <f t="shared" si="1"/>
        <v>57.717142666841163</v>
      </c>
      <c r="AW14" s="15">
        <f>SUM(AW7:AW13)</f>
        <v>56.29620184208629</v>
      </c>
      <c r="AY14" s="47">
        <f t="shared" si="0"/>
        <v>0</v>
      </c>
    </row>
    <row r="15" spans="1:51" s="16" customFormat="1" ht="15" customHeight="1" x14ac:dyDescent="0.3">
      <c r="A15" s="12" t="s">
        <v>67</v>
      </c>
      <c r="B15" s="17" t="str">
        <f>IF('Sumário | Summary'!P1=1,"Custo de Edifícios Corporativos","Corporate Buildings Cost")</f>
        <v>Custo de Edifícios Corporativos</v>
      </c>
      <c r="C15" s="19">
        <v>-4.1548749250000006</v>
      </c>
      <c r="D15" s="19">
        <v>-3.3962923425000011</v>
      </c>
      <c r="E15" s="19">
        <v>-3.8068946725000008</v>
      </c>
      <c r="F15" s="19">
        <v>-11.116048514999999</v>
      </c>
      <c r="G15" s="19">
        <v>-13.560627555</v>
      </c>
      <c r="H15" s="19">
        <v>-3.8129329193559998</v>
      </c>
      <c r="I15" s="19">
        <v>-3.3357924184839995</v>
      </c>
      <c r="J15" s="19">
        <v>-3.9674193911369988</v>
      </c>
      <c r="K15" s="19">
        <v>-3.9176099495089995</v>
      </c>
      <c r="L15" s="19">
        <v>-13.496107908485998</v>
      </c>
      <c r="M15" s="19">
        <v>-3.2420478019049996</v>
      </c>
      <c r="N15" s="19">
        <v>-3.0207626581029983</v>
      </c>
      <c r="O15" s="19">
        <v>-3.6808996518664792</v>
      </c>
      <c r="P15" s="19">
        <v>-3.4904786332430002</v>
      </c>
      <c r="Q15" s="19">
        <v>-13.434188745117476</v>
      </c>
      <c r="R15" s="19">
        <v>-2.9375678472429998</v>
      </c>
      <c r="S15" s="19">
        <v>-3.2818079141200007</v>
      </c>
      <c r="T15" s="19">
        <v>-3.3935698962479997</v>
      </c>
      <c r="U15" s="19">
        <v>-3.0441916093074886</v>
      </c>
      <c r="V15" s="19">
        <v>-12.65713726691849</v>
      </c>
      <c r="W15" s="19">
        <v>-5.0999999999999996</v>
      </c>
      <c r="X15" s="19">
        <v>-4.9082134507757447</v>
      </c>
      <c r="Y15" s="29">
        <v>-5.3349346877089996</v>
      </c>
      <c r="Z15" s="19">
        <v>-6.4664273357910007</v>
      </c>
      <c r="AA15" s="19">
        <v>-21.809575474275746</v>
      </c>
      <c r="AB15" s="19">
        <v>-7.0988959655299988</v>
      </c>
      <c r="AC15" s="19">
        <v>-6.8746555326100003</v>
      </c>
      <c r="AD15" s="19">
        <v>-6.8481055917040008</v>
      </c>
      <c r="AE15" s="19">
        <v>-21.964787867125999</v>
      </c>
      <c r="AF15" s="19">
        <v>-42.786444956970001</v>
      </c>
      <c r="AG15" s="19">
        <v>-3.7825591021600005</v>
      </c>
      <c r="AH15" s="19">
        <v>-3.8302491108080003</v>
      </c>
      <c r="AI15" s="19">
        <v>-3.5782995626759986</v>
      </c>
      <c r="AJ15" s="19">
        <v>-5.443602802081001</v>
      </c>
      <c r="AK15" s="19">
        <v>-16.634710577725002</v>
      </c>
      <c r="AL15" s="19">
        <v>-4.6230276007399995</v>
      </c>
      <c r="AM15" s="19">
        <v>-4.6512421890268607</v>
      </c>
      <c r="AN15" s="19">
        <v>-4.2545383464550088</v>
      </c>
      <c r="AO15" s="19">
        <v>-4.2836842271384121</v>
      </c>
      <c r="AP15" s="19">
        <v>-17.812492363360281</v>
      </c>
      <c r="AQ15" s="29">
        <v>-4.2259300573100003</v>
      </c>
      <c r="AR15" s="19">
        <v>-3.8008217824110409</v>
      </c>
      <c r="AS15" s="19">
        <v>-3.3725234733199576</v>
      </c>
      <c r="AT15" s="19">
        <v>-1.8647601303250012</v>
      </c>
      <c r="AU15" s="19">
        <v>-13.264035443366</v>
      </c>
      <c r="AV15" s="19">
        <v>-2.9812830086469102</v>
      </c>
      <c r="AW15" s="19">
        <v>-3.6602240006707993</v>
      </c>
      <c r="AY15" s="47">
        <f t="shared" si="0"/>
        <v>8.9134829000000018</v>
      </c>
    </row>
    <row r="16" spans="1:51" s="16" customFormat="1" ht="15" customHeight="1" x14ac:dyDescent="0.3">
      <c r="A16" s="12" t="s">
        <v>68</v>
      </c>
      <c r="B16" s="17" t="str">
        <f>IF('Sumário | Summary'!P1=1,"Custo de Shopping Centers","Shopping Malls Cost")</f>
        <v>Custo de Shopping Centers</v>
      </c>
      <c r="C16" s="19">
        <v>-12.4509899495</v>
      </c>
      <c r="D16" s="19">
        <v>-13.559971436250001</v>
      </c>
      <c r="E16" s="19">
        <v>-17.364844185874997</v>
      </c>
      <c r="F16" s="19">
        <v>-17.800957047499999</v>
      </c>
      <c r="G16" s="19">
        <v>-61.176762619125014</v>
      </c>
      <c r="H16" s="19">
        <v>-15.440065475062088</v>
      </c>
      <c r="I16" s="19">
        <v>-15.243474169750765</v>
      </c>
      <c r="J16" s="19">
        <v>-15.16457666140848</v>
      </c>
      <c r="K16" s="19">
        <v>-23.720548604790434</v>
      </c>
      <c r="L16" s="19">
        <v>-71.106311681011775</v>
      </c>
      <c r="M16" s="19">
        <v>-13.574511467919285</v>
      </c>
      <c r="N16" s="19">
        <v>-15.542517100696402</v>
      </c>
      <c r="O16" s="19">
        <v>-22.949977526270352</v>
      </c>
      <c r="P16" s="19">
        <v>-14.898824110735356</v>
      </c>
      <c r="Q16" s="19">
        <v>-66.965830205621401</v>
      </c>
      <c r="R16" s="19">
        <v>-14.567151320251964</v>
      </c>
      <c r="S16" s="19">
        <v>-13.825794170540112</v>
      </c>
      <c r="T16" s="19">
        <v>-13.823389802640817</v>
      </c>
      <c r="U16" s="19">
        <v>-14.793911912244589</v>
      </c>
      <c r="V16" s="19">
        <v>-57.01024720567748</v>
      </c>
      <c r="W16" s="19">
        <v>-13.5</v>
      </c>
      <c r="X16" s="19">
        <v>-15.527322633904443</v>
      </c>
      <c r="Y16" s="19">
        <v>-14.938989996888109</v>
      </c>
      <c r="Z16" s="19">
        <v>-17.168650157406621</v>
      </c>
      <c r="AA16" s="19">
        <v>-61.134962788199175</v>
      </c>
      <c r="AB16" s="19">
        <v>-13.719624277471164</v>
      </c>
      <c r="AC16" s="19">
        <v>-13.661572208353045</v>
      </c>
      <c r="AD16" s="19">
        <v>-14.512561575879587</v>
      </c>
      <c r="AE16" s="19">
        <v>-19.294857792776689</v>
      </c>
      <c r="AF16" s="19">
        <v>-61.188615854480481</v>
      </c>
      <c r="AG16" s="19">
        <v>-12.813144516870784</v>
      </c>
      <c r="AH16" s="19">
        <v>-10.667741001506345</v>
      </c>
      <c r="AI16" s="19">
        <v>-12.431317666965864</v>
      </c>
      <c r="AJ16" s="19">
        <v>-12.049122931086494</v>
      </c>
      <c r="AK16" s="19">
        <v>-47.961326116429483</v>
      </c>
      <c r="AL16" s="19">
        <v>-12.6519015941787</v>
      </c>
      <c r="AM16" s="19">
        <v>-12.356542504552163</v>
      </c>
      <c r="AN16" s="19">
        <v>-10.338328238715061</v>
      </c>
      <c r="AO16" s="19">
        <v>-10.726923754644879</v>
      </c>
      <c r="AP16" s="19">
        <v>-46.073696092090806</v>
      </c>
      <c r="AQ16" s="29">
        <v>-11.024068886250001</v>
      </c>
      <c r="AR16" s="19">
        <v>-129.37703785461991</v>
      </c>
      <c r="AS16" s="19">
        <v>-2.7438063452353525</v>
      </c>
      <c r="AT16" s="19">
        <v>-3.6853092499109916</v>
      </c>
      <c r="AU16" s="19">
        <v>-146.83022233601628</v>
      </c>
      <c r="AV16" s="19">
        <v>-3.2642150509060004</v>
      </c>
      <c r="AW16" s="19">
        <v>-4.975534730024</v>
      </c>
      <c r="AY16" s="47">
        <f t="shared" si="0"/>
        <v>0</v>
      </c>
    </row>
    <row r="17" spans="1:51" s="16" customFormat="1" ht="15" customHeight="1" x14ac:dyDescent="0.3">
      <c r="A17" s="12" t="s">
        <v>69</v>
      </c>
      <c r="B17" s="17" t="str">
        <f>IF('Sumário | Summary'!P1=1,"Custo de Galpões Logísticos","Distribution Centers Cost")</f>
        <v>Custo de Galpões Logísticos</v>
      </c>
      <c r="C17" s="19">
        <v>-0.55642530689529102</v>
      </c>
      <c r="D17" s="19">
        <v>-1.4635574889188292</v>
      </c>
      <c r="E17" s="19">
        <v>-1.8761553394419082</v>
      </c>
      <c r="F17" s="19">
        <v>-3.3990053025901559</v>
      </c>
      <c r="G17" s="19">
        <v>-7.2951434378461846</v>
      </c>
      <c r="H17" s="19">
        <v>-3.6764977335122397</v>
      </c>
      <c r="I17" s="19">
        <v>-4.0767843090194535</v>
      </c>
      <c r="J17" s="19">
        <v>-2.0114130398937506</v>
      </c>
      <c r="K17" s="19">
        <v>-0.24733496999999996</v>
      </c>
      <c r="L17" s="19">
        <v>-10.012030052425445</v>
      </c>
      <c r="M17" s="19">
        <v>-0.14696628</v>
      </c>
      <c r="N17" s="19">
        <v>-0.15109148999999999</v>
      </c>
      <c r="O17" s="19">
        <v>-0.60479850000000002</v>
      </c>
      <c r="P17" s="19">
        <v>0</v>
      </c>
      <c r="Q17" s="19">
        <v>-0.90285627000000002</v>
      </c>
      <c r="R17" s="19">
        <v>0</v>
      </c>
      <c r="S17" s="19">
        <v>0</v>
      </c>
      <c r="T17" s="19">
        <v>0</v>
      </c>
      <c r="U17" s="19">
        <v>0</v>
      </c>
      <c r="V17" s="19">
        <v>0</v>
      </c>
      <c r="W17" s="19">
        <v>0</v>
      </c>
      <c r="X17" s="19">
        <v>0</v>
      </c>
      <c r="Y17" s="19">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c r="AQ17" s="29">
        <v>-9.0568380000000004E-2</v>
      </c>
      <c r="AR17" s="19">
        <v>-2.8901874000000001E-2</v>
      </c>
      <c r="AS17" s="19">
        <v>-0.12205470599999999</v>
      </c>
      <c r="AT17" s="19">
        <v>-0.54652288000000016</v>
      </c>
      <c r="AU17" s="19">
        <v>-0.78804784000000017</v>
      </c>
      <c r="AV17" s="19">
        <v>-0.14985368000000002</v>
      </c>
      <c r="AW17" s="19">
        <v>-0.42612819000000007</v>
      </c>
      <c r="AY17" s="47">
        <f t="shared" si="0"/>
        <v>0</v>
      </c>
    </row>
    <row r="18" spans="1:51" s="16" customFormat="1" ht="15" customHeight="1" x14ac:dyDescent="0.3">
      <c r="A18" t="s">
        <v>70</v>
      </c>
      <c r="B18" s="17" t="str">
        <f>IF('Sumário | Summary'!P1=1,"Prestação de Serviços","Services")</f>
        <v>Prestação de Serviços</v>
      </c>
      <c r="C18" s="19">
        <v>-2.9175824599999989</v>
      </c>
      <c r="D18" s="19">
        <v>-2.4918884649999997</v>
      </c>
      <c r="E18" s="19">
        <v>-2.4220923050000001</v>
      </c>
      <c r="F18" s="19">
        <v>-2.5486728350000001</v>
      </c>
      <c r="G18" s="19">
        <v>-10.380236064999998</v>
      </c>
      <c r="H18" s="19">
        <v>-2.3477433549999995</v>
      </c>
      <c r="I18" s="19">
        <v>-2.292063835</v>
      </c>
      <c r="J18" s="19">
        <v>-2.0840349850000002</v>
      </c>
      <c r="K18" s="19">
        <v>-1.8290177699999997</v>
      </c>
      <c r="L18" s="19">
        <v>-8.552859944999998</v>
      </c>
      <c r="M18" s="19">
        <v>-2.6220372100000002</v>
      </c>
      <c r="N18" s="19">
        <v>-1.3854131600000006</v>
      </c>
      <c r="O18" s="19">
        <v>-1.8414797200000004</v>
      </c>
      <c r="P18" s="19">
        <v>-2.0438276600000003</v>
      </c>
      <c r="Q18" s="19">
        <v>-7.8785331800000016</v>
      </c>
      <c r="R18" s="19">
        <v>-1.9776935600000005</v>
      </c>
      <c r="S18" s="19">
        <v>-1.93255091</v>
      </c>
      <c r="T18" s="19">
        <v>-1.9230373300000001</v>
      </c>
      <c r="U18" s="19">
        <v>-1.852355064216</v>
      </c>
      <c r="V18" s="19">
        <v>-7.6856368642159998</v>
      </c>
      <c r="W18" s="19">
        <v>-1.9</v>
      </c>
      <c r="X18" s="19">
        <v>-3.9645738899999996</v>
      </c>
      <c r="Y18" s="19">
        <v>-2.8317097000000007</v>
      </c>
      <c r="Z18" s="19">
        <v>-6.2112996899999997</v>
      </c>
      <c r="AA18" s="19">
        <v>-14.907583280000001</v>
      </c>
      <c r="AB18" s="19">
        <v>-4.1733542999999989</v>
      </c>
      <c r="AC18" s="19">
        <v>-4.9820669500000001</v>
      </c>
      <c r="AD18" s="19">
        <v>-4.9159477199999984</v>
      </c>
      <c r="AE18" s="19">
        <v>-9.3446125900000006</v>
      </c>
      <c r="AF18" s="19">
        <v>-23.415981559999999</v>
      </c>
      <c r="AG18" s="19">
        <v>-4.2550171999999975</v>
      </c>
      <c r="AH18" s="19">
        <v>-8.3656043199999974</v>
      </c>
      <c r="AI18" s="19">
        <v>-3.7805615200000031</v>
      </c>
      <c r="AJ18" s="19">
        <v>-7.3860992300000285</v>
      </c>
      <c r="AK18" s="19">
        <v>-23.787282270000027</v>
      </c>
      <c r="AL18" s="19">
        <v>-6.7401593000000011</v>
      </c>
      <c r="AM18" s="19">
        <v>-3.2357254000000011</v>
      </c>
      <c r="AN18" s="19">
        <v>-3.724139799999997</v>
      </c>
      <c r="AO18" s="19">
        <v>-3.65389794000001</v>
      </c>
      <c r="AP18" s="19">
        <v>-17.353922440000009</v>
      </c>
      <c r="AQ18" s="29">
        <v>-3.2110805699999947</v>
      </c>
      <c r="AR18" s="19">
        <v>-3.5057942900000016</v>
      </c>
      <c r="AS18" s="19">
        <v>-3.1701030399999945</v>
      </c>
      <c r="AT18" s="19">
        <v>-2.5877344100000119</v>
      </c>
      <c r="AU18" s="19">
        <v>-12.474712310000003</v>
      </c>
      <c r="AV18" s="19">
        <v>-3.058185229999999</v>
      </c>
      <c r="AW18" s="19">
        <v>-2.7389395200000028</v>
      </c>
      <c r="AY18" s="47">
        <f t="shared" si="0"/>
        <v>0</v>
      </c>
    </row>
    <row r="19" spans="1:51" s="16" customFormat="1" ht="15" customHeight="1" x14ac:dyDescent="0.3">
      <c r="A19" t="s">
        <v>71</v>
      </c>
      <c r="B19" s="17" t="str">
        <f>IF('Sumário | Summary'!P1=1,"Estacionamento","Parking Lot")</f>
        <v>Estacionamento</v>
      </c>
      <c r="C19" s="19">
        <v>-11.0278589855</v>
      </c>
      <c r="D19" s="19">
        <v>-11.684404789999999</v>
      </c>
      <c r="E19" s="19">
        <v>-10.13201193000001</v>
      </c>
      <c r="F19" s="19">
        <v>-12.596238319999989</v>
      </c>
      <c r="G19" s="19">
        <v>-45.440514025500001</v>
      </c>
      <c r="H19" s="19">
        <v>-11.744310510000005</v>
      </c>
      <c r="I19" s="19">
        <v>-12.27792769000002</v>
      </c>
      <c r="J19" s="19">
        <v>-12.057667079999995</v>
      </c>
      <c r="K19" s="19">
        <v>-13.593656710000012</v>
      </c>
      <c r="L19" s="19">
        <v>-49.673561990000024</v>
      </c>
      <c r="M19" s="19">
        <v>-12.899848279999995</v>
      </c>
      <c r="N19" s="19">
        <v>-13.259218759999987</v>
      </c>
      <c r="O19" s="19">
        <v>-13.463760979999993</v>
      </c>
      <c r="P19" s="19">
        <v>-15.027486749999982</v>
      </c>
      <c r="Q19" s="19">
        <v>-54.650314769999966</v>
      </c>
      <c r="R19" s="19">
        <v>-15.007392269999965</v>
      </c>
      <c r="S19" s="19">
        <v>-15.854841179999987</v>
      </c>
      <c r="T19" s="19">
        <v>-16.457064119999998</v>
      </c>
      <c r="U19" s="19">
        <v>-17.867810630000019</v>
      </c>
      <c r="V19" s="19">
        <v>-65.187108199999969</v>
      </c>
      <c r="W19" s="19">
        <v>-15.8</v>
      </c>
      <c r="X19" s="19">
        <v>-3.7970222200000019</v>
      </c>
      <c r="Y19" s="19">
        <v>-4.3814390600000017</v>
      </c>
      <c r="Z19" s="19">
        <v>-11.247448759999999</v>
      </c>
      <c r="AA19" s="19">
        <v>-35.225910040000002</v>
      </c>
      <c r="AB19" s="19">
        <v>-8.6140358899999949</v>
      </c>
      <c r="AC19" s="19">
        <v>-6.9133859799999993</v>
      </c>
      <c r="AD19" s="19">
        <v>-10.927970349999994</v>
      </c>
      <c r="AE19" s="19">
        <v>-15.236717499999999</v>
      </c>
      <c r="AF19" s="19">
        <v>-41.692109719999983</v>
      </c>
      <c r="AG19" s="19">
        <v>-14.675811400000001</v>
      </c>
      <c r="AH19" s="19">
        <v>-15.897009429999999</v>
      </c>
      <c r="AI19" s="19">
        <v>-16.794955560000009</v>
      </c>
      <c r="AJ19" s="19">
        <v>-20.684325820000005</v>
      </c>
      <c r="AK19" s="19">
        <v>-68.052102210000015</v>
      </c>
      <c r="AL19" s="19">
        <v>-15.794096360000005</v>
      </c>
      <c r="AM19" s="19">
        <v>-17.272593429999986</v>
      </c>
      <c r="AN19" s="19">
        <v>-17.341976940000009</v>
      </c>
      <c r="AO19" s="19">
        <v>-19.458552910000012</v>
      </c>
      <c r="AP19" s="19">
        <v>-69.867219640000016</v>
      </c>
      <c r="AQ19" s="29">
        <v>-19.073463560000015</v>
      </c>
      <c r="AR19" s="19">
        <v>-17.785351450000014</v>
      </c>
      <c r="AS19" s="19">
        <v>-20.763199380000007</v>
      </c>
      <c r="AT19" s="19">
        <v>-20.190732570000002</v>
      </c>
      <c r="AU19" s="19">
        <v>-77.812746960000027</v>
      </c>
      <c r="AV19" s="19">
        <v>-19.545772920000012</v>
      </c>
      <c r="AW19" s="19">
        <v>-18.111394430000018</v>
      </c>
      <c r="AY19" s="47">
        <f t="shared" si="0"/>
        <v>0</v>
      </c>
    </row>
    <row r="20" spans="1:51" s="16" customFormat="1" ht="15" customHeight="1" x14ac:dyDescent="0.3">
      <c r="A20" t="s">
        <v>72</v>
      </c>
      <c r="B20" s="17" t="str">
        <f>IF('Sumário | Summary'!P1=1,"Vendas de Propriedades","Real Estate Sales and Development")</f>
        <v>Vendas de Propriedades</v>
      </c>
      <c r="C20" s="19">
        <v>-1.0317881953889594</v>
      </c>
      <c r="D20" s="19">
        <v>-1.9318013029520669</v>
      </c>
      <c r="E20" s="19">
        <v>-16.693520685352944</v>
      </c>
      <c r="F20" s="19">
        <v>0.16608651653328635</v>
      </c>
      <c r="G20" s="19">
        <v>-28.607478837160681</v>
      </c>
      <c r="H20" s="19">
        <v>-9.2617843705810263E-2</v>
      </c>
      <c r="I20" s="19">
        <v>-0.51881041330610966</v>
      </c>
      <c r="J20" s="19">
        <v>-15.413590837179148</v>
      </c>
      <c r="K20" s="19">
        <v>0</v>
      </c>
      <c r="L20" s="19">
        <v>-16.261206367458925</v>
      </c>
      <c r="M20" s="19">
        <v>-1.5208936036413802E-2</v>
      </c>
      <c r="N20" s="19">
        <v>-40.840342304330996</v>
      </c>
      <c r="O20" s="19">
        <v>1.8167465300199581</v>
      </c>
      <c r="P20" s="19">
        <v>7.7245152319548538E-2</v>
      </c>
      <c r="Q20" s="19">
        <v>-38.9615595480279</v>
      </c>
      <c r="R20" s="19">
        <v>9.8154258596457392E-2</v>
      </c>
      <c r="S20" s="19">
        <v>-6.4071325119286716E-3</v>
      </c>
      <c r="T20" s="19">
        <v>0.33031382357486178</v>
      </c>
      <c r="U20" s="19">
        <v>-1.6775907544502873E-2</v>
      </c>
      <c r="V20" s="19">
        <v>0.40528504211488764</v>
      </c>
      <c r="W20" s="19">
        <v>2.1000000000000001E-2</v>
      </c>
      <c r="X20" s="19">
        <v>-2.1999999999999999E-2</v>
      </c>
      <c r="Y20" s="19">
        <v>-2.9750000000000001</v>
      </c>
      <c r="Z20" s="19">
        <v>-0.92100000000000004</v>
      </c>
      <c r="AA20" s="19">
        <v>-3.8970000000000002</v>
      </c>
      <c r="AB20" s="19">
        <v>-1.4660686055373138</v>
      </c>
      <c r="AC20" s="19">
        <v>-1.0018598767034015</v>
      </c>
      <c r="AD20" s="19">
        <v>-1.049240576371594</v>
      </c>
      <c r="AE20" s="19">
        <v>-304.67654159814936</v>
      </c>
      <c r="AF20" s="19">
        <v>-308.19371065676165</v>
      </c>
      <c r="AG20" s="19">
        <v>-53.477343170381154</v>
      </c>
      <c r="AH20" s="19">
        <v>-1.4882127133178713E-2</v>
      </c>
      <c r="AI20" s="19">
        <v>-3.1682355129174541E-2</v>
      </c>
      <c r="AJ20" s="19">
        <v>-9.3522543310777112E-2</v>
      </c>
      <c r="AK20" s="19">
        <v>-53.617430195954284</v>
      </c>
      <c r="AL20" s="19">
        <v>-0.66136280448852969</v>
      </c>
      <c r="AM20" s="19">
        <v>0</v>
      </c>
      <c r="AN20" s="19">
        <v>-1.3058666062153341</v>
      </c>
      <c r="AO20" s="19">
        <v>-2.4823661307763131E-2</v>
      </c>
      <c r="AP20" s="19">
        <v>-1.992053072011627</v>
      </c>
      <c r="AQ20" s="29">
        <v>0</v>
      </c>
      <c r="AR20" s="19">
        <v>-353.09503202217149</v>
      </c>
      <c r="AS20" s="19">
        <v>0.98102425335277799</v>
      </c>
      <c r="AT20" s="19">
        <v>1.2197301104590879</v>
      </c>
      <c r="AU20" s="19">
        <v>-350.89427765835967</v>
      </c>
      <c r="AV20" s="19">
        <v>0</v>
      </c>
      <c r="AW20" s="19">
        <v>-9.1944691810553078E-2</v>
      </c>
      <c r="AY20" s="47">
        <f t="shared" si="0"/>
        <v>-9.1164551699999983</v>
      </c>
    </row>
    <row r="21" spans="1:51" s="16" customFormat="1" ht="15" customHeight="1" x14ac:dyDescent="0.3">
      <c r="A21" s="12" t="s">
        <v>74</v>
      </c>
      <c r="B21" s="13" t="str">
        <f>IF('Sumário | Summary'!P1=1,"Custo de locação, vendas e serviços prestados","Costs of Leases, Sales and Services")</f>
        <v>Custo de locação, vendas e serviços prestados</v>
      </c>
      <c r="C21" s="15">
        <f t="shared" ref="C21:AV21" si="2">SUM(C15:C20)</f>
        <v>-32.13951982228425</v>
      </c>
      <c r="D21" s="15">
        <f t="shared" si="2"/>
        <v>-34.527915825620894</v>
      </c>
      <c r="E21" s="15">
        <f t="shared" si="2"/>
        <v>-52.295519118169857</v>
      </c>
      <c r="F21" s="15">
        <f t="shared" si="2"/>
        <v>-47.294835503556861</v>
      </c>
      <c r="G21" s="15">
        <f t="shared" si="2"/>
        <v>-166.46076253963184</v>
      </c>
      <c r="H21" s="15">
        <f t="shared" si="2"/>
        <v>-37.114167836636142</v>
      </c>
      <c r="I21" s="15">
        <f t="shared" si="2"/>
        <v>-37.744852835560351</v>
      </c>
      <c r="J21" s="15">
        <f t="shared" si="2"/>
        <v>-50.698701994618368</v>
      </c>
      <c r="K21" s="15">
        <f t="shared" si="2"/>
        <v>-43.308168004299446</v>
      </c>
      <c r="L21" s="15">
        <f t="shared" si="2"/>
        <v>-169.10207794438216</v>
      </c>
      <c r="M21" s="15">
        <f t="shared" si="2"/>
        <v>-32.500619975860694</v>
      </c>
      <c r="N21" s="15">
        <f t="shared" si="2"/>
        <v>-74.199345473130393</v>
      </c>
      <c r="O21" s="15">
        <f t="shared" si="2"/>
        <v>-40.724169848116873</v>
      </c>
      <c r="P21" s="15">
        <f t="shared" si="2"/>
        <v>-35.383372001658792</v>
      </c>
      <c r="Q21" s="15">
        <f t="shared" si="2"/>
        <v>-182.79328271876676</v>
      </c>
      <c r="R21" s="15">
        <f t="shared" si="2"/>
        <v>-34.39165073889847</v>
      </c>
      <c r="S21" s="15">
        <f t="shared" si="2"/>
        <v>-34.90140130717203</v>
      </c>
      <c r="T21" s="15">
        <f t="shared" si="2"/>
        <v>-35.266747325313951</v>
      </c>
      <c r="U21" s="15">
        <f t="shared" si="2"/>
        <v>-37.575045123312599</v>
      </c>
      <c r="V21" s="15">
        <f t="shared" si="2"/>
        <v>-142.13484449469706</v>
      </c>
      <c r="W21" s="15">
        <f t="shared" si="2"/>
        <v>-36.278999999999996</v>
      </c>
      <c r="X21" s="15">
        <f t="shared" si="2"/>
        <v>-28.219132194680189</v>
      </c>
      <c r="Y21" s="15">
        <f t="shared" si="2"/>
        <v>-30.462073444597113</v>
      </c>
      <c r="Z21" s="15">
        <f t="shared" si="2"/>
        <v>-42.014825943197621</v>
      </c>
      <c r="AA21" s="15">
        <f t="shared" si="2"/>
        <v>-136.97503158247491</v>
      </c>
      <c r="AB21" s="15">
        <f t="shared" si="2"/>
        <v>-35.071979038538473</v>
      </c>
      <c r="AC21" s="15">
        <f t="shared" si="2"/>
        <v>-33.433540547666446</v>
      </c>
      <c r="AD21" s="15">
        <f t="shared" si="2"/>
        <v>-38.253825813955174</v>
      </c>
      <c r="AE21" s="15">
        <f t="shared" si="2"/>
        <v>-370.51751734805202</v>
      </c>
      <c r="AF21" s="15">
        <f t="shared" si="2"/>
        <v>-477.27686274821212</v>
      </c>
      <c r="AG21" s="15">
        <f t="shared" si="2"/>
        <v>-89.003875389411945</v>
      </c>
      <c r="AH21" s="15">
        <f t="shared" si="2"/>
        <v>-38.775485989447517</v>
      </c>
      <c r="AI21" s="15">
        <f t="shared" si="2"/>
        <v>-36.616816664771051</v>
      </c>
      <c r="AJ21" s="15">
        <f t="shared" si="2"/>
        <v>-45.656673326478305</v>
      </c>
      <c r="AK21" s="15">
        <f t="shared" si="2"/>
        <v>-210.05285137010881</v>
      </c>
      <c r="AL21" s="15">
        <f t="shared" si="2"/>
        <v>-40.470547659407238</v>
      </c>
      <c r="AM21" s="15">
        <f t="shared" si="2"/>
        <v>-37.516103523579005</v>
      </c>
      <c r="AN21" s="15">
        <f t="shared" si="2"/>
        <v>-36.964849931385409</v>
      </c>
      <c r="AO21" s="15">
        <f t="shared" si="2"/>
        <v>-38.147882493091075</v>
      </c>
      <c r="AP21" s="15">
        <f t="shared" si="2"/>
        <v>-153.09938360746276</v>
      </c>
      <c r="AQ21" s="15">
        <f t="shared" si="2"/>
        <v>-37.62511145356001</v>
      </c>
      <c r="AR21" s="15">
        <f t="shared" si="2"/>
        <v>-507.59293927320249</v>
      </c>
      <c r="AS21" s="15">
        <f t="shared" si="2"/>
        <v>-29.190662691202533</v>
      </c>
      <c r="AT21" s="15">
        <f t="shared" si="2"/>
        <v>-27.655329129776916</v>
      </c>
      <c r="AU21" s="15">
        <f t="shared" si="2"/>
        <v>-602.06404254774202</v>
      </c>
      <c r="AV21" s="15">
        <f t="shared" si="2"/>
        <v>-28.999309889552919</v>
      </c>
      <c r="AW21" s="15">
        <f>SUM(AW15:AW20)</f>
        <v>-30.004165562505374</v>
      </c>
      <c r="AY21" s="47">
        <f t="shared" si="0"/>
        <v>-0.2029722699999752</v>
      </c>
    </row>
    <row r="22" spans="1:51" s="16" customFormat="1" ht="15" customHeight="1" x14ac:dyDescent="0.3">
      <c r="A22" s="12" t="s">
        <v>75</v>
      </c>
      <c r="B22" s="13" t="str">
        <f>IF('Sumário | Summary'!P1=1,"Lucro Bruto","Gross Profit")</f>
        <v>Lucro Bruto</v>
      </c>
      <c r="C22" s="15">
        <f t="shared" ref="C22:AV22" si="3">C14+C21</f>
        <v>68.528051273494611</v>
      </c>
      <c r="D22" s="15">
        <f t="shared" si="3"/>
        <v>62.89107602578953</v>
      </c>
      <c r="E22" s="15">
        <f t="shared" si="3"/>
        <v>79.352819208102432</v>
      </c>
      <c r="F22" s="15">
        <f t="shared" si="3"/>
        <v>81.436704337937357</v>
      </c>
      <c r="G22" s="15">
        <f t="shared" si="3"/>
        <v>292.00567857532394</v>
      </c>
      <c r="H22" s="15">
        <f t="shared" si="3"/>
        <v>56.135882591866192</v>
      </c>
      <c r="I22" s="15">
        <f t="shared" si="3"/>
        <v>63.534811077076029</v>
      </c>
      <c r="J22" s="15">
        <f t="shared" si="3"/>
        <v>42.183421246601476</v>
      </c>
      <c r="K22" s="15">
        <f t="shared" si="3"/>
        <v>42.35772593551394</v>
      </c>
      <c r="L22" s="15">
        <f t="shared" si="3"/>
        <v>204.97747433657472</v>
      </c>
      <c r="M22" s="15">
        <f t="shared" si="3"/>
        <v>47.208327739206005</v>
      </c>
      <c r="N22" s="15">
        <f t="shared" si="3"/>
        <v>66.823433035378912</v>
      </c>
      <c r="O22" s="15">
        <f t="shared" si="3"/>
        <v>42.218282814979148</v>
      </c>
      <c r="P22" s="15">
        <f t="shared" si="3"/>
        <v>50.607677750890311</v>
      </c>
      <c r="Q22" s="15">
        <f t="shared" si="3"/>
        <v>206.87194592045438</v>
      </c>
      <c r="R22" s="15">
        <f t="shared" si="3"/>
        <v>50.811009382918748</v>
      </c>
      <c r="S22" s="15">
        <f t="shared" si="3"/>
        <v>52.745102683303678</v>
      </c>
      <c r="T22" s="15">
        <f t="shared" si="3"/>
        <v>54.033010427535878</v>
      </c>
      <c r="U22" s="15">
        <f t="shared" si="3"/>
        <v>60.786751805735882</v>
      </c>
      <c r="V22" s="15">
        <f t="shared" si="3"/>
        <v>218.37587429949417</v>
      </c>
      <c r="W22" s="15">
        <f t="shared" si="3"/>
        <v>56.311098054118048</v>
      </c>
      <c r="X22" s="15">
        <f t="shared" si="3"/>
        <v>35.166919051812229</v>
      </c>
      <c r="Y22" s="15">
        <f t="shared" si="3"/>
        <v>63.399188584556427</v>
      </c>
      <c r="Z22" s="15">
        <f t="shared" si="3"/>
        <v>46.352005560906974</v>
      </c>
      <c r="AA22" s="15">
        <f t="shared" si="3"/>
        <v>201.22921125139374</v>
      </c>
      <c r="AB22" s="15">
        <f t="shared" si="3"/>
        <v>43.179481659763965</v>
      </c>
      <c r="AC22" s="15">
        <f t="shared" si="3"/>
        <v>43.491757489529213</v>
      </c>
      <c r="AD22" s="15">
        <f t="shared" si="3"/>
        <v>50.772440751509777</v>
      </c>
      <c r="AE22" s="15">
        <f t="shared" si="3"/>
        <v>1026.9146431612664</v>
      </c>
      <c r="AF22" s="15">
        <f t="shared" si="3"/>
        <v>1164.3583230620695</v>
      </c>
      <c r="AG22" s="15">
        <f t="shared" si="3"/>
        <v>33.167611964531858</v>
      </c>
      <c r="AH22" s="15">
        <f t="shared" si="3"/>
        <v>30.378779436004905</v>
      </c>
      <c r="AI22" s="15">
        <f t="shared" si="3"/>
        <v>37.648703719256218</v>
      </c>
      <c r="AJ22" s="15">
        <f t="shared" si="3"/>
        <v>34.060152691660015</v>
      </c>
      <c r="AK22" s="15">
        <f t="shared" si="3"/>
        <v>135.25524781145296</v>
      </c>
      <c r="AL22" s="15">
        <f t="shared" si="3"/>
        <v>33.727582114234188</v>
      </c>
      <c r="AM22" s="15">
        <f t="shared" si="3"/>
        <v>40.238406556655349</v>
      </c>
      <c r="AN22" s="15">
        <f t="shared" si="3"/>
        <v>43.555824861436655</v>
      </c>
      <c r="AO22" s="15">
        <f t="shared" si="3"/>
        <v>50.595988141378385</v>
      </c>
      <c r="AP22" s="15">
        <f t="shared" si="3"/>
        <v>168.11780167370455</v>
      </c>
      <c r="AQ22" s="15">
        <f t="shared" si="3"/>
        <v>48.304698515631628</v>
      </c>
      <c r="AR22" s="15">
        <f t="shared" si="3"/>
        <v>287.40060944034275</v>
      </c>
      <c r="AS22" s="15">
        <f t="shared" si="3"/>
        <v>18.67107527821539</v>
      </c>
      <c r="AT22" s="15">
        <f t="shared" si="3"/>
        <v>39.901601575096066</v>
      </c>
      <c r="AU22" s="15">
        <f t="shared" si="3"/>
        <v>394.27798480928573</v>
      </c>
      <c r="AV22" s="15">
        <f t="shared" si="3"/>
        <v>28.717832777288244</v>
      </c>
      <c r="AW22" s="15">
        <f>AW14+AW21</f>
        <v>26.292036279580916</v>
      </c>
      <c r="AY22" s="47">
        <f t="shared" si="0"/>
        <v>-0.2029722699999752</v>
      </c>
    </row>
    <row r="23" spans="1:51" s="16" customFormat="1" ht="15" customHeight="1" x14ac:dyDescent="0.3">
      <c r="A23" s="12" t="s">
        <v>76</v>
      </c>
      <c r="B23" s="13" t="str">
        <f>IF('Sumário | Summary'!P1=1,"Margem Bruta","Gross Margin")</f>
        <v>Margem Bruta</v>
      </c>
      <c r="C23" s="23">
        <f t="shared" ref="C23:AV23" si="4">C22/C14</f>
        <v>0.68073611519140043</v>
      </c>
      <c r="D23" s="23">
        <f t="shared" si="4"/>
        <v>0.64557305337048609</v>
      </c>
      <c r="E23" s="23">
        <f t="shared" si="4"/>
        <v>0.6027635457990923</v>
      </c>
      <c r="F23" s="23">
        <f t="shared" si="4"/>
        <v>0.63260879531317271</v>
      </c>
      <c r="G23" s="23">
        <f t="shared" si="4"/>
        <v>0.63691832681403715</v>
      </c>
      <c r="H23" s="23">
        <f t="shared" si="4"/>
        <v>0.60199305345048892</v>
      </c>
      <c r="I23" s="23">
        <f t="shared" si="4"/>
        <v>0.62732051650448817</v>
      </c>
      <c r="J23" s="23">
        <f t="shared" si="4"/>
        <v>0.45416081991417095</v>
      </c>
      <c r="K23" s="23">
        <f t="shared" si="4"/>
        <v>0.49445262271206053</v>
      </c>
      <c r="L23" s="23">
        <f t="shared" si="4"/>
        <v>0.54795156026765124</v>
      </c>
      <c r="M23" s="23">
        <f t="shared" si="4"/>
        <v>0.59225882529474938</v>
      </c>
      <c r="N23" s="23">
        <f t="shared" si="4"/>
        <v>0.47384850690164776</v>
      </c>
      <c r="O23" s="23">
        <f t="shared" si="4"/>
        <v>0.50900692539760795</v>
      </c>
      <c r="P23" s="23">
        <f t="shared" si="4"/>
        <v>0.5885226183017972</v>
      </c>
      <c r="Q23" s="23">
        <f t="shared" si="4"/>
        <v>0.53089660230369351</v>
      </c>
      <c r="R23" s="23">
        <f t="shared" si="4"/>
        <v>0.59635473012547346</v>
      </c>
      <c r="S23" s="23">
        <f t="shared" si="4"/>
        <v>0.60179357169836845</v>
      </c>
      <c r="T23" s="23">
        <f t="shared" si="4"/>
        <v>0.60507454652990389</v>
      </c>
      <c r="U23" s="23">
        <f t="shared" si="4"/>
        <v>0.61799147335203031</v>
      </c>
      <c r="V23" s="23">
        <f t="shared" si="4"/>
        <v>0.60574030927541112</v>
      </c>
      <c r="W23" s="23">
        <f t="shared" si="4"/>
        <v>0.60817624387010305</v>
      </c>
      <c r="X23" s="23">
        <f t="shared" si="4"/>
        <v>0.55480532956780859</v>
      </c>
      <c r="Y23" s="23">
        <f t="shared" si="4"/>
        <v>0.67545638332525815</v>
      </c>
      <c r="Z23" s="23">
        <f t="shared" si="4"/>
        <v>0.52454076684591711</v>
      </c>
      <c r="AA23" s="23">
        <f t="shared" si="4"/>
        <v>0.59499316024323434</v>
      </c>
      <c r="AB23" s="23">
        <f t="shared" si="4"/>
        <v>0.55180416153817158</v>
      </c>
      <c r="AC23" s="23">
        <f t="shared" si="4"/>
        <v>0.56537652240878755</v>
      </c>
      <c r="AD23" s="23">
        <f t="shared" si="4"/>
        <v>0.57030854724402669</v>
      </c>
      <c r="AE23" s="23">
        <f t="shared" si="4"/>
        <v>0.73485831525946099</v>
      </c>
      <c r="AF23" s="23">
        <f t="shared" si="4"/>
        <v>0.70926740187245874</v>
      </c>
      <c r="AG23" s="23">
        <f t="shared" si="4"/>
        <v>0.27148406459554475</v>
      </c>
      <c r="AH23" s="23">
        <f t="shared" si="4"/>
        <v>0.43929003148407253</v>
      </c>
      <c r="AI23" s="23">
        <f t="shared" si="4"/>
        <v>0.50694728219198681</v>
      </c>
      <c r="AJ23" s="23">
        <f t="shared" si="4"/>
        <v>0.42726428525779686</v>
      </c>
      <c r="AK23" s="23">
        <f t="shared" si="4"/>
        <v>0.39169439735711564</v>
      </c>
      <c r="AL23" s="23">
        <f t="shared" si="4"/>
        <v>0.4545610814872017</v>
      </c>
      <c r="AM23" s="23">
        <f t="shared" si="4"/>
        <v>0.51750575645237307</v>
      </c>
      <c r="AN23" s="23">
        <f t="shared" si="4"/>
        <v>0.54092722115785596</v>
      </c>
      <c r="AO23" s="23">
        <f t="shared" si="4"/>
        <v>0.57013501642023423</v>
      </c>
      <c r="AP23" s="23">
        <f t="shared" si="4"/>
        <v>0.52337735767950255</v>
      </c>
      <c r="AQ23" s="23">
        <f t="shared" si="4"/>
        <v>0.56214133992557747</v>
      </c>
      <c r="AR23" s="23">
        <f t="shared" si="4"/>
        <v>0.36151313416997288</v>
      </c>
      <c r="AS23" s="23">
        <f t="shared" si="4"/>
        <v>0.39010441472362734</v>
      </c>
      <c r="AT23" s="23">
        <f t="shared" si="4"/>
        <v>0.59063668462690988</v>
      </c>
      <c r="AU23" s="23">
        <f t="shared" si="4"/>
        <v>0.39572553800142041</v>
      </c>
      <c r="AV23" s="23">
        <f t="shared" si="4"/>
        <v>0.49756158136682688</v>
      </c>
      <c r="AW23" s="23">
        <f>AW22/AW14</f>
        <v>0.46703037539426578</v>
      </c>
      <c r="AY23" s="47">
        <f t="shared" si="0"/>
        <v>-1.9247631828601142</v>
      </c>
    </row>
    <row r="24" spans="1:51" s="16" customFormat="1" ht="15" customHeight="1" x14ac:dyDescent="0.3">
      <c r="A24" s="12" t="s">
        <v>77</v>
      </c>
      <c r="B24" s="24" t="str">
        <f>IF('Sumário | Summary'!P1=1,"Despesas/ Receitas Operacionais","Operating Expenses/Revenues")</f>
        <v>Despesas/ Receitas Operacionais</v>
      </c>
      <c r="C24" s="15">
        <f t="shared" ref="C24:AV24" si="5">SUM(C25:C32)</f>
        <v>24.662264098033894</v>
      </c>
      <c r="D24" s="15">
        <f t="shared" si="5"/>
        <v>-8.3666845582166509</v>
      </c>
      <c r="E24" s="15">
        <f t="shared" si="5"/>
        <v>-22.118679756793828</v>
      </c>
      <c r="F24" s="15">
        <f t="shared" si="5"/>
        <v>-11.809927998689204</v>
      </c>
      <c r="G24" s="15">
        <f t="shared" si="5"/>
        <v>-17.633028215665796</v>
      </c>
      <c r="H24" s="15">
        <f t="shared" si="5"/>
        <v>-16.253</v>
      </c>
      <c r="I24" s="15">
        <f t="shared" si="5"/>
        <v>-16.544</v>
      </c>
      <c r="J24" s="15">
        <f t="shared" si="5"/>
        <v>256.56900000000002</v>
      </c>
      <c r="K24" s="15">
        <f t="shared" si="5"/>
        <v>-18.423999999999999</v>
      </c>
      <c r="L24" s="15">
        <f t="shared" si="5"/>
        <v>205.34799999999998</v>
      </c>
      <c r="M24" s="15">
        <f t="shared" si="5"/>
        <v>-0.70600000000000129</v>
      </c>
      <c r="N24" s="15">
        <f t="shared" si="5"/>
        <v>2.7999999999998693E-2</v>
      </c>
      <c r="O24" s="15">
        <f t="shared" si="5"/>
        <v>-36.424999999999997</v>
      </c>
      <c r="P24" s="15">
        <f t="shared" si="5"/>
        <v>-28.687000000000001</v>
      </c>
      <c r="Q24" s="15">
        <f t="shared" si="5"/>
        <v>-65.790000000000006</v>
      </c>
      <c r="R24" s="15">
        <f t="shared" si="5"/>
        <v>-7.4291543470330019</v>
      </c>
      <c r="S24" s="15">
        <f t="shared" si="5"/>
        <v>-30.759</v>
      </c>
      <c r="T24" s="15">
        <f t="shared" si="5"/>
        <v>-5.7423023286300143</v>
      </c>
      <c r="U24" s="15">
        <f t="shared" si="5"/>
        <v>11.947000000000003</v>
      </c>
      <c r="V24" s="15">
        <f t="shared" si="5"/>
        <v>-31.983456675663021</v>
      </c>
      <c r="W24" s="15">
        <f t="shared" si="5"/>
        <v>-9.9400000000000013</v>
      </c>
      <c r="X24" s="15">
        <f t="shared" si="5"/>
        <v>-19.084</v>
      </c>
      <c r="Y24" s="15">
        <f t="shared" si="5"/>
        <v>-14.744999999999999</v>
      </c>
      <c r="Z24" s="15">
        <f t="shared" si="5"/>
        <v>-13.392000000000001</v>
      </c>
      <c r="AA24" s="15">
        <f t="shared" si="5"/>
        <v>-57.161000000000001</v>
      </c>
      <c r="AB24" s="15">
        <f t="shared" si="5"/>
        <v>-9.6381739930610006</v>
      </c>
      <c r="AC24" s="15">
        <f t="shared" si="5"/>
        <v>-7.6935084345932214</v>
      </c>
      <c r="AD24" s="15">
        <f t="shared" si="5"/>
        <v>-5.3881379561069727</v>
      </c>
      <c r="AE24" s="15">
        <f t="shared" si="5"/>
        <v>321.35823668092956</v>
      </c>
      <c r="AF24" s="15">
        <f t="shared" si="5"/>
        <v>298.63841629716836</v>
      </c>
      <c r="AG24" s="15">
        <f t="shared" si="5"/>
        <v>-3.3321703540830074</v>
      </c>
      <c r="AH24" s="15">
        <f t="shared" si="5"/>
        <v>-16.027586769973752</v>
      </c>
      <c r="AI24" s="15">
        <f t="shared" si="5"/>
        <v>-8.4124065593763611</v>
      </c>
      <c r="AJ24" s="15">
        <f t="shared" si="5"/>
        <v>-34.352629567902049</v>
      </c>
      <c r="AK24" s="15">
        <f t="shared" si="5"/>
        <v>-62.12479325133517</v>
      </c>
      <c r="AL24" s="15">
        <f t="shared" si="5"/>
        <v>-10.822134959613127</v>
      </c>
      <c r="AM24" s="15">
        <f t="shared" si="5"/>
        <v>-15.849162826106982</v>
      </c>
      <c r="AN24" s="15">
        <f t="shared" si="5"/>
        <v>-13.432768507193298</v>
      </c>
      <c r="AO24" s="15">
        <f t="shared" si="5"/>
        <v>-18.128696300014603</v>
      </c>
      <c r="AP24" s="15">
        <f t="shared" si="5"/>
        <v>-58.232762592928005</v>
      </c>
      <c r="AQ24" s="15">
        <f t="shared" si="5"/>
        <v>-13.048668319769675</v>
      </c>
      <c r="AR24" s="15">
        <f t="shared" si="5"/>
        <v>292.60670388049101</v>
      </c>
      <c r="AS24" s="15">
        <f t="shared" si="5"/>
        <v>-15.726846822001939</v>
      </c>
      <c r="AT24" s="15">
        <f t="shared" si="5"/>
        <v>18.417245626476298</v>
      </c>
      <c r="AU24" s="15">
        <f t="shared" si="5"/>
        <v>282.24843436519569</v>
      </c>
      <c r="AV24" s="15">
        <f t="shared" si="5"/>
        <v>-0.44714788328358779</v>
      </c>
      <c r="AW24" s="15">
        <f>SUM(AW25:AW32)</f>
        <v>2.6376949088134349</v>
      </c>
      <c r="AY24" s="47">
        <f t="shared" si="0"/>
        <v>0</v>
      </c>
    </row>
    <row r="25" spans="1:51" s="16" customFormat="1" ht="15" customHeight="1" x14ac:dyDescent="0.3">
      <c r="A25" t="s">
        <v>78</v>
      </c>
      <c r="B25" s="25" t="str">
        <f>IF('Sumário | Summary'!P1=1,"Comerciais ","Commercial")</f>
        <v xml:space="preserve">Comerciais </v>
      </c>
      <c r="C25" s="19">
        <v>-1.5247359019661109</v>
      </c>
      <c r="D25" s="19">
        <v>-2.4076845582166495</v>
      </c>
      <c r="E25" s="19">
        <v>-3.0196797567938258</v>
      </c>
      <c r="F25" s="19">
        <f>G25-SUM(C25:E25)</f>
        <v>-6.7094646475459303</v>
      </c>
      <c r="G25" s="19">
        <v>-13.661564864522516</v>
      </c>
      <c r="H25" s="19">
        <v>-6.65</v>
      </c>
      <c r="I25" s="19">
        <v>-2.492</v>
      </c>
      <c r="J25" s="19">
        <v>-4.4800000000000004</v>
      </c>
      <c r="K25" s="19">
        <v>-4.0579999999999998</v>
      </c>
      <c r="L25" s="19">
        <v>-17.68</v>
      </c>
      <c r="M25" s="19">
        <v>-2.9630000000000001</v>
      </c>
      <c r="N25" s="19">
        <v>-2.4529999999999998</v>
      </c>
      <c r="O25" s="19">
        <v>-2.9769999999999999</v>
      </c>
      <c r="P25" s="19">
        <v>-4.83</v>
      </c>
      <c r="Q25" s="19">
        <v>-13.223000000000001</v>
      </c>
      <c r="R25" s="19">
        <v>-3.2280000000000002</v>
      </c>
      <c r="S25" s="19">
        <v>-1.9810000000000001</v>
      </c>
      <c r="T25" s="19">
        <v>-4.5969168986675006</v>
      </c>
      <c r="U25" s="19">
        <v>-1.2729999999999999</v>
      </c>
      <c r="V25" s="19">
        <v>-11.078916898667501</v>
      </c>
      <c r="W25" s="19">
        <v>-3.004</v>
      </c>
      <c r="X25" s="19">
        <v>-8.4749999999999996</v>
      </c>
      <c r="Y25" s="19">
        <v>-6.1390000000000002</v>
      </c>
      <c r="Z25" s="19">
        <v>-1.115</v>
      </c>
      <c r="AA25" s="19">
        <v>-18.732999999999997</v>
      </c>
      <c r="AB25" s="19">
        <v>-5.700333736316999</v>
      </c>
      <c r="AC25" s="19">
        <v>2.1873111368674998</v>
      </c>
      <c r="AD25" s="19">
        <v>-0.76932741494848511</v>
      </c>
      <c r="AE25" s="19">
        <v>-45.06200045983352</v>
      </c>
      <c r="AF25" s="19">
        <v>-49.344350474231504</v>
      </c>
      <c r="AG25" s="19">
        <v>-0.74327468314749967</v>
      </c>
      <c r="AH25" s="19">
        <v>-3.7192542866382872</v>
      </c>
      <c r="AI25" s="19">
        <v>-1.3913861330931314</v>
      </c>
      <c r="AJ25" s="19">
        <v>-3.8388589700267239</v>
      </c>
      <c r="AK25" s="19">
        <v>-9.6927740729056424</v>
      </c>
      <c r="AL25" s="19">
        <v>-3.289297240994847E-2</v>
      </c>
      <c r="AM25" s="19">
        <v>-1.6273192763139963</v>
      </c>
      <c r="AN25" s="19">
        <v>-2.5688398959654668</v>
      </c>
      <c r="AO25" s="19">
        <v>-1.6331938598407996</v>
      </c>
      <c r="AP25" s="19">
        <v>-5.8622460045302116</v>
      </c>
      <c r="AQ25" s="19">
        <v>-4.3149235097944993</v>
      </c>
      <c r="AR25" s="19">
        <v>-5.4164097460141667</v>
      </c>
      <c r="AS25" s="19">
        <v>-2.3960374443399997</v>
      </c>
      <c r="AT25" s="19">
        <v>-1.1126449591899983</v>
      </c>
      <c r="AU25" s="19">
        <v>-13.240015659338663</v>
      </c>
      <c r="AV25" s="19">
        <v>-1.1474907052959999</v>
      </c>
      <c r="AW25" s="19">
        <v>-2.0750788883949998</v>
      </c>
      <c r="AY25" s="47">
        <f t="shared" si="0"/>
        <v>0</v>
      </c>
    </row>
    <row r="26" spans="1:51" s="16" customFormat="1" ht="15" customHeight="1" x14ac:dyDescent="0.3">
      <c r="A26" t="s">
        <v>79</v>
      </c>
      <c r="B26" s="20" t="str">
        <f>IF('Sumário | Summary'!P1=1,"Gerais e Administrativas","General and Administrative")</f>
        <v>Gerais e Administrativas</v>
      </c>
      <c r="C26" s="19">
        <v>-5.6</v>
      </c>
      <c r="D26" s="19">
        <v>-6.3250000000000002</v>
      </c>
      <c r="E26" s="19">
        <v>-17.844000000000001</v>
      </c>
      <c r="F26" s="19">
        <f>G26-SUM(C26:E26)</f>
        <v>-6.6933136046969572</v>
      </c>
      <c r="G26" s="19">
        <v>-36.462313604696959</v>
      </c>
      <c r="H26" s="19">
        <v>-8.298</v>
      </c>
      <c r="I26" s="19">
        <v>-10.923999999999999</v>
      </c>
      <c r="J26" s="19">
        <v>-10.419</v>
      </c>
      <c r="K26" s="19">
        <v>-8.8710000000000004</v>
      </c>
      <c r="L26" s="19">
        <v>-38.512</v>
      </c>
      <c r="M26" s="19">
        <v>-5.617</v>
      </c>
      <c r="N26" s="19">
        <v>-6.7030000000000003</v>
      </c>
      <c r="O26" s="19">
        <v>-8.2319999999999993</v>
      </c>
      <c r="P26" s="19">
        <v>-8.6630000000000003</v>
      </c>
      <c r="Q26" s="19">
        <v>-29.215</v>
      </c>
      <c r="R26" s="19">
        <v>-0.96399999999999997</v>
      </c>
      <c r="S26" s="19">
        <v>-5.4029999999999996</v>
      </c>
      <c r="T26" s="19">
        <v>-7.896166802444502</v>
      </c>
      <c r="U26" s="19">
        <v>-9.8940000000000001</v>
      </c>
      <c r="V26" s="19">
        <v>-24.1571668024445</v>
      </c>
      <c r="W26" s="19">
        <v>-5.6079999999999997</v>
      </c>
      <c r="X26" s="19">
        <v>-4.2960000000000003</v>
      </c>
      <c r="Y26" s="19">
        <v>-5.117</v>
      </c>
      <c r="Z26" s="19">
        <v>-7.548</v>
      </c>
      <c r="AA26" s="19">
        <v>-22.569000000000003</v>
      </c>
      <c r="AB26" s="19">
        <v>-6.4649939467440012</v>
      </c>
      <c r="AC26" s="19">
        <v>-7.0930693199824999</v>
      </c>
      <c r="AD26" s="19">
        <v>-3.9381532735114977</v>
      </c>
      <c r="AE26" s="19">
        <v>-12.873819682208506</v>
      </c>
      <c r="AF26" s="19">
        <v>-30.370036222446505</v>
      </c>
      <c r="AG26" s="19">
        <v>-6.4120837892831677</v>
      </c>
      <c r="AH26" s="19">
        <v>-5.8049279990127998</v>
      </c>
      <c r="AI26" s="19">
        <v>-9.3571505146761993</v>
      </c>
      <c r="AJ26" s="19">
        <v>-4.9059999999999997</v>
      </c>
      <c r="AK26" s="19">
        <v>-26.480162302972165</v>
      </c>
      <c r="AL26" s="19">
        <v>-7.2392057075854988</v>
      </c>
      <c r="AM26" s="19">
        <v>-7.7504898690107913</v>
      </c>
      <c r="AN26" s="19">
        <v>-7.305537088252799</v>
      </c>
      <c r="AO26" s="19">
        <v>-10.510357505051132</v>
      </c>
      <c r="AP26" s="19">
        <v>-32.805590169900221</v>
      </c>
      <c r="AQ26" s="19">
        <v>-6.7490537696498416</v>
      </c>
      <c r="AR26" s="19">
        <v>-12.869714041153186</v>
      </c>
      <c r="AS26" s="19">
        <v>-6.4802180775995364</v>
      </c>
      <c r="AT26" s="19">
        <v>-17.186881714768596</v>
      </c>
      <c r="AU26" s="19">
        <v>-43.285867603171162</v>
      </c>
      <c r="AV26" s="19">
        <v>-7.220533318696611</v>
      </c>
      <c r="AW26" s="19">
        <v>-5.8685208746391249</v>
      </c>
      <c r="AY26" s="47">
        <f t="shared" si="0"/>
        <v>0</v>
      </c>
    </row>
    <row r="27" spans="1:51" s="16" customFormat="1" ht="15" customHeight="1" x14ac:dyDescent="0.3">
      <c r="A27" s="12" t="s">
        <v>80</v>
      </c>
      <c r="B27" s="26" t="str">
        <f>IF('Sumário | Summary'!P1=1,"Plano de Opções","Options Plan")</f>
        <v>Plano de Opções</v>
      </c>
      <c r="C27" s="19" t="s">
        <v>73</v>
      </c>
      <c r="D27" s="19" t="s">
        <v>73</v>
      </c>
      <c r="E27" s="19" t="s">
        <v>73</v>
      </c>
      <c r="F27" s="19" t="s">
        <v>73</v>
      </c>
      <c r="G27" s="19" t="s">
        <v>73</v>
      </c>
      <c r="H27" s="19" t="s">
        <v>73</v>
      </c>
      <c r="I27" s="19" t="s">
        <v>73</v>
      </c>
      <c r="J27" s="19" t="s">
        <v>73</v>
      </c>
      <c r="K27" s="19" t="s">
        <v>73</v>
      </c>
      <c r="L27" s="19" t="s">
        <v>73</v>
      </c>
      <c r="M27" s="19" t="s">
        <v>73</v>
      </c>
      <c r="N27" s="19" t="s">
        <v>73</v>
      </c>
      <c r="O27" s="19" t="s">
        <v>73</v>
      </c>
      <c r="P27" s="19">
        <v>0</v>
      </c>
      <c r="Q27" s="19">
        <v>0</v>
      </c>
      <c r="R27" s="19">
        <v>0</v>
      </c>
      <c r="S27" s="19">
        <v>0</v>
      </c>
      <c r="T27" s="19">
        <v>0</v>
      </c>
      <c r="U27" s="19">
        <v>0</v>
      </c>
      <c r="V27" s="19">
        <v>0</v>
      </c>
      <c r="W27" s="19">
        <v>0</v>
      </c>
      <c r="X27" s="19">
        <v>0</v>
      </c>
      <c r="Y27" s="19">
        <v>0</v>
      </c>
      <c r="Z27" s="19">
        <v>0</v>
      </c>
      <c r="AA27" s="19">
        <v>0</v>
      </c>
      <c r="AB27" s="19">
        <v>0</v>
      </c>
      <c r="AC27" s="19">
        <v>0</v>
      </c>
      <c r="AD27" s="19">
        <v>0</v>
      </c>
      <c r="AE27" s="19">
        <v>0</v>
      </c>
      <c r="AF27" s="19">
        <v>0</v>
      </c>
      <c r="AG27" s="19">
        <v>0</v>
      </c>
      <c r="AH27" s="19">
        <v>0</v>
      </c>
      <c r="AI27" s="19">
        <v>0</v>
      </c>
      <c r="AJ27" s="19">
        <v>0</v>
      </c>
      <c r="AK27" s="19">
        <v>0</v>
      </c>
      <c r="AL27" s="19">
        <v>0</v>
      </c>
      <c r="AM27" s="19">
        <v>0</v>
      </c>
      <c r="AN27" s="19">
        <v>0</v>
      </c>
      <c r="AO27" s="19">
        <v>0</v>
      </c>
      <c r="AP27" s="19">
        <v>0</v>
      </c>
      <c r="AQ27" s="19">
        <v>0</v>
      </c>
      <c r="AR27" s="19">
        <v>0</v>
      </c>
      <c r="AS27" s="19">
        <v>0</v>
      </c>
      <c r="AT27" s="19">
        <v>0</v>
      </c>
      <c r="AU27" s="19">
        <v>0</v>
      </c>
      <c r="AV27" s="19">
        <v>0</v>
      </c>
      <c r="AW27" s="19">
        <v>0</v>
      </c>
      <c r="AY27" s="47" t="e">
        <f t="shared" si="0"/>
        <v>#VALUE!</v>
      </c>
    </row>
    <row r="28" spans="1:51" s="16" customFormat="1" ht="15" customHeight="1" x14ac:dyDescent="0.3">
      <c r="A28" t="s">
        <v>81</v>
      </c>
      <c r="B28" s="26" t="str">
        <f>IF('Sumário | Summary'!P1=1,"Remuneração da administração","Management Compensation")</f>
        <v>Remuneração da administração</v>
      </c>
      <c r="C28" s="19">
        <v>-1.7669999999999999</v>
      </c>
      <c r="D28" s="19">
        <v>-1.8029999999999999</v>
      </c>
      <c r="E28" s="19">
        <v>-1.617</v>
      </c>
      <c r="F28" s="19">
        <f>G28-SUM(C28:E28)</f>
        <v>-3.1534732400000003</v>
      </c>
      <c r="G28" s="19">
        <v>-8.3404732399999997</v>
      </c>
      <c r="H28" s="19">
        <v>-1.5509999999999999</v>
      </c>
      <c r="I28" s="19">
        <v>-1.8979999999999999</v>
      </c>
      <c r="J28" s="19">
        <v>-1.893</v>
      </c>
      <c r="K28" s="19">
        <v>-1.3660000000000001</v>
      </c>
      <c r="L28" s="19">
        <v>-6.7080000000000002</v>
      </c>
      <c r="M28" s="19">
        <v>-1.3169999999999999</v>
      </c>
      <c r="N28" s="19">
        <v>-1.323</v>
      </c>
      <c r="O28" s="19">
        <v>-1.331</v>
      </c>
      <c r="P28" s="19">
        <v>-1.339</v>
      </c>
      <c r="Q28" s="19">
        <v>-5.31</v>
      </c>
      <c r="R28" s="19">
        <v>-1.3959999999999999</v>
      </c>
      <c r="S28" s="19">
        <v>-1.883</v>
      </c>
      <c r="T28" s="19">
        <v>-1.1648207436840001</v>
      </c>
      <c r="U28" s="19">
        <v>-1.222</v>
      </c>
      <c r="V28" s="19">
        <v>-5.6658207436839998</v>
      </c>
      <c r="W28" s="19">
        <v>-2.319</v>
      </c>
      <c r="X28" s="19">
        <v>-1.18</v>
      </c>
      <c r="Y28" s="19">
        <v>-1.179</v>
      </c>
      <c r="Z28" s="19">
        <v>-1.179</v>
      </c>
      <c r="AA28" s="19">
        <v>-5.8570000000000002</v>
      </c>
      <c r="AB28" s="19">
        <v>-3.3119999999999998</v>
      </c>
      <c r="AC28" s="19">
        <v>-1.034</v>
      </c>
      <c r="AD28" s="19">
        <v>-1.002</v>
      </c>
      <c r="AE28" s="19">
        <v>-1.0109999999999999</v>
      </c>
      <c r="AF28" s="19">
        <v>-6.359</v>
      </c>
      <c r="AG28" s="19">
        <v>-1.8455999999999999</v>
      </c>
      <c r="AH28" s="19">
        <v>-2.3469711500000003</v>
      </c>
      <c r="AI28" s="19">
        <v>-1.2275999999999994</v>
      </c>
      <c r="AJ28" s="19">
        <v>-1.0835999999999995</v>
      </c>
      <c r="AK28" s="19">
        <v>-6.5037711499999995</v>
      </c>
      <c r="AL28" s="19">
        <v>-2</v>
      </c>
      <c r="AM28" s="19">
        <v>-1.0595999999999994</v>
      </c>
      <c r="AN28" s="19">
        <v>-1.0813118900000001</v>
      </c>
      <c r="AO28" s="19">
        <v>-1.1126057099999989</v>
      </c>
      <c r="AP28" s="19">
        <v>-5.2535175999999986</v>
      </c>
      <c r="AQ28" s="19">
        <v>-2.4001218799999999</v>
      </c>
      <c r="AR28" s="19">
        <v>-1.2800057099999995</v>
      </c>
      <c r="AS28" s="19">
        <v>-2.5400057099999991</v>
      </c>
      <c r="AT28" s="19">
        <v>-1.0395610399999995</v>
      </c>
      <c r="AU28" s="19">
        <v>-7.2596943399999985</v>
      </c>
      <c r="AV28" s="19">
        <v>-1.32800571</v>
      </c>
      <c r="AW28" s="19">
        <v>-3.0768852</v>
      </c>
      <c r="AY28" s="47">
        <f t="shared" si="0"/>
        <v>0</v>
      </c>
    </row>
    <row r="29" spans="1:51" s="16" customFormat="1" ht="15" customHeight="1" x14ac:dyDescent="0.3">
      <c r="A29" t="s">
        <v>82</v>
      </c>
      <c r="B29" s="17" t="str">
        <f>IF('Sumário | Summary'!P1=1,"Participação de empregados e administradores","Profit Sharing")</f>
        <v>Participação de empregados e administradores</v>
      </c>
      <c r="C29" s="19">
        <v>1.43</v>
      </c>
      <c r="D29" s="19">
        <v>-2.27</v>
      </c>
      <c r="E29" s="19">
        <v>-2.27</v>
      </c>
      <c r="F29" s="19">
        <f>G29-SUM(C29:E29)</f>
        <v>0.83750666000000029</v>
      </c>
      <c r="G29" s="19">
        <v>-2.27249334</v>
      </c>
      <c r="H29" s="19">
        <v>-1.831</v>
      </c>
      <c r="I29" s="19">
        <v>-0.92900000000000005</v>
      </c>
      <c r="J29" s="19">
        <v>-1.3460000000000001</v>
      </c>
      <c r="K29" s="19">
        <v>-2.1179999999999999</v>
      </c>
      <c r="L29" s="19">
        <v>-6.2240000000000002</v>
      </c>
      <c r="M29" s="19">
        <v>-0.90700000000000003</v>
      </c>
      <c r="N29" s="19">
        <v>-2.0449999999999999</v>
      </c>
      <c r="O29" s="19">
        <v>-4.1719999999999997</v>
      </c>
      <c r="P29" s="19">
        <v>-1.7470000000000001</v>
      </c>
      <c r="Q29" s="19">
        <v>-8.8710000000000004</v>
      </c>
      <c r="R29" s="19">
        <v>-1.5620000000000001</v>
      </c>
      <c r="S29" s="19">
        <v>-1.7470000000000001</v>
      </c>
      <c r="T29" s="19">
        <v>-1.5477710099999999</v>
      </c>
      <c r="U29" s="19">
        <v>-7.3570000000000002</v>
      </c>
      <c r="V29" s="19">
        <v>-12.21377101</v>
      </c>
      <c r="W29" s="19">
        <v>1.1830000000000001</v>
      </c>
      <c r="X29" s="19">
        <v>-1.968</v>
      </c>
      <c r="Y29" s="19">
        <v>-2.8639999999999999</v>
      </c>
      <c r="Z29" s="19">
        <v>-2.278</v>
      </c>
      <c r="AA29" s="19">
        <v>-5.9269999999999996</v>
      </c>
      <c r="AB29" s="19">
        <v>5.7960000000000003</v>
      </c>
      <c r="AC29" s="19">
        <v>-1.5820000000000001</v>
      </c>
      <c r="AD29" s="19">
        <v>-1.581</v>
      </c>
      <c r="AE29" s="19">
        <v>-8.2840000000000007</v>
      </c>
      <c r="AF29" s="19">
        <v>-5.6509999999999998</v>
      </c>
      <c r="AG29" s="19">
        <v>3.9534925600000017</v>
      </c>
      <c r="AH29" s="19">
        <v>-1.9423237900000003</v>
      </c>
      <c r="AI29" s="19">
        <v>-1.9055391600000002</v>
      </c>
      <c r="AJ29" s="19">
        <v>-2.34466697</v>
      </c>
      <c r="AK29" s="19">
        <v>-2.2390373599999993</v>
      </c>
      <c r="AL29" s="19">
        <v>-2.0994662600000011</v>
      </c>
      <c r="AM29" s="19">
        <v>-2.1906572900000012</v>
      </c>
      <c r="AN29" s="19">
        <v>-2.0333110800000012</v>
      </c>
      <c r="AO29" s="19">
        <v>-3.3533110800000014</v>
      </c>
      <c r="AP29" s="19">
        <v>-9.6767457100000041</v>
      </c>
      <c r="AQ29" s="19">
        <v>-0.91292494000000002</v>
      </c>
      <c r="AR29" s="19">
        <v>-9.6748360900000012</v>
      </c>
      <c r="AS29" s="19">
        <v>-0.87483609000000073</v>
      </c>
      <c r="AT29" s="19">
        <v>-3.3148360900000009</v>
      </c>
      <c r="AU29" s="19">
        <v>-14.777433210000002</v>
      </c>
      <c r="AV29" s="19">
        <v>-2.1088607399999999</v>
      </c>
      <c r="AW29" s="19">
        <v>-0.46358396000000174</v>
      </c>
      <c r="AY29" s="47">
        <f t="shared" si="0"/>
        <v>0</v>
      </c>
    </row>
    <row r="30" spans="1:51" s="16" customFormat="1" ht="15" customHeight="1" x14ac:dyDescent="0.3">
      <c r="A30" t="s">
        <v>83</v>
      </c>
      <c r="B30" s="17" t="str">
        <f>IF('Sumário | Summary'!P1=1,"Equivalência patrimonial","Equity")</f>
        <v>Equivalência patrimonial</v>
      </c>
      <c r="C30" s="19">
        <v>0</v>
      </c>
      <c r="D30" s="19">
        <v>0</v>
      </c>
      <c r="E30" s="19">
        <v>-0.29299999999999998</v>
      </c>
      <c r="F30" s="19">
        <f>G30-SUM(C30:E30)</f>
        <v>0.23721299155566095</v>
      </c>
      <c r="G30" s="19">
        <v>-5.5787008444339037E-2</v>
      </c>
      <c r="H30" s="19">
        <v>2.3159999999999998</v>
      </c>
      <c r="I30" s="19">
        <v>-1.4570000000000001</v>
      </c>
      <c r="J30" s="19">
        <v>-0.501</v>
      </c>
      <c r="K30" s="19">
        <v>0.33700000000000002</v>
      </c>
      <c r="L30" s="19">
        <v>0.69499999999999995</v>
      </c>
      <c r="M30" s="19">
        <v>-0.31900000000000001</v>
      </c>
      <c r="N30" s="19">
        <v>0.503</v>
      </c>
      <c r="O30" s="19">
        <v>3.9E-2</v>
      </c>
      <c r="P30" s="19">
        <v>0.74399999999999999</v>
      </c>
      <c r="Q30" s="19">
        <v>0.96699999999999997</v>
      </c>
      <c r="R30" s="19">
        <v>0.30526678364199772</v>
      </c>
      <c r="S30" s="19">
        <v>0.29699999999999999</v>
      </c>
      <c r="T30" s="19">
        <v>0.19028876999998837</v>
      </c>
      <c r="U30" s="19">
        <v>0.29699999999999999</v>
      </c>
      <c r="V30" s="19">
        <v>1.0895555536419861</v>
      </c>
      <c r="W30" s="19">
        <v>0.26400000000000001</v>
      </c>
      <c r="X30" s="19">
        <v>0.154</v>
      </c>
      <c r="Y30" s="19">
        <v>-0.52900000000000003</v>
      </c>
      <c r="Z30" s="19">
        <v>1.1359999999999999</v>
      </c>
      <c r="AA30" s="19">
        <v>1.0249999999999999</v>
      </c>
      <c r="AB30" s="19">
        <v>-9.8000000000000004E-2</v>
      </c>
      <c r="AC30" s="19">
        <v>2.5999999999999999E-2</v>
      </c>
      <c r="AD30" s="19">
        <v>0.79</v>
      </c>
      <c r="AE30" s="19">
        <v>0.18123650862855323</v>
      </c>
      <c r="AF30" s="19">
        <v>0.8992365086285532</v>
      </c>
      <c r="AG30" s="19">
        <v>5.6785118725988994E-2</v>
      </c>
      <c r="AH30" s="19">
        <v>2.996851843994483E-2</v>
      </c>
      <c r="AI30" s="19">
        <v>0.16330127224488933</v>
      </c>
      <c r="AJ30" s="19">
        <v>-1.8275036278753245</v>
      </c>
      <c r="AK30" s="19">
        <v>-1.5774487184645014</v>
      </c>
      <c r="AL30" s="19">
        <v>2.009821413232386E-2</v>
      </c>
      <c r="AM30" s="19">
        <v>-0.53728662574221198</v>
      </c>
      <c r="AN30" s="19">
        <v>-0.2919620161310138</v>
      </c>
      <c r="AO30" s="19">
        <v>-0.97250746846011293</v>
      </c>
      <c r="AP30" s="19">
        <v>-1.7816578962010148</v>
      </c>
      <c r="AQ30" s="19">
        <v>-9.3826401213333008E-2</v>
      </c>
      <c r="AR30" s="19">
        <v>-0.82112372199310368</v>
      </c>
      <c r="AS30" s="19">
        <v>-1.5302067312895951</v>
      </c>
      <c r="AT30" s="19">
        <v>1.3794013437722024</v>
      </c>
      <c r="AU30" s="19">
        <v>-1.0657555107238292</v>
      </c>
      <c r="AV30" s="19">
        <v>-0.47152647760564087</v>
      </c>
      <c r="AW30" s="19">
        <v>-3.5468461324670755</v>
      </c>
      <c r="AY30" s="47">
        <f t="shared" si="0"/>
        <v>0</v>
      </c>
    </row>
    <row r="31" spans="1:51" s="16" customFormat="1" ht="15" customHeight="1" x14ac:dyDescent="0.3">
      <c r="A31" t="s">
        <v>84</v>
      </c>
      <c r="B31" s="17" t="str">
        <f>IF('Sumário | Summary'!P1=1,"Amortização de Ágios e outros resultados em investimentos","Amortization of goodwill and other income from investments ")</f>
        <v>Amortização de Ágios e outros resultados em investimentos</v>
      </c>
      <c r="C31" s="19">
        <v>0</v>
      </c>
      <c r="D31" s="19">
        <v>0</v>
      </c>
      <c r="E31" s="19">
        <v>0</v>
      </c>
      <c r="F31" s="19">
        <v>0</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19">
        <v>0</v>
      </c>
      <c r="X31" s="19">
        <v>0</v>
      </c>
      <c r="Y31" s="19">
        <v>0</v>
      </c>
      <c r="Z31" s="19">
        <v>0</v>
      </c>
      <c r="AA31" s="19">
        <v>0</v>
      </c>
      <c r="AB31" s="19">
        <v>0</v>
      </c>
      <c r="AC31" s="19">
        <v>0</v>
      </c>
      <c r="AD31" s="19">
        <v>0</v>
      </c>
      <c r="AE31" s="19">
        <v>0</v>
      </c>
      <c r="AF31" s="19">
        <v>0</v>
      </c>
      <c r="AG31" s="19">
        <v>0</v>
      </c>
      <c r="AH31" s="19">
        <v>0</v>
      </c>
      <c r="AI31" s="19">
        <v>0</v>
      </c>
      <c r="AJ31" s="19">
        <v>0</v>
      </c>
      <c r="AK31" s="19">
        <v>0</v>
      </c>
      <c r="AL31" s="19">
        <v>0</v>
      </c>
      <c r="AM31" s="19">
        <v>0</v>
      </c>
      <c r="AN31" s="19">
        <v>0</v>
      </c>
      <c r="AO31" s="19">
        <v>0</v>
      </c>
      <c r="AP31" s="19">
        <v>0</v>
      </c>
      <c r="AQ31" s="19">
        <v>0</v>
      </c>
      <c r="AR31" s="19">
        <v>0</v>
      </c>
      <c r="AS31" s="19">
        <v>0</v>
      </c>
      <c r="AT31" s="19">
        <v>0</v>
      </c>
      <c r="AU31" s="19">
        <v>0</v>
      </c>
      <c r="AV31" s="19">
        <v>0</v>
      </c>
      <c r="AW31" s="19">
        <v>0</v>
      </c>
      <c r="AY31" s="47">
        <f t="shared" si="0"/>
        <v>0</v>
      </c>
    </row>
    <row r="32" spans="1:51" s="16" customFormat="1" ht="15" customHeight="1" x14ac:dyDescent="0.3">
      <c r="A32" t="s">
        <v>85</v>
      </c>
      <c r="B32" s="17" t="str">
        <f>IF('Sumário | Summary'!P1=1,"Outras receitas (despesas) operacionais líquidas","
Other net operating revenues (expenses)")</f>
        <v>Outras receitas (despesas) operacionais líquidas</v>
      </c>
      <c r="C32" s="19">
        <v>32.124000000000002</v>
      </c>
      <c r="D32" s="19">
        <v>4.4390000000000001</v>
      </c>
      <c r="E32" s="19">
        <v>2.9249999999999998</v>
      </c>
      <c r="F32" s="19">
        <f>G32-SUM(C32:E32)</f>
        <v>3.6716038419980208</v>
      </c>
      <c r="G32" s="19">
        <v>43.15960384199802</v>
      </c>
      <c r="H32" s="19">
        <v>-0.23899999999999999</v>
      </c>
      <c r="I32" s="19">
        <v>1.1559999999999999</v>
      </c>
      <c r="J32" s="19">
        <v>275.20800000000003</v>
      </c>
      <c r="K32" s="19">
        <v>-2.3479999999999999</v>
      </c>
      <c r="L32" s="19">
        <v>273.77699999999999</v>
      </c>
      <c r="M32" s="19">
        <v>10.417</v>
      </c>
      <c r="N32" s="19">
        <v>12.048999999999999</v>
      </c>
      <c r="O32" s="19">
        <v>-19.751999999999999</v>
      </c>
      <c r="P32" s="19">
        <v>-12.852</v>
      </c>
      <c r="Q32" s="19">
        <v>-10.138</v>
      </c>
      <c r="R32" s="19">
        <v>-0.5844211306749999</v>
      </c>
      <c r="S32" s="19">
        <v>-20.042000000000002</v>
      </c>
      <c r="T32" s="19">
        <v>9.2730843561660006</v>
      </c>
      <c r="U32" s="19">
        <v>31.396000000000001</v>
      </c>
      <c r="V32" s="19">
        <v>20.042663225490998</v>
      </c>
      <c r="W32" s="19">
        <v>-0.45600000000000002</v>
      </c>
      <c r="X32" s="19">
        <v>-3.319</v>
      </c>
      <c r="Y32" s="19">
        <v>1.083</v>
      </c>
      <c r="Z32" s="19">
        <v>-2.4079999999999999</v>
      </c>
      <c r="AA32" s="19">
        <v>-5.0999999999999996</v>
      </c>
      <c r="AB32" s="19">
        <v>0.14115368999999994</v>
      </c>
      <c r="AC32" s="19">
        <v>-0.19775025147822123</v>
      </c>
      <c r="AD32" s="19">
        <v>1.1123427323530102</v>
      </c>
      <c r="AE32" s="19">
        <v>388.40782031434304</v>
      </c>
      <c r="AF32" s="19">
        <v>389.46356648521783</v>
      </c>
      <c r="AG32" s="19">
        <v>1.6585104396216699</v>
      </c>
      <c r="AH32" s="19">
        <v>-2.2440780627626102</v>
      </c>
      <c r="AI32" s="19">
        <v>5.3059679761480805</v>
      </c>
      <c r="AJ32" s="19">
        <v>-20.352</v>
      </c>
      <c r="AK32" s="19">
        <v>-15.631599646992861</v>
      </c>
      <c r="AL32" s="19">
        <v>0.52933176624999911</v>
      </c>
      <c r="AM32" s="19">
        <v>-2.6838097650399817</v>
      </c>
      <c r="AN32" s="19">
        <v>-0.15180653684401751</v>
      </c>
      <c r="AO32" s="19">
        <v>-0.54672067666256041</v>
      </c>
      <c r="AP32" s="19">
        <v>-2.8530052122965603</v>
      </c>
      <c r="AQ32" s="19">
        <v>1.4221821808879982</v>
      </c>
      <c r="AR32" s="19">
        <v>322.66879318965147</v>
      </c>
      <c r="AS32" s="19">
        <v>-1.9055427687728079</v>
      </c>
      <c r="AT32" s="19">
        <v>39.691768086662691</v>
      </c>
      <c r="AU32" s="19">
        <v>361.87720068842935</v>
      </c>
      <c r="AV32" s="19">
        <v>11.829269068314664</v>
      </c>
      <c r="AW32" s="19">
        <v>17.668609964314637</v>
      </c>
      <c r="AY32" s="47">
        <f t="shared" si="0"/>
        <v>0</v>
      </c>
    </row>
    <row r="33" spans="1:51" s="16" customFormat="1" ht="15" customHeight="1" x14ac:dyDescent="0.3">
      <c r="A33" s="12" t="s">
        <v>86</v>
      </c>
      <c r="B33" s="24" t="str">
        <f>IF('Sumário | Summary'!P1=1,"Lucro antes do Resultado Financeiro","Profit Before Financial Results")</f>
        <v>Lucro antes do Resultado Financeiro</v>
      </c>
      <c r="C33" s="15">
        <f t="shared" ref="C33:AV33" si="6">C22+C24</f>
        <v>93.190315371528499</v>
      </c>
      <c r="D33" s="15">
        <f t="shared" si="6"/>
        <v>54.524391467572883</v>
      </c>
      <c r="E33" s="15">
        <f t="shared" si="6"/>
        <v>57.234139451308607</v>
      </c>
      <c r="F33" s="15">
        <f t="shared" si="6"/>
        <v>69.626776339248153</v>
      </c>
      <c r="G33" s="15">
        <f t="shared" si="6"/>
        <v>274.37265035965817</v>
      </c>
      <c r="H33" s="15">
        <f t="shared" si="6"/>
        <v>39.882882591866192</v>
      </c>
      <c r="I33" s="15">
        <f t="shared" si="6"/>
        <v>46.990811077076032</v>
      </c>
      <c r="J33" s="15">
        <f t="shared" si="6"/>
        <v>298.7524212466015</v>
      </c>
      <c r="K33" s="15">
        <f t="shared" si="6"/>
        <v>23.933725935513941</v>
      </c>
      <c r="L33" s="15">
        <f t="shared" si="6"/>
        <v>410.3254743365747</v>
      </c>
      <c r="M33" s="15">
        <f t="shared" si="6"/>
        <v>46.502327739206002</v>
      </c>
      <c r="N33" s="15">
        <f t="shared" si="6"/>
        <v>66.851433035378903</v>
      </c>
      <c r="O33" s="15">
        <f t="shared" si="6"/>
        <v>5.7932828149791504</v>
      </c>
      <c r="P33" s="15">
        <f t="shared" si="6"/>
        <v>21.920677750890309</v>
      </c>
      <c r="Q33" s="15">
        <f t="shared" si="6"/>
        <v>141.08194592045436</v>
      </c>
      <c r="R33" s="15">
        <f t="shared" si="6"/>
        <v>43.381855035885749</v>
      </c>
      <c r="S33" s="15">
        <f t="shared" si="6"/>
        <v>21.986102683303677</v>
      </c>
      <c r="T33" s="15">
        <f t="shared" si="6"/>
        <v>48.290708098905867</v>
      </c>
      <c r="U33" s="15">
        <f t="shared" si="6"/>
        <v>72.733751805735892</v>
      </c>
      <c r="V33" s="15">
        <f t="shared" si="6"/>
        <v>186.39241762383114</v>
      </c>
      <c r="W33" s="15">
        <f t="shared" si="6"/>
        <v>46.37109805411805</v>
      </c>
      <c r="X33" s="15">
        <f t="shared" si="6"/>
        <v>16.08291905181223</v>
      </c>
      <c r="Y33" s="15">
        <f t="shared" si="6"/>
        <v>48.654188584556429</v>
      </c>
      <c r="Z33" s="15">
        <f t="shared" si="6"/>
        <v>32.960005560906971</v>
      </c>
      <c r="AA33" s="15">
        <f t="shared" si="6"/>
        <v>144.06821125139373</v>
      </c>
      <c r="AB33" s="15">
        <f t="shared" si="6"/>
        <v>33.541307666702963</v>
      </c>
      <c r="AC33" s="15">
        <f t="shared" si="6"/>
        <v>35.798249054935994</v>
      </c>
      <c r="AD33" s="15">
        <f t="shared" si="6"/>
        <v>45.384302795402803</v>
      </c>
      <c r="AE33" s="15">
        <f t="shared" si="6"/>
        <v>1348.2728798421961</v>
      </c>
      <c r="AF33" s="15">
        <f t="shared" si="6"/>
        <v>1462.9967393592378</v>
      </c>
      <c r="AG33" s="15">
        <f t="shared" si="6"/>
        <v>29.83544161044885</v>
      </c>
      <c r="AH33" s="15">
        <f t="shared" si="6"/>
        <v>14.351192666031153</v>
      </c>
      <c r="AI33" s="15">
        <f t="shared" si="6"/>
        <v>29.236297159879857</v>
      </c>
      <c r="AJ33" s="15">
        <f t="shared" si="6"/>
        <v>-0.29247687624203422</v>
      </c>
      <c r="AK33" s="15">
        <f t="shared" si="6"/>
        <v>73.130454560117784</v>
      </c>
      <c r="AL33" s="15">
        <f t="shared" si="6"/>
        <v>22.905447154621061</v>
      </c>
      <c r="AM33" s="15">
        <f t="shared" si="6"/>
        <v>24.389243730548365</v>
      </c>
      <c r="AN33" s="15">
        <f t="shared" si="6"/>
        <v>30.123056354243356</v>
      </c>
      <c r="AO33" s="15">
        <f t="shared" si="6"/>
        <v>32.467291841363782</v>
      </c>
      <c r="AP33" s="15">
        <f t="shared" si="6"/>
        <v>109.88503908077655</v>
      </c>
      <c r="AQ33" s="15">
        <f t="shared" si="6"/>
        <v>35.256030195861953</v>
      </c>
      <c r="AR33" s="15">
        <f t="shared" si="6"/>
        <v>580.00731332083376</v>
      </c>
      <c r="AS33" s="15">
        <f t="shared" si="6"/>
        <v>2.9442284562134518</v>
      </c>
      <c r="AT33" s="15">
        <f t="shared" si="6"/>
        <v>58.318847201572368</v>
      </c>
      <c r="AU33" s="15">
        <f t="shared" si="6"/>
        <v>676.52641917448136</v>
      </c>
      <c r="AV33" s="15">
        <f t="shared" si="6"/>
        <v>28.270684894004656</v>
      </c>
      <c r="AW33" s="15">
        <f>AW22+AW24</f>
        <v>28.929731188394349</v>
      </c>
      <c r="AY33" s="47">
        <f t="shared" si="0"/>
        <v>-0.2029722699999752</v>
      </c>
    </row>
    <row r="34" spans="1:51" s="16" customFormat="1" ht="15" customHeight="1" x14ac:dyDescent="0.3">
      <c r="A34" t="s">
        <v>87</v>
      </c>
      <c r="B34" s="17" t="str">
        <f>IF('Sumário | Summary'!P1=1,"Despesas financeiras","Financial Expenses")</f>
        <v>Despesas financeiras</v>
      </c>
      <c r="C34" s="19">
        <v>-91.603999999999999</v>
      </c>
      <c r="D34" s="19">
        <v>-65.691999999999993</v>
      </c>
      <c r="E34" s="19">
        <v>-71.986999999999995</v>
      </c>
      <c r="F34" s="19">
        <v>-70.42</v>
      </c>
      <c r="G34" s="19">
        <v>-299.70299999999997</v>
      </c>
      <c r="H34" s="19">
        <v>-65.165999999999997</v>
      </c>
      <c r="I34" s="19">
        <v>-64.251000000000005</v>
      </c>
      <c r="J34" s="19">
        <v>-73.944000000000003</v>
      </c>
      <c r="K34" s="19">
        <v>-39.345999999999997</v>
      </c>
      <c r="L34" s="19">
        <v>-242.70699999999999</v>
      </c>
      <c r="M34" s="19">
        <v>-38.274000000000001</v>
      </c>
      <c r="N34" s="19">
        <v>-44.040999999999997</v>
      </c>
      <c r="O34" s="19">
        <v>-26.975000000000001</v>
      </c>
      <c r="P34" s="19">
        <v>-36.726999999999997</v>
      </c>
      <c r="Q34" s="19">
        <v>-146.017</v>
      </c>
      <c r="R34" s="19">
        <v>-34.468667505993551</v>
      </c>
      <c r="S34" s="19">
        <v>-36.994999999999997</v>
      </c>
      <c r="T34" s="19">
        <v>-36.259553186967914</v>
      </c>
      <c r="U34" s="19">
        <v>-35.886000000000003</v>
      </c>
      <c r="V34" s="19">
        <v>-143.60922069296146</v>
      </c>
      <c r="W34" s="19">
        <v>-28.257000000000001</v>
      </c>
      <c r="X34" s="19">
        <v>-16.97</v>
      </c>
      <c r="Y34" s="19">
        <v>-20.422999999999998</v>
      </c>
      <c r="Z34" s="19">
        <v>-24.968</v>
      </c>
      <c r="AA34" s="19">
        <v>-90.618000000000009</v>
      </c>
      <c r="AB34" s="19">
        <v>-23.428999999999998</v>
      </c>
      <c r="AC34" s="19">
        <v>-29.280999999999999</v>
      </c>
      <c r="AD34" s="19">
        <v>-37.64</v>
      </c>
      <c r="AE34" s="19">
        <v>-48.988652842270426</v>
      </c>
      <c r="AF34" s="19">
        <v>-139.33865284227042</v>
      </c>
      <c r="AG34" s="19">
        <v>-50.593527983567462</v>
      </c>
      <c r="AH34" s="19">
        <v>-51.484774535347405</v>
      </c>
      <c r="AI34" s="19">
        <v>-37.122601641386424</v>
      </c>
      <c r="AJ34" s="19">
        <v>-36.766009231092056</v>
      </c>
      <c r="AK34" s="19">
        <v>-175.96691339139335</v>
      </c>
      <c r="AL34" s="19">
        <v>-41.203511667332954</v>
      </c>
      <c r="AM34" s="19">
        <v>-39.120648844036602</v>
      </c>
      <c r="AN34" s="19">
        <v>-34.340069407438641</v>
      </c>
      <c r="AO34" s="19">
        <v>-33.220223423031548</v>
      </c>
      <c r="AP34" s="19">
        <v>-147.88445334183973</v>
      </c>
      <c r="AQ34" s="19">
        <v>-36.179262103229433</v>
      </c>
      <c r="AR34" s="19">
        <v>-34.452704506700343</v>
      </c>
      <c r="AS34" s="19">
        <v>-25.30961838532194</v>
      </c>
      <c r="AT34" s="19">
        <v>-28.17564474883223</v>
      </c>
      <c r="AU34" s="19">
        <v>-124.11722974408394</v>
      </c>
      <c r="AV34" s="19">
        <v>-34.50960398624337</v>
      </c>
      <c r="AW34" s="19">
        <v>-28.621685170770782</v>
      </c>
      <c r="AY34" s="47">
        <f t="shared" si="0"/>
        <v>0</v>
      </c>
    </row>
    <row r="35" spans="1:51" s="16" customFormat="1" ht="15" customHeight="1" x14ac:dyDescent="0.3">
      <c r="A35" t="s">
        <v>88</v>
      </c>
      <c r="B35" s="17" t="str">
        <f>IF('Sumário | Summary'!P1=1,"Receitas financeiras","Financial Revenues")</f>
        <v>Receitas financeiras</v>
      </c>
      <c r="C35" s="19">
        <v>16.885999999999999</v>
      </c>
      <c r="D35" s="19">
        <v>14.74</v>
      </c>
      <c r="E35" s="19">
        <v>14.255000000000001</v>
      </c>
      <c r="F35" s="19">
        <v>18.132000000000001</v>
      </c>
      <c r="G35" s="19">
        <v>64.013000000000005</v>
      </c>
      <c r="H35" s="19">
        <v>14.135999999999999</v>
      </c>
      <c r="I35" s="19">
        <v>7.8789999999999996</v>
      </c>
      <c r="J35" s="19">
        <v>10.311999999999999</v>
      </c>
      <c r="K35" s="19">
        <v>8.8219999999999992</v>
      </c>
      <c r="L35" s="19">
        <v>41.149000000000001</v>
      </c>
      <c r="M35" s="19">
        <v>6.9130000000000003</v>
      </c>
      <c r="N35" s="19">
        <v>8.5120000000000005</v>
      </c>
      <c r="O35" s="19">
        <v>9.0150000000000006</v>
      </c>
      <c r="P35" s="19">
        <v>8.1869999999999994</v>
      </c>
      <c r="Q35" s="19">
        <v>32.627000000000002</v>
      </c>
      <c r="R35" s="19">
        <v>5.0015921854664995</v>
      </c>
      <c r="S35" s="19">
        <v>6.9059999999999997</v>
      </c>
      <c r="T35" s="19">
        <v>5.5310510005804989</v>
      </c>
      <c r="U35" s="19">
        <v>9.6620000000000008</v>
      </c>
      <c r="V35" s="19">
        <v>27.100643186046995</v>
      </c>
      <c r="W35" s="19">
        <v>5.4249999999999998</v>
      </c>
      <c r="X35" s="19">
        <v>6.75</v>
      </c>
      <c r="Y35" s="19">
        <v>4.0789999999999997</v>
      </c>
      <c r="Z35" s="19">
        <v>4.7460000000000004</v>
      </c>
      <c r="AA35" s="19">
        <v>21</v>
      </c>
      <c r="AB35" s="19">
        <v>2.68</v>
      </c>
      <c r="AC35" s="19">
        <v>6.3970000000000002</v>
      </c>
      <c r="AD35" s="19">
        <v>8.0960000000000001</v>
      </c>
      <c r="AE35" s="19">
        <v>12.035965664525985</v>
      </c>
      <c r="AF35" s="19">
        <v>29.208965664525987</v>
      </c>
      <c r="AG35" s="19">
        <v>15.594044398662495</v>
      </c>
      <c r="AH35" s="19">
        <v>13.587636536524998</v>
      </c>
      <c r="AI35" s="19">
        <v>20.255905045539524</v>
      </c>
      <c r="AJ35" s="19">
        <v>17.185877792403975</v>
      </c>
      <c r="AK35" s="19">
        <v>66.623463773130993</v>
      </c>
      <c r="AL35" s="19">
        <v>10.455316772238996</v>
      </c>
      <c r="AM35" s="19">
        <v>18.097257413212834</v>
      </c>
      <c r="AN35" s="19">
        <v>15.20874436712802</v>
      </c>
      <c r="AO35" s="19">
        <v>15.409501923401505</v>
      </c>
      <c r="AP35" s="19">
        <v>59.170820475981358</v>
      </c>
      <c r="AQ35" s="19">
        <v>14.299461850928497</v>
      </c>
      <c r="AR35" s="19">
        <v>17.709231223475662</v>
      </c>
      <c r="AS35" s="19">
        <v>49.072981827537049</v>
      </c>
      <c r="AT35" s="19">
        <v>53.507886367361294</v>
      </c>
      <c r="AU35" s="19">
        <v>134.58956126930249</v>
      </c>
      <c r="AV35" s="19">
        <v>32.820231058541971</v>
      </c>
      <c r="AW35" s="19">
        <v>21.351967402022421</v>
      </c>
      <c r="AY35" s="47">
        <f t="shared" si="0"/>
        <v>0</v>
      </c>
    </row>
    <row r="36" spans="1:51" s="16" customFormat="1" ht="15" customHeight="1" x14ac:dyDescent="0.3">
      <c r="A36" t="s">
        <v>89</v>
      </c>
      <c r="B36" s="24" t="str">
        <f>IF('Sumário | Summary'!P1=1,"Lucro antes de IR e CS","Pre Tax Profit")</f>
        <v>Lucro antes de IR e CS</v>
      </c>
      <c r="C36" s="15">
        <f t="shared" ref="C36:AV36" si="7">SUM(C33:C35)</f>
        <v>18.472315371528499</v>
      </c>
      <c r="D36" s="15">
        <f t="shared" si="7"/>
        <v>3.5723914675728903</v>
      </c>
      <c r="E36" s="15">
        <f t="shared" si="7"/>
        <v>-0.49786054869138674</v>
      </c>
      <c r="F36" s="15">
        <f t="shared" si="7"/>
        <v>17.338776339248152</v>
      </c>
      <c r="G36" s="15">
        <f t="shared" si="7"/>
        <v>38.682650359658197</v>
      </c>
      <c r="H36" s="15">
        <f t="shared" si="7"/>
        <v>-11.147117408133806</v>
      </c>
      <c r="I36" s="15">
        <f t="shared" si="7"/>
        <v>-9.3811889229239735</v>
      </c>
      <c r="J36" s="15">
        <f t="shared" si="7"/>
        <v>235.1204212466015</v>
      </c>
      <c r="K36" s="15">
        <f t="shared" si="7"/>
        <v>-6.5902740644860565</v>
      </c>
      <c r="L36" s="15">
        <f t="shared" si="7"/>
        <v>208.76747433657471</v>
      </c>
      <c r="M36" s="15">
        <f t="shared" si="7"/>
        <v>15.141327739206002</v>
      </c>
      <c r="N36" s="15">
        <f t="shared" si="7"/>
        <v>31.322433035378907</v>
      </c>
      <c r="O36" s="15">
        <f t="shared" si="7"/>
        <v>-12.16671718502085</v>
      </c>
      <c r="P36" s="15">
        <f t="shared" si="7"/>
        <v>-6.6193222491096879</v>
      </c>
      <c r="Q36" s="15">
        <f t="shared" si="7"/>
        <v>27.691945920454366</v>
      </c>
      <c r="R36" s="15">
        <f t="shared" si="7"/>
        <v>13.914779715358698</v>
      </c>
      <c r="S36" s="15">
        <f t="shared" si="7"/>
        <v>-8.1028973166963212</v>
      </c>
      <c r="T36" s="15">
        <f t="shared" si="7"/>
        <v>17.562205912518451</v>
      </c>
      <c r="U36" s="15">
        <f t="shared" si="7"/>
        <v>46.509751805735888</v>
      </c>
      <c r="V36" s="15">
        <f t="shared" si="7"/>
        <v>69.883840116916673</v>
      </c>
      <c r="W36" s="15">
        <f t="shared" si="7"/>
        <v>23.53909805411805</v>
      </c>
      <c r="X36" s="15">
        <f t="shared" si="7"/>
        <v>5.8629190518122307</v>
      </c>
      <c r="Y36" s="15">
        <f t="shared" si="7"/>
        <v>32.310188584556428</v>
      </c>
      <c r="Z36" s="15">
        <f t="shared" si="7"/>
        <v>12.738005560906972</v>
      </c>
      <c r="AA36" s="15">
        <f t="shared" si="7"/>
        <v>74.450211251393725</v>
      </c>
      <c r="AB36" s="15">
        <f t="shared" si="7"/>
        <v>12.792307666702964</v>
      </c>
      <c r="AC36" s="15">
        <f t="shared" si="7"/>
        <v>12.914249054935995</v>
      </c>
      <c r="AD36" s="15">
        <f t="shared" si="7"/>
        <v>15.840302795402803</v>
      </c>
      <c r="AE36" s="15">
        <f t="shared" si="7"/>
        <v>1311.3201926644515</v>
      </c>
      <c r="AF36" s="15">
        <f t="shared" si="7"/>
        <v>1352.8670521814934</v>
      </c>
      <c r="AG36" s="15">
        <f t="shared" si="7"/>
        <v>-5.1640419744561168</v>
      </c>
      <c r="AH36" s="15">
        <f t="shared" si="7"/>
        <v>-23.545945332791256</v>
      </c>
      <c r="AI36" s="15">
        <f t="shared" si="7"/>
        <v>12.369600564032957</v>
      </c>
      <c r="AJ36" s="15">
        <f t="shared" si="7"/>
        <v>-19.872608314930115</v>
      </c>
      <c r="AK36" s="15">
        <f t="shared" si="7"/>
        <v>-36.212995058144571</v>
      </c>
      <c r="AL36" s="15">
        <f t="shared" si="7"/>
        <v>-7.8427477404728965</v>
      </c>
      <c r="AM36" s="15">
        <f t="shared" si="7"/>
        <v>3.3658522997245974</v>
      </c>
      <c r="AN36" s="15">
        <f t="shared" si="7"/>
        <v>10.991731313932736</v>
      </c>
      <c r="AO36" s="15">
        <f t="shared" si="7"/>
        <v>14.656570341733739</v>
      </c>
      <c r="AP36" s="15">
        <f t="shared" si="7"/>
        <v>21.171406214918179</v>
      </c>
      <c r="AQ36" s="15">
        <f t="shared" si="7"/>
        <v>13.376229943561016</v>
      </c>
      <c r="AR36" s="15">
        <f t="shared" si="7"/>
        <v>563.26384003760904</v>
      </c>
      <c r="AS36" s="15">
        <f t="shared" si="7"/>
        <v>26.707591898428561</v>
      </c>
      <c r="AT36" s="15">
        <f t="shared" si="7"/>
        <v>83.651088820101435</v>
      </c>
      <c r="AU36" s="15">
        <f t="shared" si="7"/>
        <v>686.99875069969994</v>
      </c>
      <c r="AV36" s="15">
        <f t="shared" si="7"/>
        <v>26.581311966303257</v>
      </c>
      <c r="AW36" s="15">
        <f>SUM(AW33:AW35)</f>
        <v>21.660013419645988</v>
      </c>
      <c r="AY36" s="47">
        <f t="shared" si="0"/>
        <v>-0.20297226999996099</v>
      </c>
    </row>
    <row r="37" spans="1:51" s="16" customFormat="1" ht="15" customHeight="1" x14ac:dyDescent="0.3">
      <c r="A37" t="s">
        <v>90</v>
      </c>
      <c r="B37" s="24" t="str">
        <f>IF('Sumário | Summary'!P1=1,"Imposto de Renda e Contribuição Social","Income and Social Contribution Taxes")</f>
        <v>Imposto de Renda e Contribuição Social</v>
      </c>
      <c r="C37" s="15">
        <f t="shared" ref="C37:AV37" si="8">SUM(C38:C39)</f>
        <v>-7.5129999999999999</v>
      </c>
      <c r="D37" s="15">
        <f t="shared" si="8"/>
        <v>-8.1110000000000007</v>
      </c>
      <c r="E37" s="15">
        <f t="shared" si="8"/>
        <v>-10.095999999999998</v>
      </c>
      <c r="F37" s="15">
        <f t="shared" si="8"/>
        <v>-8.5620000000000012</v>
      </c>
      <c r="G37" s="15">
        <f t="shared" si="8"/>
        <v>-34.282000000000004</v>
      </c>
      <c r="H37" s="15">
        <f t="shared" si="8"/>
        <v>-8.5380000000000003</v>
      </c>
      <c r="I37" s="15">
        <f t="shared" si="8"/>
        <v>-7.6629999999999994</v>
      </c>
      <c r="J37" s="15">
        <f t="shared" si="8"/>
        <v>-16.253</v>
      </c>
      <c r="K37" s="15">
        <f t="shared" si="8"/>
        <v>-1.0840000000000001</v>
      </c>
      <c r="L37" s="15">
        <f t="shared" si="8"/>
        <v>-33.538000000000004</v>
      </c>
      <c r="M37" s="15">
        <f t="shared" si="8"/>
        <v>-6.1550000000000002</v>
      </c>
      <c r="N37" s="15">
        <f t="shared" si="8"/>
        <v>-8.3130000000000006</v>
      </c>
      <c r="O37" s="15">
        <f t="shared" si="8"/>
        <v>-6.9279999999999999</v>
      </c>
      <c r="P37" s="15">
        <f t="shared" si="8"/>
        <v>-7.157</v>
      </c>
      <c r="Q37" s="15">
        <f t="shared" si="8"/>
        <v>-28.552999999999997</v>
      </c>
      <c r="R37" s="15">
        <f t="shared" si="8"/>
        <v>-10.752141377127998</v>
      </c>
      <c r="S37" s="15">
        <f t="shared" si="8"/>
        <v>-9.0329999999999995</v>
      </c>
      <c r="T37" s="15">
        <f t="shared" si="8"/>
        <v>-8.7310666341100038</v>
      </c>
      <c r="U37" s="15">
        <f t="shared" si="8"/>
        <v>-8.4849999999999994</v>
      </c>
      <c r="V37" s="15">
        <f t="shared" si="8"/>
        <v>-37.001208011238006</v>
      </c>
      <c r="W37" s="15">
        <f t="shared" si="8"/>
        <v>-7.008</v>
      </c>
      <c r="X37" s="15">
        <f t="shared" si="8"/>
        <v>-4.9669999999999996</v>
      </c>
      <c r="Y37" s="15">
        <f t="shared" si="8"/>
        <v>-5.6020000000000003</v>
      </c>
      <c r="Z37" s="15">
        <f t="shared" si="8"/>
        <v>-6.0829999999999993</v>
      </c>
      <c r="AA37" s="15">
        <f t="shared" si="8"/>
        <v>-23.66</v>
      </c>
      <c r="AB37" s="15">
        <f t="shared" si="8"/>
        <v>-5.6609999999999996</v>
      </c>
      <c r="AC37" s="15">
        <f t="shared" si="8"/>
        <v>-5.7809999999999997</v>
      </c>
      <c r="AD37" s="15">
        <f t="shared" si="8"/>
        <v>-6.8070000000000004</v>
      </c>
      <c r="AE37" s="15">
        <f t="shared" si="8"/>
        <v>-47.909702201879483</v>
      </c>
      <c r="AF37" s="15">
        <f t="shared" si="8"/>
        <v>-66.158702201879493</v>
      </c>
      <c r="AG37" s="15">
        <f t="shared" si="8"/>
        <v>-5.7486972707369999</v>
      </c>
      <c r="AH37" s="15">
        <f t="shared" si="8"/>
        <v>-5.6062316623249995</v>
      </c>
      <c r="AI37" s="15">
        <f t="shared" si="8"/>
        <v>-5.5091119353080016</v>
      </c>
      <c r="AJ37" s="15">
        <f t="shared" si="8"/>
        <v>-3.8948220796159951</v>
      </c>
      <c r="AK37" s="15">
        <f t="shared" si="8"/>
        <v>-20.758862947985996</v>
      </c>
      <c r="AL37" s="15">
        <f t="shared" si="8"/>
        <v>-7.0297088088569994</v>
      </c>
      <c r="AM37" s="15">
        <f t="shared" si="8"/>
        <v>-7.4916093259529974</v>
      </c>
      <c r="AN37" s="15">
        <f t="shared" si="8"/>
        <v>-7.423517620891003</v>
      </c>
      <c r="AO37" s="15">
        <f t="shared" si="8"/>
        <v>-9.1799844637309977</v>
      </c>
      <c r="AP37" s="15">
        <f t="shared" si="8"/>
        <v>-31.124820219431996</v>
      </c>
      <c r="AQ37" s="15">
        <f t="shared" si="8"/>
        <v>-6.6816161431189984</v>
      </c>
      <c r="AR37" s="15">
        <f t="shared" si="8"/>
        <v>-104.59473908840897</v>
      </c>
      <c r="AS37" s="15">
        <f t="shared" si="8"/>
        <v>-6.8732714528581775</v>
      </c>
      <c r="AT37" s="15">
        <f t="shared" si="8"/>
        <v>-24.412276287351844</v>
      </c>
      <c r="AU37" s="15">
        <f t="shared" si="8"/>
        <v>-142.56190297173799</v>
      </c>
      <c r="AV37" s="15">
        <f t="shared" si="8"/>
        <v>-7.8799193354033452</v>
      </c>
      <c r="AW37" s="15">
        <f>SUM(AW38:AW39)</f>
        <v>-5.0874950356831601</v>
      </c>
      <c r="AY37" s="47">
        <f t="shared" si="0"/>
        <v>0</v>
      </c>
    </row>
    <row r="38" spans="1:51" s="16" customFormat="1" ht="15" customHeight="1" x14ac:dyDescent="0.3">
      <c r="A38" t="s">
        <v>91</v>
      </c>
      <c r="B38" s="20" t="str">
        <f>IF('Sumário | Summary'!P1=1,"Diferidos","Deferred")</f>
        <v>Diferidos</v>
      </c>
      <c r="C38" s="19">
        <v>-0.13900000000000001</v>
      </c>
      <c r="D38" s="19">
        <v>-3.6999999999999998E-2</v>
      </c>
      <c r="E38" s="19">
        <v>-0.96299999999999997</v>
      </c>
      <c r="F38" s="19">
        <v>0.13300000000000001</v>
      </c>
      <c r="G38" s="19">
        <v>-1.006</v>
      </c>
      <c r="H38" s="19">
        <v>0.121</v>
      </c>
      <c r="I38" s="19">
        <v>0.34399999999999997</v>
      </c>
      <c r="J38" s="19">
        <v>0.315</v>
      </c>
      <c r="K38" s="19">
        <v>6.5000000000000002E-2</v>
      </c>
      <c r="L38" s="19">
        <v>0.84499999999999997</v>
      </c>
      <c r="M38" s="19">
        <v>0.189</v>
      </c>
      <c r="N38" s="19">
        <v>-8.5999999999999993E-2</v>
      </c>
      <c r="O38" s="19">
        <v>-0.01</v>
      </c>
      <c r="P38" s="19">
        <v>2.7E-2</v>
      </c>
      <c r="Q38" s="19">
        <v>0.12</v>
      </c>
      <c r="R38" s="19">
        <v>6.580552134800001E-2</v>
      </c>
      <c r="S38" s="19">
        <v>6.0000000000000001E-3</v>
      </c>
      <c r="T38" s="19">
        <v>1.4755873380000001E-2</v>
      </c>
      <c r="U38" s="19">
        <v>5.0000000000000001E-3</v>
      </c>
      <c r="V38" s="19">
        <v>9.1561394728000026E-2</v>
      </c>
      <c r="W38" s="19">
        <v>7.0000000000000001E-3</v>
      </c>
      <c r="X38" s="19">
        <v>6.0000000000000001E-3</v>
      </c>
      <c r="Y38" s="19">
        <v>3.0000000000000001E-3</v>
      </c>
      <c r="Z38" s="19">
        <v>-4.0000000000000001E-3</v>
      </c>
      <c r="AA38" s="19">
        <v>1.2E-2</v>
      </c>
      <c r="AB38" s="19">
        <v>8.9999999999999993E-3</v>
      </c>
      <c r="AC38" s="19">
        <v>-8.0000000000000002E-3</v>
      </c>
      <c r="AD38" s="19">
        <v>-6.2E-2</v>
      </c>
      <c r="AE38" s="19">
        <v>6.6000000000000003E-2</v>
      </c>
      <c r="AF38" s="19">
        <v>5.0000000000000044E-3</v>
      </c>
      <c r="AG38" s="19">
        <v>-8.7701669020000001E-3</v>
      </c>
      <c r="AH38" s="19">
        <v>-2.951697097E-2</v>
      </c>
      <c r="AI38" s="19">
        <v>1.2201730739999945E-3</v>
      </c>
      <c r="AJ38" s="19">
        <v>-3.7150159889999992E-2</v>
      </c>
      <c r="AK38" s="19">
        <v>-7.4217124688E-2</v>
      </c>
      <c r="AL38" s="19">
        <v>-2.5543798106E-2</v>
      </c>
      <c r="AM38" s="19">
        <v>-2.3338059273999998E-2</v>
      </c>
      <c r="AN38" s="19">
        <v>-5.3879662773999998E-2</v>
      </c>
      <c r="AO38" s="19">
        <v>-4.9650565380000133E-3</v>
      </c>
      <c r="AP38" s="19">
        <v>-0.10772657669200002</v>
      </c>
      <c r="AQ38" s="19">
        <v>-4.2090305936000008E-2</v>
      </c>
      <c r="AR38" s="19">
        <v>-6.2558092768000007E-2</v>
      </c>
      <c r="AS38" s="19">
        <v>-7.6031149372000048E-2</v>
      </c>
      <c r="AT38" s="19">
        <v>-0.17315934882199996</v>
      </c>
      <c r="AU38" s="19">
        <v>-0.35383889689800002</v>
      </c>
      <c r="AV38" s="19">
        <v>-0.11897536572999998</v>
      </c>
      <c r="AW38" s="19">
        <v>2.0947104039999685E-3</v>
      </c>
      <c r="AY38" s="47">
        <f t="shared" si="0"/>
        <v>0</v>
      </c>
    </row>
    <row r="39" spans="1:51" s="16" customFormat="1" ht="15" customHeight="1" x14ac:dyDescent="0.3">
      <c r="A39" t="s">
        <v>92</v>
      </c>
      <c r="B39" s="20" t="str">
        <f>IF('Sumário | Summary'!P1=1,"Correntes","Current")</f>
        <v>Correntes</v>
      </c>
      <c r="C39" s="19">
        <v>-7.3739999999999997</v>
      </c>
      <c r="D39" s="19">
        <v>-8.0739999999999998</v>
      </c>
      <c r="E39" s="19">
        <v>-9.1329999999999991</v>
      </c>
      <c r="F39" s="19">
        <v>-8.6950000000000003</v>
      </c>
      <c r="G39" s="19">
        <v>-33.276000000000003</v>
      </c>
      <c r="H39" s="19">
        <v>-8.6590000000000007</v>
      </c>
      <c r="I39" s="19">
        <v>-8.0069999999999997</v>
      </c>
      <c r="J39" s="19">
        <v>-16.568000000000001</v>
      </c>
      <c r="K39" s="19">
        <v>-1.149</v>
      </c>
      <c r="L39" s="19">
        <v>-34.383000000000003</v>
      </c>
      <c r="M39" s="19">
        <v>-6.3440000000000003</v>
      </c>
      <c r="N39" s="19">
        <v>-8.2270000000000003</v>
      </c>
      <c r="O39" s="19">
        <v>-6.9180000000000001</v>
      </c>
      <c r="P39" s="19">
        <v>-7.1840000000000002</v>
      </c>
      <c r="Q39" s="19">
        <v>-28.672999999999998</v>
      </c>
      <c r="R39" s="19">
        <v>-10.817946898475999</v>
      </c>
      <c r="S39" s="19">
        <v>-9.0389999999999997</v>
      </c>
      <c r="T39" s="19">
        <v>-8.7458225074900042</v>
      </c>
      <c r="U39" s="19">
        <v>-8.49</v>
      </c>
      <c r="V39" s="19">
        <v>-37.092769405966003</v>
      </c>
      <c r="W39" s="19">
        <v>-7.0149999999999997</v>
      </c>
      <c r="X39" s="19">
        <v>-4.9729999999999999</v>
      </c>
      <c r="Y39" s="19">
        <v>-5.6050000000000004</v>
      </c>
      <c r="Z39" s="19">
        <v>-6.0789999999999997</v>
      </c>
      <c r="AA39" s="19">
        <v>-23.672000000000001</v>
      </c>
      <c r="AB39" s="19">
        <v>-5.67</v>
      </c>
      <c r="AC39" s="19">
        <v>-5.7729999999999997</v>
      </c>
      <c r="AD39" s="19">
        <v>-6.7450000000000001</v>
      </c>
      <c r="AE39" s="19">
        <v>-47.975702201879486</v>
      </c>
      <c r="AF39" s="19">
        <v>-66.163702201879488</v>
      </c>
      <c r="AG39" s="19">
        <v>-5.7399271038349999</v>
      </c>
      <c r="AH39" s="19">
        <v>-5.5767146913549999</v>
      </c>
      <c r="AI39" s="19">
        <v>-5.5103321083820012</v>
      </c>
      <c r="AJ39" s="19">
        <v>-3.8576719197259952</v>
      </c>
      <c r="AK39" s="19">
        <v>-20.684645823297995</v>
      </c>
      <c r="AL39" s="19">
        <v>-7.0041650107509996</v>
      </c>
      <c r="AM39" s="19">
        <v>-7.4682712666789977</v>
      </c>
      <c r="AN39" s="19">
        <v>-7.3696379581170026</v>
      </c>
      <c r="AO39" s="19">
        <v>-9.1750194071929982</v>
      </c>
      <c r="AP39" s="19">
        <v>-31.017093642739997</v>
      </c>
      <c r="AQ39" s="19">
        <v>-6.6395258371829984</v>
      </c>
      <c r="AR39" s="19">
        <v>-104.53218099564097</v>
      </c>
      <c r="AS39" s="19">
        <v>-6.7972403034861779</v>
      </c>
      <c r="AT39" s="19">
        <v>-24.239116938529843</v>
      </c>
      <c r="AU39" s="19">
        <v>-142.20806407484</v>
      </c>
      <c r="AV39" s="19">
        <v>-7.7609439696733453</v>
      </c>
      <c r="AW39" s="19">
        <v>-5.0895897460871602</v>
      </c>
      <c r="AY39" s="47">
        <f t="shared" si="0"/>
        <v>0</v>
      </c>
    </row>
    <row r="40" spans="1:51" s="16" customFormat="1" ht="15" customHeight="1" x14ac:dyDescent="0.3">
      <c r="A40" t="s">
        <v>93</v>
      </c>
      <c r="B40" s="24" t="str">
        <f>IF('Sumário | Summary'!P1=1,"Lucro antes da participação dos minoritários","Profit before minority
interest")</f>
        <v>Lucro antes da participação dos minoritários</v>
      </c>
      <c r="C40" s="15">
        <f t="shared" ref="C40:AV40" si="9">C36+C37</f>
        <v>10.959315371528499</v>
      </c>
      <c r="D40" s="15">
        <f t="shared" si="9"/>
        <v>-4.5386085324271104</v>
      </c>
      <c r="E40" s="15">
        <f t="shared" si="9"/>
        <v>-10.593860548691385</v>
      </c>
      <c r="F40" s="15">
        <f t="shared" si="9"/>
        <v>8.7767763392481513</v>
      </c>
      <c r="G40" s="15">
        <f t="shared" si="9"/>
        <v>4.4006503596581936</v>
      </c>
      <c r="H40" s="15">
        <f t="shared" si="9"/>
        <v>-19.685117408133806</v>
      </c>
      <c r="I40" s="15">
        <f t="shared" si="9"/>
        <v>-17.044188922923972</v>
      </c>
      <c r="J40" s="15">
        <f t="shared" si="9"/>
        <v>218.86742124660151</v>
      </c>
      <c r="K40" s="15">
        <f t="shared" si="9"/>
        <v>-7.6742740644860561</v>
      </c>
      <c r="L40" s="15">
        <f t="shared" si="9"/>
        <v>175.2294743365747</v>
      </c>
      <c r="M40" s="15">
        <f t="shared" si="9"/>
        <v>8.9863277392060006</v>
      </c>
      <c r="N40" s="15">
        <f t="shared" si="9"/>
        <v>23.009433035378905</v>
      </c>
      <c r="O40" s="15">
        <f t="shared" si="9"/>
        <v>-19.094717185020851</v>
      </c>
      <c r="P40" s="15">
        <f t="shared" si="9"/>
        <v>-13.776322249109688</v>
      </c>
      <c r="Q40" s="15">
        <f t="shared" si="9"/>
        <v>-0.86105407954563162</v>
      </c>
      <c r="R40" s="15">
        <f t="shared" si="9"/>
        <v>3.1626383382306997</v>
      </c>
      <c r="S40" s="15">
        <f t="shared" si="9"/>
        <v>-17.135897316696322</v>
      </c>
      <c r="T40" s="15">
        <f t="shared" si="9"/>
        <v>8.8311392784084468</v>
      </c>
      <c r="U40" s="15">
        <f t="shared" si="9"/>
        <v>38.024751805735889</v>
      </c>
      <c r="V40" s="15">
        <f t="shared" si="9"/>
        <v>32.882632105678667</v>
      </c>
      <c r="W40" s="15">
        <f t="shared" si="9"/>
        <v>16.531098054118051</v>
      </c>
      <c r="X40" s="15">
        <f t="shared" si="9"/>
        <v>0.89591905181223108</v>
      </c>
      <c r="Y40" s="15">
        <f t="shared" si="9"/>
        <v>26.708188584556428</v>
      </c>
      <c r="Z40" s="15">
        <f t="shared" si="9"/>
        <v>6.6550055609069725</v>
      </c>
      <c r="AA40" s="15">
        <f t="shared" si="9"/>
        <v>50.790211251393728</v>
      </c>
      <c r="AB40" s="15">
        <f t="shared" si="9"/>
        <v>7.1313076667029645</v>
      </c>
      <c r="AC40" s="15">
        <f t="shared" si="9"/>
        <v>7.1332490549359955</v>
      </c>
      <c r="AD40" s="15">
        <f t="shared" si="9"/>
        <v>9.0333027954028022</v>
      </c>
      <c r="AE40" s="15">
        <f t="shared" si="9"/>
        <v>1263.4104904625719</v>
      </c>
      <c r="AF40" s="15">
        <f t="shared" si="9"/>
        <v>1286.7083499796138</v>
      </c>
      <c r="AG40" s="15">
        <f t="shared" si="9"/>
        <v>-10.912739245193116</v>
      </c>
      <c r="AH40" s="15">
        <f t="shared" si="9"/>
        <v>-29.152176995116257</v>
      </c>
      <c r="AI40" s="15">
        <f t="shared" si="9"/>
        <v>6.8604886287249558</v>
      </c>
      <c r="AJ40" s="15">
        <f t="shared" si="9"/>
        <v>-23.767430394546111</v>
      </c>
      <c r="AK40" s="15">
        <f t="shared" si="9"/>
        <v>-56.971858006130567</v>
      </c>
      <c r="AL40" s="15">
        <f t="shared" si="9"/>
        <v>-14.872456549329897</v>
      </c>
      <c r="AM40" s="15">
        <f t="shared" si="9"/>
        <v>-4.1257570262284</v>
      </c>
      <c r="AN40" s="15">
        <f t="shared" si="9"/>
        <v>3.5682136930417325</v>
      </c>
      <c r="AO40" s="15">
        <f t="shared" si="9"/>
        <v>5.4765858780027408</v>
      </c>
      <c r="AP40" s="15">
        <f t="shared" si="9"/>
        <v>-9.9534140045138173</v>
      </c>
      <c r="AQ40" s="15">
        <f t="shared" si="9"/>
        <v>6.6946138004420179</v>
      </c>
      <c r="AR40" s="15">
        <f t="shared" si="9"/>
        <v>458.66910094920007</v>
      </c>
      <c r="AS40" s="15">
        <f t="shared" si="9"/>
        <v>19.834320445570384</v>
      </c>
      <c r="AT40" s="15">
        <f t="shared" si="9"/>
        <v>59.238812532749591</v>
      </c>
      <c r="AU40" s="15">
        <f t="shared" si="9"/>
        <v>544.436847727962</v>
      </c>
      <c r="AV40" s="15">
        <f t="shared" si="9"/>
        <v>18.70139263089991</v>
      </c>
      <c r="AW40" s="15">
        <f>AW36+AW37</f>
        <v>16.57251838396283</v>
      </c>
      <c r="AY40" s="47">
        <f t="shared" si="0"/>
        <v>-0.20297226999996099</v>
      </c>
    </row>
    <row r="41" spans="1:51" s="16" customFormat="1" ht="15" customHeight="1" x14ac:dyDescent="0.3">
      <c r="A41" t="s">
        <v>94</v>
      </c>
      <c r="B41" s="20" t="str">
        <f>IF('Sumário | Summary'!P1=1,"Participação dos minoritários","Minority interest")</f>
        <v>Participação dos minoritários</v>
      </c>
      <c r="C41" s="19">
        <v>6.5640000000000001</v>
      </c>
      <c r="D41" s="19">
        <v>6.4189999999999996</v>
      </c>
      <c r="E41" s="19">
        <v>6.5439999999999996</v>
      </c>
      <c r="F41" s="19">
        <v>6.1980000000000004</v>
      </c>
      <c r="G41" s="19">
        <v>25.725000000000001</v>
      </c>
      <c r="H41" s="19">
        <v>2E-3</v>
      </c>
      <c r="I41" s="19">
        <v>2E-3</v>
      </c>
      <c r="J41" s="19">
        <v>1.0999999999999999E-2</v>
      </c>
      <c r="K41" s="19">
        <v>8.9999999999999993E-3</v>
      </c>
      <c r="L41" s="19">
        <v>2.4E-2</v>
      </c>
      <c r="M41" s="19">
        <v>8.0000000000000002E-3</v>
      </c>
      <c r="N41" s="19">
        <v>8.9999999999999993E-3</v>
      </c>
      <c r="O41" s="19">
        <v>5.0000000000000001E-3</v>
      </c>
      <c r="P41" s="19">
        <v>4.0000000000000001E-3</v>
      </c>
      <c r="Q41" s="19">
        <v>2.5999999999999999E-2</v>
      </c>
      <c r="R41" s="19">
        <v>-5.0656458847500004E-3</v>
      </c>
      <c r="S41" s="19">
        <v>6.0000000000000001E-3</v>
      </c>
      <c r="T41" s="19">
        <v>-6.3634360927499979E-3</v>
      </c>
      <c r="U41" s="19">
        <v>-5.0000000000000001E-3</v>
      </c>
      <c r="V41" s="19">
        <v>-1.0429081977499997E-2</v>
      </c>
      <c r="W41" s="19">
        <v>6.0000000000000001E-3</v>
      </c>
      <c r="X41" s="19">
        <v>5.0000000000000001E-3</v>
      </c>
      <c r="Y41" s="19">
        <v>-5.0000000000000001E-3</v>
      </c>
      <c r="Z41" s="19">
        <v>6.0000000000000001E-3</v>
      </c>
      <c r="AA41" s="19">
        <v>1.2E-2</v>
      </c>
      <c r="AB41" s="19">
        <v>-5.2765735398799998E-3</v>
      </c>
      <c r="AC41" s="19">
        <v>-5.4324716985000004E-3</v>
      </c>
      <c r="AD41" s="19">
        <v>-5.5367712675000007E-3</v>
      </c>
      <c r="AE41" s="19">
        <v>-6.1970202360000001E-3</v>
      </c>
      <c r="AF41" s="19">
        <v>-2.2442836741880003E-2</v>
      </c>
      <c r="AG41" s="19">
        <v>-6.8031771142500006E-3</v>
      </c>
      <c r="AH41" s="19">
        <v>-6.559818952500001E-3</v>
      </c>
      <c r="AI41" s="19">
        <v>-7.4044744784999995E-3</v>
      </c>
      <c r="AJ41" s="19">
        <v>-7.7120432047400062E-3</v>
      </c>
      <c r="AK41" s="19">
        <v>-2.8479513749990006E-2</v>
      </c>
      <c r="AL41" s="19">
        <v>-8.1535162499999994E-3</v>
      </c>
      <c r="AM41" s="19">
        <v>-8.206406250000001E-3</v>
      </c>
      <c r="AN41" s="19">
        <v>-9.4105574999999997E-3</v>
      </c>
      <c r="AO41" s="19">
        <v>-8.5819687500000089E-3</v>
      </c>
      <c r="AP41" s="19">
        <v>-3.4352448750000007E-2</v>
      </c>
      <c r="AQ41" s="19">
        <v>-8.3931187500000011E-3</v>
      </c>
      <c r="AR41" s="19">
        <v>-1.5612141666028321</v>
      </c>
      <c r="AS41" s="19">
        <v>2.7365761355741833</v>
      </c>
      <c r="AT41" s="19">
        <v>0.65074641907817132</v>
      </c>
      <c r="AU41" s="19">
        <v>1.8177152692995227</v>
      </c>
      <c r="AV41" s="19">
        <v>0</v>
      </c>
      <c r="AW41" s="19">
        <v>0</v>
      </c>
      <c r="AY41" s="47">
        <f t="shared" si="0"/>
        <v>0</v>
      </c>
    </row>
    <row r="42" spans="1:51" s="16" customFormat="1" ht="15" customHeight="1" x14ac:dyDescent="0.3">
      <c r="A42" t="s">
        <v>95</v>
      </c>
      <c r="B42" s="24" t="str">
        <f>IF('Sumário | Summary'!P1=1,"Lucro/Prejuízo do Período","Profit / Loss for the Period")</f>
        <v>Lucro/Prejuízo do Período</v>
      </c>
      <c r="C42" s="15">
        <f t="shared" ref="C42:AV42" si="10">SUM(C40:C41)</f>
        <v>17.523315371528497</v>
      </c>
      <c r="D42" s="15">
        <f t="shared" si="10"/>
        <v>1.8803914675728892</v>
      </c>
      <c r="E42" s="15">
        <f t="shared" si="10"/>
        <v>-4.0498605486913855</v>
      </c>
      <c r="F42" s="15">
        <f t="shared" si="10"/>
        <v>14.974776339248152</v>
      </c>
      <c r="G42" s="15">
        <f t="shared" si="10"/>
        <v>30.125650359658195</v>
      </c>
      <c r="H42" s="15">
        <f t="shared" si="10"/>
        <v>-19.683117408133807</v>
      </c>
      <c r="I42" s="15">
        <f t="shared" si="10"/>
        <v>-17.042188922923973</v>
      </c>
      <c r="J42" s="15">
        <f t="shared" si="10"/>
        <v>218.8784212466015</v>
      </c>
      <c r="K42" s="15">
        <f t="shared" si="10"/>
        <v>-7.6652740644860557</v>
      </c>
      <c r="L42" s="15">
        <f t="shared" si="10"/>
        <v>175.2534743365747</v>
      </c>
      <c r="M42" s="15">
        <f t="shared" si="10"/>
        <v>8.9943277392059997</v>
      </c>
      <c r="N42" s="15">
        <f t="shared" si="10"/>
        <v>23.018433035378905</v>
      </c>
      <c r="O42" s="15">
        <f t="shared" si="10"/>
        <v>-19.089717185020852</v>
      </c>
      <c r="P42" s="15">
        <f t="shared" si="10"/>
        <v>-13.772322249109688</v>
      </c>
      <c r="Q42" s="15">
        <f t="shared" si="10"/>
        <v>-0.8350540795456316</v>
      </c>
      <c r="R42" s="15">
        <f t="shared" si="10"/>
        <v>3.1575726923459499</v>
      </c>
      <c r="S42" s="15">
        <f t="shared" si="10"/>
        <v>-17.129897316696322</v>
      </c>
      <c r="T42" s="15">
        <f t="shared" si="10"/>
        <v>8.824775842315697</v>
      </c>
      <c r="U42" s="15">
        <f t="shared" si="10"/>
        <v>38.019751805735886</v>
      </c>
      <c r="V42" s="15">
        <f t="shared" si="10"/>
        <v>32.872203023701168</v>
      </c>
      <c r="W42" s="15">
        <f t="shared" si="10"/>
        <v>16.537098054118051</v>
      </c>
      <c r="X42" s="15">
        <f t="shared" si="10"/>
        <v>0.90091905181223109</v>
      </c>
      <c r="Y42" s="15">
        <f t="shared" si="10"/>
        <v>26.703188584556429</v>
      </c>
      <c r="Z42" s="15">
        <f t="shared" si="10"/>
        <v>6.6610055609069727</v>
      </c>
      <c r="AA42" s="15">
        <f t="shared" si="10"/>
        <v>50.802211251393729</v>
      </c>
      <c r="AB42" s="15">
        <f t="shared" si="10"/>
        <v>7.1260310931630846</v>
      </c>
      <c r="AC42" s="15">
        <f t="shared" si="10"/>
        <v>7.1278165832374958</v>
      </c>
      <c r="AD42" s="15">
        <f t="shared" si="10"/>
        <v>9.0277660241353015</v>
      </c>
      <c r="AE42" s="15">
        <f t="shared" si="10"/>
        <v>1263.404293442336</v>
      </c>
      <c r="AF42" s="15">
        <f t="shared" si="10"/>
        <v>1286.6859071428719</v>
      </c>
      <c r="AG42" s="15">
        <f t="shared" si="10"/>
        <v>-10.919542422307366</v>
      </c>
      <c r="AH42" s="15">
        <f t="shared" si="10"/>
        <v>-29.158736814068757</v>
      </c>
      <c r="AI42" s="15">
        <f t="shared" si="10"/>
        <v>6.8530841542464556</v>
      </c>
      <c r="AJ42" s="15">
        <f t="shared" si="10"/>
        <v>-23.775142437750851</v>
      </c>
      <c r="AK42" s="15">
        <f t="shared" si="10"/>
        <v>-57.00033751988056</v>
      </c>
      <c r="AL42" s="15">
        <f t="shared" si="10"/>
        <v>-14.880610065579896</v>
      </c>
      <c r="AM42" s="15">
        <f t="shared" si="10"/>
        <v>-4.1339634324784003</v>
      </c>
      <c r="AN42" s="15">
        <f t="shared" si="10"/>
        <v>3.5588031355417327</v>
      </c>
      <c r="AO42" s="15">
        <f t="shared" si="10"/>
        <v>5.468003909252741</v>
      </c>
      <c r="AP42" s="15">
        <f t="shared" si="10"/>
        <v>-9.9877664532638182</v>
      </c>
      <c r="AQ42" s="15">
        <f t="shared" si="10"/>
        <v>6.686220681692018</v>
      </c>
      <c r="AR42" s="15">
        <f t="shared" si="10"/>
        <v>457.10788678259723</v>
      </c>
      <c r="AS42" s="15">
        <f t="shared" si="10"/>
        <v>22.570896581144567</v>
      </c>
      <c r="AT42" s="15">
        <f t="shared" si="10"/>
        <v>59.889558951827766</v>
      </c>
      <c r="AU42" s="15">
        <f t="shared" si="10"/>
        <v>546.25456299726147</v>
      </c>
      <c r="AV42" s="15">
        <f t="shared" si="10"/>
        <v>18.70139263089991</v>
      </c>
      <c r="AW42" s="15">
        <f>SUM(AW40:AW41)</f>
        <v>16.57251838396283</v>
      </c>
      <c r="AY42" s="47">
        <f t="shared" si="0"/>
        <v>-0.20297226999995743</v>
      </c>
    </row>
    <row r="43" spans="1:51" s="16" customFormat="1" x14ac:dyDescent="0.3">
      <c r="A43" s="12" t="s">
        <v>96</v>
      </c>
      <c r="B43" s="24" t="str">
        <f>IF('Sumário | Summary'!P1=1,"Margem Líquida","Net Margin")</f>
        <v>Margem Líquida</v>
      </c>
      <c r="C43" s="49">
        <f t="shared" ref="C43:AV43" si="11">C42/C14</f>
        <v>0.17407110532999912</v>
      </c>
      <c r="D43" s="49">
        <f t="shared" si="11"/>
        <v>1.930210354097054E-2</v>
      </c>
      <c r="E43" s="49">
        <f t="shared" si="11"/>
        <v>-3.0762716796731329E-2</v>
      </c>
      <c r="F43" s="49">
        <f t="shared" si="11"/>
        <v>0.11632562119342653</v>
      </c>
      <c r="G43" s="49">
        <f t="shared" si="11"/>
        <v>6.5709608507865669E-2</v>
      </c>
      <c r="H43" s="49">
        <f t="shared" si="11"/>
        <v>-0.21107889290875456</v>
      </c>
      <c r="I43" s="49">
        <f t="shared" si="11"/>
        <v>-0.16826861646800614</v>
      </c>
      <c r="J43" s="49">
        <f t="shared" si="11"/>
        <v>2.3565182793912078</v>
      </c>
      <c r="K43" s="49">
        <f t="shared" si="11"/>
        <v>-8.9478714479667681E-2</v>
      </c>
      <c r="L43" s="49">
        <f t="shared" si="11"/>
        <v>0.46849252590248103</v>
      </c>
      <c r="M43" s="49">
        <f t="shared" si="11"/>
        <v>0.11283962462229168</v>
      </c>
      <c r="N43" s="49">
        <f t="shared" si="11"/>
        <v>0.16322492918397558</v>
      </c>
      <c r="O43" s="49">
        <f t="shared" si="11"/>
        <v>-0.23015616939327055</v>
      </c>
      <c r="P43" s="49">
        <f t="shared" si="11"/>
        <v>-0.16015995023600027</v>
      </c>
      <c r="Q43" s="49">
        <f t="shared" si="11"/>
        <v>-2.1430038355277066E-3</v>
      </c>
      <c r="R43" s="49">
        <f t="shared" si="11"/>
        <v>3.7059555274817219E-2</v>
      </c>
      <c r="S43" s="49">
        <f t="shared" si="11"/>
        <v>-0.19544301868056002</v>
      </c>
      <c r="T43" s="49">
        <f t="shared" si="11"/>
        <v>9.8821946043118711E-2</v>
      </c>
      <c r="U43" s="49">
        <f t="shared" si="11"/>
        <v>0.38652965879792489</v>
      </c>
      <c r="V43" s="49">
        <f t="shared" si="11"/>
        <v>9.1182318056033412E-2</v>
      </c>
      <c r="W43" s="49">
        <f t="shared" si="11"/>
        <v>0.17860547079723657</v>
      </c>
      <c r="X43" s="49">
        <f t="shared" si="11"/>
        <v>1.4213206755990896E-2</v>
      </c>
      <c r="Y43" s="49">
        <f t="shared" si="11"/>
        <v>0.28449637270232264</v>
      </c>
      <c r="Z43" s="49">
        <f t="shared" si="11"/>
        <v>7.5379024544945605E-2</v>
      </c>
      <c r="AA43" s="49">
        <f t="shared" si="11"/>
        <v>0.15021163195858719</v>
      </c>
      <c r="AB43" s="49">
        <f t="shared" si="11"/>
        <v>9.1065790076908737E-2</v>
      </c>
      <c r="AC43" s="49">
        <f t="shared" si="11"/>
        <v>9.2658940103046275E-2</v>
      </c>
      <c r="AD43" s="49">
        <f t="shared" si="11"/>
        <v>0.10140564546191304</v>
      </c>
      <c r="AE43" s="49">
        <f t="shared" si="11"/>
        <v>0.90408989369606774</v>
      </c>
      <c r="AF43" s="49">
        <f t="shared" si="11"/>
        <v>0.7837830952117335</v>
      </c>
      <c r="AG43" s="49">
        <f t="shared" si="11"/>
        <v>-8.9378812182848266E-2</v>
      </c>
      <c r="AH43" s="49">
        <f t="shared" si="11"/>
        <v>-0.42164769786328754</v>
      </c>
      <c r="AI43" s="49">
        <f t="shared" si="11"/>
        <v>9.2278140903196165E-2</v>
      </c>
      <c r="AJ43" s="49">
        <f t="shared" si="11"/>
        <v>-0.29824497067082412</v>
      </c>
      <c r="AK43" s="49">
        <f t="shared" si="11"/>
        <v>-0.16507095447509323</v>
      </c>
      <c r="AL43" s="49">
        <f t="shared" si="11"/>
        <v>-0.20055236042979308</v>
      </c>
      <c r="AM43" s="49">
        <f t="shared" si="11"/>
        <v>-5.3166863609745485E-2</v>
      </c>
      <c r="AN43" s="49">
        <f t="shared" si="11"/>
        <v>4.4197383401200441E-2</v>
      </c>
      <c r="AO43" s="49">
        <f t="shared" si="11"/>
        <v>6.1615567026314558E-2</v>
      </c>
      <c r="AP43" s="49">
        <f t="shared" si="11"/>
        <v>-3.1093499697163907E-2</v>
      </c>
      <c r="AQ43" s="49">
        <f t="shared" si="11"/>
        <v>7.7810257977868502E-2</v>
      </c>
      <c r="AR43" s="49">
        <f t="shared" si="11"/>
        <v>0.57498313982835081</v>
      </c>
      <c r="AS43" s="49">
        <f t="shared" si="11"/>
        <v>0.4715853944870666</v>
      </c>
      <c r="AT43" s="49">
        <f t="shared" si="11"/>
        <v>0.88650503104499156</v>
      </c>
      <c r="AU43" s="49">
        <f t="shared" si="11"/>
        <v>0.54826008338351206</v>
      </c>
      <c r="AV43" s="49">
        <f t="shared" si="11"/>
        <v>0.32401799130718179</v>
      </c>
      <c r="AW43" s="49">
        <f>AW42/AW14</f>
        <v>0.2943807546812765</v>
      </c>
      <c r="AY43" s="47">
        <f t="shared" si="0"/>
        <v>-0.21322650475979921</v>
      </c>
    </row>
    <row r="44" spans="1:51" s="16" customFormat="1" x14ac:dyDescent="0.3">
      <c r="A44" s="12" t="s">
        <v>97</v>
      </c>
      <c r="B44" s="32" t="str">
        <f>IF('Sumário | Summary'!P1=1,"Lucro Líquido por ação","Profit Per Share")</f>
        <v>Lucro Líquido por ação</v>
      </c>
      <c r="C44" s="35">
        <v>3.6750909816292664E-2</v>
      </c>
      <c r="D44" s="35">
        <v>-9.1565079521330001E-2</v>
      </c>
      <c r="E44" s="35">
        <v>-0.14325709701732667</v>
      </c>
      <c r="F44" s="35">
        <v>1.9851814614239054E-2</v>
      </c>
      <c r="G44" s="35">
        <v>-0.17821256210320849</v>
      </c>
      <c r="H44" s="35">
        <v>-0.16451909851674587</v>
      </c>
      <c r="I44" s="35">
        <v>-0.14245212727962459</v>
      </c>
      <c r="J44" s="35">
        <v>1.8289297720680917</v>
      </c>
      <c r="K44" s="35">
        <v>-6.6178063053843134E-2</v>
      </c>
      <c r="L44" s="35">
        <v>1.4557804832178785</v>
      </c>
      <c r="M44" s="35">
        <v>7.5143542508701047E-2</v>
      </c>
      <c r="N44" s="35">
        <v>0.19221196923680781</v>
      </c>
      <c r="O44" s="35">
        <v>-0.15961867620128317</v>
      </c>
      <c r="P44" s="35">
        <v>-0.11514737034221308</v>
      </c>
      <c r="Q44" s="35">
        <v>-7.4105347979871432E-3</v>
      </c>
      <c r="R44" s="35">
        <v>2.6500504531685475E-2</v>
      </c>
      <c r="S44" s="35">
        <v>-0.1432729279278315</v>
      </c>
      <c r="T44" s="35">
        <v>7.4069630034729453E-2</v>
      </c>
      <c r="U44" s="35">
        <v>0.24051746847709043</v>
      </c>
      <c r="V44" s="35">
        <v>0.19781467511567385</v>
      </c>
      <c r="W44" s="35">
        <v>0.10753695958315501</v>
      </c>
      <c r="X44" s="35">
        <v>5.8339134030301549E-3</v>
      </c>
      <c r="Y44" s="35">
        <v>0.17490384759609479</v>
      </c>
      <c r="Z44" s="35">
        <v>4.3566919715912054E-2</v>
      </c>
      <c r="AA44" s="35">
        <v>0.33184164029819202</v>
      </c>
      <c r="AB44" s="35">
        <v>4.6679056527871847E-2</v>
      </c>
      <c r="AC44" s="35">
        <v>4.6708404258523246E-2</v>
      </c>
      <c r="AD44" s="35">
        <v>5.9135027035655298E-2</v>
      </c>
      <c r="AE44" s="35">
        <v>8.2767786898264397</v>
      </c>
      <c r="AF44" s="35">
        <v>8.4293011776484903</v>
      </c>
      <c r="AG44" s="35">
        <v>-7.1536105295593094E-2</v>
      </c>
      <c r="AH44" s="35">
        <v>-0.19102435608494467</v>
      </c>
      <c r="AI44" s="35">
        <v>4.4895273799491459E-2</v>
      </c>
      <c r="AJ44" s="35">
        <v>-0.15575420315091579</v>
      </c>
      <c r="AK44" s="35">
        <v>-0.37341939073196212</v>
      </c>
      <c r="AL44" s="35">
        <v>-9.7485893231030421E-2</v>
      </c>
      <c r="AM44" s="35">
        <v>-2.7082763702789364E-2</v>
      </c>
      <c r="AN44" s="35">
        <v>2.3313872532614757E-2</v>
      </c>
      <c r="AO44" s="35">
        <v>3.5470173862224383E-2</v>
      </c>
      <c r="AP44" s="35">
        <v>-6.5784610538980645E-2</v>
      </c>
      <c r="AQ44" s="35">
        <v>4.380258110075344E-2</v>
      </c>
      <c r="AR44" s="35">
        <v>2.9945923468266225</v>
      </c>
      <c r="AS44" s="35">
        <v>0.14786582362132172</v>
      </c>
      <c r="AT44" s="35">
        <v>0.39234679618919577</v>
      </c>
      <c r="AU44" s="35">
        <v>3.5786075477378936</v>
      </c>
      <c r="AV44" s="35">
        <v>0.12251603804448896</v>
      </c>
      <c r="AW44" s="35">
        <v>0.1085694168822381</v>
      </c>
      <c r="AY44" s="50">
        <f t="shared" si="0"/>
        <v>6.8900049164655197E-6</v>
      </c>
    </row>
    <row r="45" spans="1:51" x14ac:dyDescent="0.3">
      <c r="Y45" s="51"/>
    </row>
    <row r="46" spans="1:51" x14ac:dyDescent="0.3">
      <c r="C46" s="36"/>
      <c r="D46" s="36"/>
      <c r="E46" s="36"/>
      <c r="F46" s="36"/>
      <c r="G46" s="36"/>
      <c r="H46" s="36"/>
      <c r="I46" s="36"/>
      <c r="J46" s="36"/>
      <c r="K46" s="36"/>
      <c r="L46" s="36"/>
      <c r="M46" s="36"/>
      <c r="N46" s="36"/>
      <c r="O46" s="36"/>
      <c r="P46" s="36"/>
      <c r="Q46" s="36"/>
      <c r="R46" s="36"/>
      <c r="S46" s="36"/>
      <c r="T46" s="36"/>
      <c r="U46" s="36"/>
      <c r="V46" s="36"/>
      <c r="AM46" s="36"/>
      <c r="AN46" s="36"/>
      <c r="AO46" s="36"/>
      <c r="AP46" s="36"/>
      <c r="AQ46" s="36"/>
      <c r="AR46" s="36"/>
      <c r="AS46" s="36"/>
      <c r="AT46" s="36"/>
      <c r="AU46" s="36"/>
      <c r="AV46" s="36"/>
      <c r="AW46" s="36"/>
    </row>
    <row r="47" spans="1:51" x14ac:dyDescent="0.3">
      <c r="C47" s="36"/>
      <c r="D47" s="36"/>
      <c r="E47" s="36"/>
      <c r="F47" s="36"/>
      <c r="G47" s="36"/>
      <c r="H47" s="36"/>
      <c r="I47" s="36"/>
      <c r="J47" s="36"/>
      <c r="K47" s="36"/>
      <c r="L47" s="36"/>
      <c r="M47" s="36"/>
      <c r="N47" s="36"/>
      <c r="O47" s="36"/>
      <c r="P47" s="36"/>
      <c r="Q47" s="36"/>
      <c r="R47" s="36"/>
      <c r="S47" s="36"/>
      <c r="T47" s="36"/>
      <c r="U47" s="36"/>
      <c r="V47" s="36"/>
      <c r="AM47" s="36"/>
      <c r="AN47" s="36"/>
      <c r="AO47" s="36"/>
      <c r="AP47" s="36"/>
      <c r="AQ47" s="36"/>
      <c r="AR47" s="36"/>
      <c r="AS47" s="36"/>
      <c r="AT47" s="36"/>
      <c r="AU47" s="36"/>
      <c r="AV47" s="36"/>
      <c r="AW47" s="36"/>
    </row>
    <row r="67" spans="3:49" s="39" customFormat="1" x14ac:dyDescent="0.3">
      <c r="C67" s="40"/>
      <c r="D67" s="40"/>
      <c r="E67" s="40"/>
      <c r="F67" s="40"/>
      <c r="G67" s="40"/>
      <c r="H67" s="40"/>
      <c r="I67" s="40"/>
      <c r="J67" s="40"/>
      <c r="K67" s="40"/>
      <c r="L67" s="40"/>
      <c r="M67" s="40"/>
      <c r="N67" s="40"/>
      <c r="O67" s="40"/>
      <c r="P67" s="40"/>
      <c r="Q67" s="40"/>
      <c r="R67" s="40"/>
      <c r="S67" s="40"/>
      <c r="T67" s="40"/>
      <c r="U67" s="40"/>
      <c r="V67" s="40"/>
      <c r="W67" s="38"/>
      <c r="X67" s="38"/>
      <c r="Y67" s="38"/>
      <c r="Z67" s="38"/>
      <c r="AA67" s="53"/>
      <c r="AB67" s="53"/>
      <c r="AC67" s="53"/>
      <c r="AD67" s="53"/>
      <c r="AE67" s="38"/>
      <c r="AF67" s="53"/>
      <c r="AG67" s="53"/>
      <c r="AH67" s="53"/>
      <c r="AI67" s="40"/>
      <c r="AJ67" s="53"/>
      <c r="AK67" s="40"/>
      <c r="AL67" s="40"/>
      <c r="AM67" s="40"/>
      <c r="AN67" s="40"/>
      <c r="AO67" s="40"/>
      <c r="AP67" s="40"/>
      <c r="AQ67" s="40"/>
      <c r="AR67" s="40"/>
      <c r="AS67" s="40"/>
      <c r="AT67" s="40"/>
      <c r="AU67" s="40"/>
      <c r="AV67" s="40"/>
      <c r="AW67" s="40"/>
    </row>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0266-135B-4F7C-945B-2DCD314B3578}">
  <dimension ref="A1:BQ82"/>
  <sheetViews>
    <sheetView showGridLines="0" showRowColHeaders="0" zoomScaleNormal="100" workbookViewId="0">
      <pane xSplit="2" ySplit="5" topLeftCell="BH6" activePane="bottomRight" state="frozen"/>
      <selection activeCell="D4" sqref="D4"/>
      <selection pane="topRight" activeCell="D4" sqref="D4"/>
      <selection pane="bottomLeft" activeCell="D4" sqref="D4"/>
      <selection pane="bottomRight" activeCell="BQ5" sqref="BQ5"/>
    </sheetView>
  </sheetViews>
  <sheetFormatPr defaultRowHeight="14.4" outlineLevelCol="1" x14ac:dyDescent="0.3"/>
  <cols>
    <col min="1" max="1" width="32.88671875" hidden="1" customWidth="1"/>
    <col min="2" max="2" width="42.77734375" customWidth="1"/>
    <col min="3" max="6" width="15.109375" customWidth="1" outlineLevel="1"/>
    <col min="7" max="7" width="15.109375" customWidth="1"/>
    <col min="8" max="11" width="15.109375" customWidth="1" outlineLevel="1"/>
    <col min="12" max="12" width="15.109375" customWidth="1"/>
    <col min="13" max="16" width="15.109375" customWidth="1" outlineLevel="1"/>
    <col min="17" max="17" width="15.109375" customWidth="1"/>
    <col min="18" max="21" width="15.109375" customWidth="1" outlineLevel="1"/>
    <col min="22" max="22" width="15.109375" customWidth="1"/>
    <col min="23" max="26" width="15.109375" customWidth="1" outlineLevel="1"/>
    <col min="27" max="27" width="10.5546875" bestFit="1" customWidth="1"/>
    <col min="28" max="28" width="15.109375" customWidth="1" outlineLevel="1" collapsed="1"/>
    <col min="29" max="31" width="15.109375" customWidth="1" outlineLevel="1"/>
    <col min="32" max="32" width="15.109375" customWidth="1"/>
    <col min="33" max="36" width="15.109375" customWidth="1" outlineLevel="1"/>
    <col min="37" max="37" width="15.109375" customWidth="1"/>
    <col min="38" max="41" width="15.109375" customWidth="1" outlineLevel="1"/>
    <col min="42" max="42" width="15.109375" customWidth="1"/>
    <col min="43" max="46" width="15.109375" customWidth="1" outlineLevel="1"/>
    <col min="47" max="47" width="15.109375" style="7" customWidth="1"/>
    <col min="48" max="48" width="15.109375" style="7" customWidth="1" outlineLevel="1"/>
    <col min="49" max="49" width="11.5546875" style="2" bestFit="1" customWidth="1"/>
    <col min="50" max="51" width="15.109375" style="7" customWidth="1" outlineLevel="1"/>
    <col min="52" max="52" width="15.109375" style="7" customWidth="1"/>
    <col min="53" max="57" width="15.109375" style="7" customWidth="1" outlineLevel="1"/>
    <col min="58" max="69" width="15.109375" style="7" customWidth="1"/>
  </cols>
  <sheetData>
    <row r="1" spans="1:69" x14ac:dyDescent="0.3">
      <c r="B1" s="41" t="s">
        <v>0</v>
      </c>
      <c r="AL1" s="1"/>
      <c r="AM1" s="1"/>
      <c r="AN1" s="1"/>
      <c r="AO1" s="1"/>
      <c r="AQ1" s="1"/>
      <c r="AR1" s="1"/>
      <c r="AS1" s="1"/>
      <c r="AT1" s="1"/>
      <c r="AU1" s="1"/>
      <c r="AV1" s="1"/>
      <c r="AX1" s="1"/>
      <c r="AY1" s="1"/>
      <c r="BA1" s="1"/>
      <c r="BB1" s="1"/>
      <c r="BC1" s="1"/>
      <c r="BD1" s="1"/>
      <c r="BE1" s="1"/>
      <c r="BF1" s="1"/>
      <c r="BG1" s="1"/>
      <c r="BH1" s="1"/>
      <c r="BI1" s="1"/>
      <c r="BJ1" s="1"/>
      <c r="BK1" s="1"/>
      <c r="BL1" s="1"/>
      <c r="BM1" s="1"/>
      <c r="BN1" s="1"/>
      <c r="BO1" s="1"/>
      <c r="BP1" s="1"/>
      <c r="BQ1" s="1"/>
    </row>
    <row r="2" spans="1:69" x14ac:dyDescent="0.3">
      <c r="B2" s="41" t="s">
        <v>98</v>
      </c>
      <c r="AL2" s="1"/>
      <c r="AM2" s="1"/>
      <c r="AN2" s="1"/>
      <c r="AO2" s="1"/>
      <c r="AQ2" s="1"/>
      <c r="AR2" s="1"/>
      <c r="AS2" s="1"/>
      <c r="AT2" s="1"/>
      <c r="AU2" s="1"/>
      <c r="AV2" s="1"/>
      <c r="AX2" s="1"/>
      <c r="AY2" s="1"/>
      <c r="BA2" s="1"/>
      <c r="BB2" s="1"/>
      <c r="BC2" s="1"/>
      <c r="BD2" s="1"/>
      <c r="BE2" s="1"/>
      <c r="BF2" s="1"/>
      <c r="BG2" s="1"/>
      <c r="BH2" s="1"/>
      <c r="BI2" s="1"/>
      <c r="BJ2" s="1"/>
      <c r="BK2" s="1"/>
      <c r="BL2" s="1"/>
      <c r="BM2" s="1"/>
      <c r="BN2" s="1"/>
      <c r="BO2" s="1"/>
      <c r="BP2" s="1"/>
      <c r="BQ2" s="1"/>
    </row>
    <row r="3" spans="1:69" s="3" customFormat="1" x14ac:dyDescent="0.3">
      <c r="A3"/>
      <c r="B3" s="42">
        <v>1</v>
      </c>
      <c r="AL3" s="4"/>
      <c r="AM3" s="4"/>
      <c r="AN3" s="4"/>
      <c r="AO3" s="4"/>
      <c r="AQ3" s="4"/>
      <c r="AR3" s="4"/>
      <c r="AS3" s="4"/>
      <c r="AT3" s="4"/>
      <c r="AU3" s="4"/>
      <c r="AV3" s="4"/>
      <c r="AW3" s="4"/>
      <c r="AX3" s="4"/>
      <c r="AY3" s="4"/>
      <c r="AZ3" s="54"/>
      <c r="BA3" s="4"/>
      <c r="BB3" s="4"/>
      <c r="BC3" s="4"/>
      <c r="BD3" s="4"/>
      <c r="BE3" s="4"/>
      <c r="BF3" s="4"/>
      <c r="BG3" s="4"/>
      <c r="BH3" s="4"/>
      <c r="BI3" s="4"/>
      <c r="BJ3" s="4"/>
      <c r="BK3" s="4"/>
      <c r="BL3" s="4"/>
      <c r="BM3" s="4"/>
      <c r="BN3" s="4"/>
      <c r="BO3" s="4"/>
      <c r="BP3" s="4"/>
      <c r="BQ3" s="4"/>
    </row>
    <row r="4" spans="1:69" ht="13.2" customHeight="1" x14ac:dyDescent="0.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5"/>
      <c r="AW4" s="6"/>
      <c r="BE4" s="7">
        <v>2022</v>
      </c>
      <c r="BF4" s="56" t="s">
        <v>47</v>
      </c>
      <c r="BG4" s="56" t="s">
        <v>48</v>
      </c>
      <c r="BH4" s="56" t="s">
        <v>49</v>
      </c>
      <c r="BI4" s="56" t="s">
        <v>50</v>
      </c>
      <c r="BJ4" s="56">
        <v>2023</v>
      </c>
      <c r="BK4" s="56" t="s">
        <v>52</v>
      </c>
      <c r="BL4" s="57"/>
      <c r="BM4" s="57"/>
      <c r="BN4" s="56" t="s">
        <v>55</v>
      </c>
      <c r="BO4" s="56">
        <v>2024</v>
      </c>
      <c r="BP4" s="56" t="s">
        <v>56</v>
      </c>
      <c r="BQ4" s="56" t="s">
        <v>57</v>
      </c>
    </row>
    <row r="5" spans="1:69" s="60" customFormat="1" ht="18.75" customHeight="1" x14ac:dyDescent="0.3">
      <c r="A5"/>
      <c r="B5" s="58" t="str">
        <f>IF('Sumário | Summary'!P1=1,"Principais Indicadores","Main indicators")</f>
        <v>Principais Indicadores</v>
      </c>
      <c r="C5" s="58" t="s">
        <v>1</v>
      </c>
      <c r="D5" s="58" t="s">
        <v>2</v>
      </c>
      <c r="E5" s="58" t="s">
        <v>3</v>
      </c>
      <c r="F5" s="58" t="s">
        <v>4</v>
      </c>
      <c r="G5" s="58">
        <v>2012</v>
      </c>
      <c r="H5" s="58" t="s">
        <v>5</v>
      </c>
      <c r="I5" s="58" t="s">
        <v>6</v>
      </c>
      <c r="J5" s="58" t="s">
        <v>7</v>
      </c>
      <c r="K5" s="58" t="s">
        <v>8</v>
      </c>
      <c r="L5" s="58">
        <v>2013</v>
      </c>
      <c r="M5" s="58" t="s">
        <v>9</v>
      </c>
      <c r="N5" s="58" t="s">
        <v>10</v>
      </c>
      <c r="O5" s="58" t="s">
        <v>11</v>
      </c>
      <c r="P5" s="58" t="s">
        <v>12</v>
      </c>
      <c r="Q5" s="58">
        <v>2014</v>
      </c>
      <c r="R5" s="58" t="s">
        <v>13</v>
      </c>
      <c r="S5" s="58" t="s">
        <v>14</v>
      </c>
      <c r="T5" s="58" t="s">
        <v>15</v>
      </c>
      <c r="U5" s="58" t="s">
        <v>16</v>
      </c>
      <c r="V5" s="58">
        <v>2015</v>
      </c>
      <c r="W5" s="58" t="s">
        <v>17</v>
      </c>
      <c r="X5" s="58" t="s">
        <v>18</v>
      </c>
      <c r="Y5" s="58" t="s">
        <v>19</v>
      </c>
      <c r="Z5" s="58" t="s">
        <v>20</v>
      </c>
      <c r="AA5" s="58">
        <v>2016</v>
      </c>
      <c r="AB5" s="58" t="s">
        <v>21</v>
      </c>
      <c r="AC5" s="58" t="s">
        <v>22</v>
      </c>
      <c r="AD5" s="58" t="s">
        <v>23</v>
      </c>
      <c r="AE5" s="58" t="s">
        <v>24</v>
      </c>
      <c r="AF5" s="58">
        <v>2017</v>
      </c>
      <c r="AG5" s="58" t="s">
        <v>25</v>
      </c>
      <c r="AH5" s="58" t="s">
        <v>26</v>
      </c>
      <c r="AI5" s="58" t="s">
        <v>27</v>
      </c>
      <c r="AJ5" s="58" t="s">
        <v>28</v>
      </c>
      <c r="AK5" s="58">
        <v>2018</v>
      </c>
      <c r="AL5" s="58" t="s">
        <v>29</v>
      </c>
      <c r="AM5" s="58" t="s">
        <v>30</v>
      </c>
      <c r="AN5" s="58" t="s">
        <v>31</v>
      </c>
      <c r="AO5" s="58" t="s">
        <v>32</v>
      </c>
      <c r="AP5" s="59" t="s">
        <v>99</v>
      </c>
      <c r="AQ5" s="58" t="s">
        <v>33</v>
      </c>
      <c r="AR5" s="58" t="s">
        <v>34</v>
      </c>
      <c r="AS5" s="58" t="s">
        <v>35</v>
      </c>
      <c r="AT5" s="58" t="s">
        <v>36</v>
      </c>
      <c r="AU5" s="59" t="s">
        <v>37</v>
      </c>
      <c r="AV5" s="58" t="s">
        <v>38</v>
      </c>
      <c r="AW5" s="58" t="s">
        <v>39</v>
      </c>
      <c r="AX5" s="58" t="s">
        <v>40</v>
      </c>
      <c r="AY5" s="58" t="s">
        <v>41</v>
      </c>
      <c r="AZ5" s="59" t="s">
        <v>100</v>
      </c>
      <c r="BA5" s="58" t="s">
        <v>42</v>
      </c>
      <c r="BB5" s="58" t="s">
        <v>43</v>
      </c>
      <c r="BC5" s="58" t="s">
        <v>44</v>
      </c>
      <c r="BD5" s="59" t="s">
        <v>45</v>
      </c>
      <c r="BE5" s="59" t="s">
        <v>46</v>
      </c>
      <c r="BF5" s="59" t="s">
        <v>47</v>
      </c>
      <c r="BG5" s="59" t="s">
        <v>48</v>
      </c>
      <c r="BH5" s="59" t="s">
        <v>49</v>
      </c>
      <c r="BI5" s="59" t="s">
        <v>50</v>
      </c>
      <c r="BJ5" s="59" t="s">
        <v>51</v>
      </c>
      <c r="BK5" s="59" t="s">
        <v>52</v>
      </c>
      <c r="BL5" s="59" t="s">
        <v>53</v>
      </c>
      <c r="BM5" s="59" t="s">
        <v>54</v>
      </c>
      <c r="BN5" s="59" t="s">
        <v>55</v>
      </c>
      <c r="BO5" s="59">
        <v>2024</v>
      </c>
      <c r="BP5" s="59" t="s">
        <v>56</v>
      </c>
      <c r="BQ5" s="59" t="s">
        <v>57</v>
      </c>
    </row>
    <row r="6" spans="1:69" s="16" customFormat="1" ht="18.75" customHeight="1" x14ac:dyDescent="0.3">
      <c r="A6"/>
      <c r="B6" s="61" t="str">
        <f>IF('Sumário | Summary'!P1=1,"Indicadores Financeiros IFRS","IFRS Financial Indicators")</f>
        <v>Indicadores Financeiros IFRS</v>
      </c>
      <c r="C6" s="62"/>
      <c r="D6" s="61"/>
      <c r="E6" s="62"/>
      <c r="F6" s="61"/>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1"/>
      <c r="AV6" s="61"/>
      <c r="AW6" s="61"/>
      <c r="AX6" s="61"/>
      <c r="AY6" s="61"/>
      <c r="AZ6" s="61"/>
      <c r="BA6" s="61"/>
      <c r="BB6" s="61"/>
      <c r="BC6" s="61"/>
      <c r="BD6" s="61"/>
      <c r="BE6" s="61"/>
      <c r="BF6" s="61"/>
      <c r="BG6" s="61"/>
      <c r="BH6" s="61"/>
      <c r="BI6" s="61"/>
      <c r="BJ6" s="61"/>
      <c r="BK6" s="61"/>
      <c r="BL6" s="61"/>
      <c r="BM6" s="61"/>
      <c r="BN6" s="61"/>
      <c r="BO6" s="61"/>
      <c r="BP6" s="61"/>
      <c r="BQ6" s="61"/>
    </row>
    <row r="7" spans="1:69" s="16" customFormat="1" ht="15" customHeight="1" x14ac:dyDescent="0.3">
      <c r="A7" t="s">
        <v>58</v>
      </c>
      <c r="B7" s="17" t="str">
        <f>IF('Sumário | Summary'!P1=1,"Receita Bruta (R mil)","Gross Revenue (R 000')")</f>
        <v>Receita Bruta (R mil)</v>
      </c>
      <c r="C7" s="63">
        <v>51413</v>
      </c>
      <c r="D7" s="63">
        <v>95260.668163717302</v>
      </c>
      <c r="E7" s="63">
        <v>61805.000000000007</v>
      </c>
      <c r="F7" s="63">
        <v>176715.37758555313</v>
      </c>
      <c r="G7" s="63">
        <v>385194.04574927042</v>
      </c>
      <c r="H7" s="63">
        <v>72182</v>
      </c>
      <c r="I7" s="63">
        <v>92830.000000000015</v>
      </c>
      <c r="J7" s="63">
        <v>86338.000000000015</v>
      </c>
      <c r="K7" s="63">
        <v>83233.590599999996</v>
      </c>
      <c r="L7" s="63">
        <v>334583.5906</v>
      </c>
      <c r="M7" s="63">
        <v>97687.000000000015</v>
      </c>
      <c r="N7" s="63">
        <v>86736</v>
      </c>
      <c r="O7" s="63">
        <v>120824.00000000001</v>
      </c>
      <c r="P7" s="63">
        <v>95583</v>
      </c>
      <c r="Q7" s="63">
        <v>400830</v>
      </c>
      <c r="R7" s="63">
        <v>87723</v>
      </c>
      <c r="S7" s="63">
        <v>95332</v>
      </c>
      <c r="T7" s="63">
        <v>114430</v>
      </c>
      <c r="U7" s="63">
        <v>111012.70880300002</v>
      </c>
      <c r="V7" s="63">
        <v>408497.70880299999</v>
      </c>
      <c r="W7" s="63">
        <v>99500.907622903789</v>
      </c>
      <c r="X7" s="63">
        <v>96757.999999999985</v>
      </c>
      <c r="Y7" s="63">
        <v>131274</v>
      </c>
      <c r="Z7" s="63">
        <v>121823</v>
      </c>
      <c r="AA7" s="63">
        <v>449355.90762290382</v>
      </c>
      <c r="AB7" s="63">
        <v>103931</v>
      </c>
      <c r="AC7" s="63">
        <v>114249</v>
      </c>
      <c r="AD7" s="63">
        <v>138060</v>
      </c>
      <c r="AE7" s="63">
        <v>118570.66837000003</v>
      </c>
      <c r="AF7" s="63">
        <v>474811.46158220875</v>
      </c>
      <c r="AG7" s="63">
        <v>110682.18310000001</v>
      </c>
      <c r="AH7" s="63">
        <v>174347.44369999997</v>
      </c>
      <c r="AI7" s="63">
        <v>118294.93011000002</v>
      </c>
      <c r="AJ7" s="63">
        <v>121244.84946</v>
      </c>
      <c r="AK7" s="63">
        <v>524569.40636999998</v>
      </c>
      <c r="AL7" s="63">
        <v>117686.33080000001</v>
      </c>
      <c r="AM7" s="63">
        <v>122077.61378</v>
      </c>
      <c r="AN7" s="63">
        <v>123392.79361999998</v>
      </c>
      <c r="AO7" s="63">
        <v>136614.00153000001</v>
      </c>
      <c r="AP7" s="64">
        <v>499770.73973000003</v>
      </c>
      <c r="AQ7" s="63">
        <v>136574.48824999999</v>
      </c>
      <c r="AR7" s="63">
        <v>102828.25524157073</v>
      </c>
      <c r="AS7" s="63">
        <v>152621.40886842928</v>
      </c>
      <c r="AT7" s="63">
        <v>137199.40855668671</v>
      </c>
      <c r="AU7" s="64">
        <v>529223.56091668666</v>
      </c>
      <c r="AV7" s="64">
        <v>131899.57053</v>
      </c>
      <c r="AW7" s="64">
        <v>132161.84333227499</v>
      </c>
      <c r="AX7" s="64">
        <v>140056.03486999997</v>
      </c>
      <c r="AY7" s="65">
        <v>2037258.0342724368</v>
      </c>
      <c r="AZ7" s="64">
        <v>2441375.4830047116</v>
      </c>
      <c r="BA7" s="64">
        <v>176382.61993444801</v>
      </c>
      <c r="BB7" s="65">
        <v>128153.737171142</v>
      </c>
      <c r="BC7" s="64">
        <v>128461.11733990995</v>
      </c>
      <c r="BD7" s="64">
        <v>142799.57443843904</v>
      </c>
      <c r="BE7" s="64">
        <v>575797.04888393893</v>
      </c>
      <c r="BF7" s="64">
        <v>118787.59779005199</v>
      </c>
      <c r="BG7" s="64">
        <v>119258.34112362798</v>
      </c>
      <c r="BH7" s="64">
        <v>120698.67275587999</v>
      </c>
      <c r="BI7" s="64">
        <v>129979.36749409902</v>
      </c>
      <c r="BJ7" s="64">
        <v>488723.97916365898</v>
      </c>
      <c r="BK7" s="64">
        <v>123032.084700028</v>
      </c>
      <c r="BL7" s="64">
        <v>1132577.200332012</v>
      </c>
      <c r="BM7" s="64">
        <v>95000.513116359944</v>
      </c>
      <c r="BN7" s="64">
        <v>84238.385222507874</v>
      </c>
      <c r="BO7" s="64">
        <v>1434848.1833709078</v>
      </c>
      <c r="BP7" s="64">
        <v>91218.237244407996</v>
      </c>
      <c r="BQ7" s="64">
        <v>79314.583290422015</v>
      </c>
    </row>
    <row r="8" spans="1:69" s="16" customFormat="1" ht="15" customHeight="1" x14ac:dyDescent="0.3">
      <c r="A8" t="s">
        <v>66</v>
      </c>
      <c r="B8" s="17" t="str">
        <f>IF('Sumário | Summary'!P1=1,"Receita Líquida (R mil)","Net Revenue (R 000')")</f>
        <v>Receita Líquida (R mil)</v>
      </c>
      <c r="C8" s="63">
        <v>49503</v>
      </c>
      <c r="D8" s="63">
        <v>92120.126433717305</v>
      </c>
      <c r="E8" s="63">
        <v>60126.000000000007</v>
      </c>
      <c r="F8" s="63">
        <v>171090.53258555313</v>
      </c>
      <c r="G8" s="63">
        <v>372839.65901927039</v>
      </c>
      <c r="H8" s="63">
        <v>70181</v>
      </c>
      <c r="I8" s="63">
        <v>88540</v>
      </c>
      <c r="J8" s="63">
        <v>83271.000000000015</v>
      </c>
      <c r="K8" s="63">
        <v>80301.782599999991</v>
      </c>
      <c r="L8" s="63">
        <v>322293.78259999998</v>
      </c>
      <c r="M8" s="63">
        <v>94351.000000000015</v>
      </c>
      <c r="N8" s="63">
        <v>82742</v>
      </c>
      <c r="O8" s="63">
        <v>115487.00000000001</v>
      </c>
      <c r="P8" s="63">
        <v>89281</v>
      </c>
      <c r="Q8" s="63">
        <v>381861</v>
      </c>
      <c r="R8" s="63">
        <v>82368</v>
      </c>
      <c r="S8" s="63">
        <v>90883.999999999985</v>
      </c>
      <c r="T8" s="63">
        <v>105330.00000000001</v>
      </c>
      <c r="U8" s="63">
        <v>105699.708803</v>
      </c>
      <c r="V8" s="63">
        <v>384281.70880299999</v>
      </c>
      <c r="W8" s="63">
        <v>92780.907622903804</v>
      </c>
      <c r="X8" s="63">
        <v>90271.999999999971</v>
      </c>
      <c r="Y8" s="63">
        <v>123914</v>
      </c>
      <c r="Z8" s="63">
        <v>114285</v>
      </c>
      <c r="AA8" s="63">
        <v>421249</v>
      </c>
      <c r="AB8" s="63">
        <v>98078</v>
      </c>
      <c r="AC8" s="63">
        <v>106908.99999999999</v>
      </c>
      <c r="AD8" s="63">
        <v>130561</v>
      </c>
      <c r="AE8" s="63">
        <v>110723.66837000003</v>
      </c>
      <c r="AF8" s="63">
        <v>446272.46158220875</v>
      </c>
      <c r="AG8" s="63">
        <v>104534.18310000001</v>
      </c>
      <c r="AH8" s="63">
        <v>165931.44369999997</v>
      </c>
      <c r="AI8" s="63">
        <v>107745.93011000002</v>
      </c>
      <c r="AJ8" s="63">
        <v>111555.84946</v>
      </c>
      <c r="AK8" s="63">
        <v>489767.40636999998</v>
      </c>
      <c r="AL8" s="63">
        <v>112317.33080000001</v>
      </c>
      <c r="AM8" s="63">
        <v>114351.61378</v>
      </c>
      <c r="AN8" s="63">
        <v>115682.79361999998</v>
      </c>
      <c r="AO8" s="63">
        <v>128474.00153000001</v>
      </c>
      <c r="AP8" s="64">
        <v>470825.73973000003</v>
      </c>
      <c r="AQ8" s="63">
        <v>129901.48824999999</v>
      </c>
      <c r="AR8" s="63">
        <v>93057.255241570732</v>
      </c>
      <c r="AS8" s="63">
        <v>140270.40886842928</v>
      </c>
      <c r="AT8" s="64">
        <v>123095</v>
      </c>
      <c r="AU8" s="64">
        <v>486324.15236000001</v>
      </c>
      <c r="AV8" s="64">
        <v>118402.57053</v>
      </c>
      <c r="AW8" s="64">
        <v>112836.35893447747</v>
      </c>
      <c r="AX8" s="64">
        <v>124620.92497828401</v>
      </c>
      <c r="AY8" s="65">
        <v>1950251.9637402343</v>
      </c>
      <c r="AZ8" s="64">
        <v>2306111.8181829955</v>
      </c>
      <c r="BA8" s="64">
        <v>153316.65650444801</v>
      </c>
      <c r="BB8" s="65">
        <v>100578.730821142</v>
      </c>
      <c r="BC8" s="64">
        <v>105461.84669991001</v>
      </c>
      <c r="BD8" s="64">
        <v>115141.33222088823</v>
      </c>
      <c r="BE8" s="64">
        <v>474498.56624638825</v>
      </c>
      <c r="BF8" s="64">
        <v>99249.968710051995</v>
      </c>
      <c r="BG8" s="64">
        <v>103972.002553628</v>
      </c>
      <c r="BH8" s="64">
        <v>105909.25096588003</v>
      </c>
      <c r="BI8" s="64">
        <v>115576.31568409898</v>
      </c>
      <c r="BJ8" s="64">
        <v>424707.53791365901</v>
      </c>
      <c r="BK8" s="64">
        <v>112406.98021002801</v>
      </c>
      <c r="BL8" s="64">
        <v>1081428.9709220119</v>
      </c>
      <c r="BM8" s="64">
        <v>85963.801266359864</v>
      </c>
      <c r="BN8" s="64">
        <v>77943.448576857802</v>
      </c>
      <c r="BO8" s="64">
        <v>1357743.2009752577</v>
      </c>
      <c r="BP8" s="64">
        <v>83762.866134407988</v>
      </c>
      <c r="BQ8" s="64">
        <v>74371.678419171993</v>
      </c>
    </row>
    <row r="9" spans="1:69" s="69" customFormat="1" ht="15" customHeight="1" x14ac:dyDescent="0.3">
      <c r="A9" t="s">
        <v>101</v>
      </c>
      <c r="B9" s="13" t="str">
        <f>IF('Sumário | Summary'!P1=1,"NOI (R mil)","NOI (R 000')")</f>
        <v>NOI (R mil)</v>
      </c>
      <c r="C9" s="66">
        <v>45900</v>
      </c>
      <c r="D9" s="66">
        <v>45600</v>
      </c>
      <c r="E9" s="66">
        <v>40900</v>
      </c>
      <c r="F9" s="66">
        <v>50900</v>
      </c>
      <c r="G9" s="66">
        <v>171600</v>
      </c>
      <c r="H9" s="66">
        <v>49272.870370000004</v>
      </c>
      <c r="I9" s="66">
        <v>49062.832999999999</v>
      </c>
      <c r="J9" s="66">
        <v>49746</v>
      </c>
      <c r="K9" s="66">
        <v>53041.78480999999</v>
      </c>
      <c r="L9" s="66">
        <v>201124</v>
      </c>
      <c r="M9" s="66">
        <v>56102.782200000009</v>
      </c>
      <c r="N9" s="66">
        <v>54193.425809999993</v>
      </c>
      <c r="O9" s="66">
        <v>58473.716220000002</v>
      </c>
      <c r="P9" s="66">
        <v>58124.35482000003</v>
      </c>
      <c r="Q9" s="66">
        <v>227541.74601999999</v>
      </c>
      <c r="R9" s="66">
        <v>57146.002190000014</v>
      </c>
      <c r="S9" s="66">
        <v>65243.15187999999</v>
      </c>
      <c r="T9" s="66">
        <v>65743.381359999999</v>
      </c>
      <c r="U9" s="66">
        <v>74943.499300000025</v>
      </c>
      <c r="V9" s="66">
        <v>263075.89814999996</v>
      </c>
      <c r="W9" s="66">
        <v>66029.006682903841</v>
      </c>
      <c r="X9" s="66">
        <v>63315.112810000006</v>
      </c>
      <c r="Y9" s="66">
        <v>72943.689599999983</v>
      </c>
      <c r="Z9" s="66">
        <v>58625.444700000007</v>
      </c>
      <c r="AA9" s="66">
        <v>260913.15574290379</v>
      </c>
      <c r="AB9" s="66">
        <v>68415.653960492025</v>
      </c>
      <c r="AC9" s="66">
        <v>79858.232385516661</v>
      </c>
      <c r="AD9" s="66">
        <v>72220.861395349988</v>
      </c>
      <c r="AE9" s="66">
        <v>76708.697625350032</v>
      </c>
      <c r="AF9" s="66">
        <v>297134.45413670875</v>
      </c>
      <c r="AG9" s="66">
        <v>75852.541129999998</v>
      </c>
      <c r="AH9" s="66">
        <v>77643.212779999987</v>
      </c>
      <c r="AI9" s="66">
        <v>83170.547835070931</v>
      </c>
      <c r="AJ9" s="66">
        <v>84864.160279999996</v>
      </c>
      <c r="AK9" s="66">
        <v>321530.46202507091</v>
      </c>
      <c r="AL9" s="66">
        <v>83670.249850000007</v>
      </c>
      <c r="AM9" s="66">
        <v>84647.447060000006</v>
      </c>
      <c r="AN9" s="66">
        <v>86742.566104335914</v>
      </c>
      <c r="AO9" s="66">
        <v>88266.953598733351</v>
      </c>
      <c r="AP9" s="67">
        <v>343327.21661306929</v>
      </c>
      <c r="AQ9" s="66">
        <v>100728.64113304051</v>
      </c>
      <c r="AR9" s="66">
        <v>75653.375726959493</v>
      </c>
      <c r="AS9" s="66">
        <v>82236.661300000007</v>
      </c>
      <c r="AT9" s="66">
        <v>88181.99259668673</v>
      </c>
      <c r="AU9" s="67">
        <v>346800.67075668671</v>
      </c>
      <c r="AV9" s="67">
        <v>92688.039829999994</v>
      </c>
      <c r="AW9" s="67">
        <v>85895.953782202487</v>
      </c>
      <c r="AX9" s="67">
        <v>94245.327209999989</v>
      </c>
      <c r="AY9" s="67">
        <v>101109.2607440904</v>
      </c>
      <c r="AZ9" s="67">
        <v>373938.58156629291</v>
      </c>
      <c r="BA9" s="67">
        <v>69514.800140000007</v>
      </c>
      <c r="BB9" s="68">
        <v>66684.929789999995</v>
      </c>
      <c r="BC9" s="67">
        <v>66980.070300000021</v>
      </c>
      <c r="BD9" s="67">
        <v>75312.396942449181</v>
      </c>
      <c r="BE9" s="67">
        <v>278492.1971724492</v>
      </c>
      <c r="BF9" s="67">
        <v>62164.474389999996</v>
      </c>
      <c r="BG9" s="67">
        <v>66585.400049999997</v>
      </c>
      <c r="BH9" s="67">
        <v>71877.737870000012</v>
      </c>
      <c r="BI9" s="67">
        <v>76843.342780000006</v>
      </c>
      <c r="BJ9" s="67">
        <v>277470.95509</v>
      </c>
      <c r="BK9" s="67">
        <v>75230.586329999991</v>
      </c>
      <c r="BL9" s="67">
        <v>62652.973809999996</v>
      </c>
      <c r="BM9" s="67">
        <v>57699.726830000029</v>
      </c>
      <c r="BN9" s="67">
        <v>30790.496437219903</v>
      </c>
      <c r="BO9" s="67">
        <v>226373.78340721992</v>
      </c>
      <c r="BP9" s="67">
        <v>44971.111069999992</v>
      </c>
      <c r="BQ9" s="67">
        <v>38967.961417500002</v>
      </c>
    </row>
    <row r="10" spans="1:69" s="71" customFormat="1" ht="15" customHeight="1" x14ac:dyDescent="0.3">
      <c r="A10" t="s">
        <v>102</v>
      </c>
      <c r="B10" s="17" t="str">
        <f>IF('Sumário | Summary'!P1=1,"Margem NOI (%)","NOI Margin (%)")</f>
        <v>Margem NOI (%)</v>
      </c>
      <c r="C10" s="70">
        <v>1.1022790038663819</v>
      </c>
      <c r="D10" s="70">
        <v>1.0599709561106256</v>
      </c>
      <c r="E10" s="70">
        <v>0.95869860766021275</v>
      </c>
      <c r="F10" s="70">
        <v>0.95255463786332184</v>
      </c>
      <c r="G10" s="70">
        <v>0.94933399125241769</v>
      </c>
      <c r="H10" s="70">
        <v>0.95491909474989822</v>
      </c>
      <c r="I10" s="70">
        <v>0.95465983694277423</v>
      </c>
      <c r="J10" s="70">
        <v>0.95927340043966203</v>
      </c>
      <c r="K10" s="70">
        <v>0.96349242248090683</v>
      </c>
      <c r="L10" s="70">
        <v>0.95818237952826646</v>
      </c>
      <c r="M10" s="70">
        <v>0.86566344489191327</v>
      </c>
      <c r="N10" s="70">
        <v>0.83328350159911413</v>
      </c>
      <c r="O10" s="70">
        <v>0.86021119542191371</v>
      </c>
      <c r="P10" s="70">
        <v>0.7595869737719062</v>
      </c>
      <c r="Q10" s="70">
        <v>0.82940908070947938</v>
      </c>
      <c r="R10" s="70">
        <v>0.84685836084765864</v>
      </c>
      <c r="S10" s="70">
        <v>0.85183836064289531</v>
      </c>
      <c r="T10" s="70">
        <v>0.83856353775510195</v>
      </c>
      <c r="U10" s="70">
        <v>0.84614017172994915</v>
      </c>
      <c r="V10" s="70">
        <v>0.84578892885149737</v>
      </c>
      <c r="W10" s="70">
        <v>0.80700868570592743</v>
      </c>
      <c r="X10" s="70">
        <v>0.79990793539095184</v>
      </c>
      <c r="Y10" s="70">
        <v>0.91286874077040503</v>
      </c>
      <c r="Z10" s="70">
        <v>0.80852645464700945</v>
      </c>
      <c r="AA10" s="70">
        <v>0.83255776794410696</v>
      </c>
      <c r="AB10" s="70">
        <v>0.81825161412825942</v>
      </c>
      <c r="AC10" s="70">
        <v>0.86081957944935505</v>
      </c>
      <c r="AD10" s="70">
        <v>0.84554882038272849</v>
      </c>
      <c r="AE10" s="70">
        <v>0.82408331094601017</v>
      </c>
      <c r="AF10" s="70">
        <v>0.83728275739585678</v>
      </c>
      <c r="AG10" s="70">
        <v>0.8640404488562653</v>
      </c>
      <c r="AH10" s="70">
        <v>0.86881842406804866</v>
      </c>
      <c r="AI10" s="70">
        <v>0.87321891590555978</v>
      </c>
      <c r="AJ10" s="70">
        <v>0.89051495664254821</v>
      </c>
      <c r="AK10" s="70">
        <v>0.87444072765854708</v>
      </c>
      <c r="AL10" s="70">
        <v>0.89560336945297614</v>
      </c>
      <c r="AM10" s="70">
        <v>0.87837153342520558</v>
      </c>
      <c r="AN10" s="70">
        <v>0.89320541264976194</v>
      </c>
      <c r="AO10" s="70">
        <v>0.88967123499477252</v>
      </c>
      <c r="AP10" s="70">
        <v>0.88917522328273058</v>
      </c>
      <c r="AQ10" s="70">
        <v>0.90209744477846232</v>
      </c>
      <c r="AR10" s="70">
        <v>0.79463445095545482</v>
      </c>
      <c r="AS10" s="70">
        <v>0.80701507577807874</v>
      </c>
      <c r="AT10" s="70">
        <v>0.77487610843376808</v>
      </c>
      <c r="AU10" s="70">
        <v>0.82069511878528967</v>
      </c>
      <c r="AV10" s="70">
        <v>0.79773115097338321</v>
      </c>
      <c r="AW10" s="70">
        <v>0.75047766168966101</v>
      </c>
      <c r="AX10" s="70">
        <v>0.7999634953593262</v>
      </c>
      <c r="AY10" s="70">
        <v>0.97716365629708368</v>
      </c>
      <c r="AZ10" s="70">
        <v>0.82742801811289757</v>
      </c>
      <c r="BA10" s="70">
        <v>0.73261519232346306</v>
      </c>
      <c r="BB10" s="70">
        <v>0.68465619329180361</v>
      </c>
      <c r="BC10" s="70">
        <v>0.69254538913082464</v>
      </c>
      <c r="BD10" s="70">
        <v>0.69800868852717735</v>
      </c>
      <c r="BE10" s="70">
        <v>0.70167401851768108</v>
      </c>
      <c r="BF10" s="70">
        <v>0.70959826008638005</v>
      </c>
      <c r="BG10" s="70">
        <v>0.76088044250971043</v>
      </c>
      <c r="BH10" s="70">
        <v>0.82100732391724407</v>
      </c>
      <c r="BI10" s="70">
        <v>0.83171927901396125</v>
      </c>
      <c r="BJ10" s="70">
        <v>0.78148648618332861</v>
      </c>
      <c r="BK10" s="70">
        <v>0.84459404629287105</v>
      </c>
      <c r="BL10" s="70">
        <v>0.78580920412954913</v>
      </c>
      <c r="BM10" s="70">
        <v>0.86200556485460655</v>
      </c>
      <c r="BN10" s="70">
        <v>0.84319358611118633</v>
      </c>
      <c r="BO10" s="70">
        <v>0.83147180685981925</v>
      </c>
      <c r="BP10" s="70">
        <v>0.84804101854468605</v>
      </c>
      <c r="BQ10" s="70">
        <f>BQ9/(INDEX('DRE - IFRS'!$1:$1048576,7,MATCH(BQ$5,'DRE - IFRS'!$5:$5,0))+INDEX('DRE - IFRS'!$1:$1048576,8,MATCH(BQ$5,'DRE - IFRS'!$5:$5,0))+INDEX('DRE - IFRS'!$1:$1048576,9,MATCH(BQ$5,'DRE - IFRS'!$5:$5,0))+INDEX('DRE - IFRS'!$1:$1048576,10,MATCH(BQ$5,'DRE - IFRS'!$5:$5,0)))/1000</f>
        <v>0.89349779274294983</v>
      </c>
    </row>
    <row r="11" spans="1:69" s="74" customFormat="1" ht="15" customHeight="1" x14ac:dyDescent="0.3">
      <c r="A11" t="s">
        <v>103</v>
      </c>
      <c r="B11" s="13" t="str">
        <f>IF('Sumário | Summary'!P1=1,"EBITDA (R mil)","EBITDA (R 000')")</f>
        <v>EBITDA (R mil)</v>
      </c>
      <c r="C11" s="72">
        <v>38543</v>
      </c>
      <c r="D11" s="72">
        <v>95530.942910578</v>
      </c>
      <c r="E11" s="72">
        <v>45104</v>
      </c>
      <c r="F11" s="72">
        <v>70762.153999999995</v>
      </c>
      <c r="G11" s="72">
        <v>249940.096910578</v>
      </c>
      <c r="H11" s="72">
        <v>70665</v>
      </c>
      <c r="I11" s="72">
        <v>55160</v>
      </c>
      <c r="J11" s="72">
        <v>55022</v>
      </c>
      <c r="K11" s="72">
        <v>56125.046999999999</v>
      </c>
      <c r="L11" s="72">
        <v>236972.04700000002</v>
      </c>
      <c r="M11" s="72">
        <v>64587</v>
      </c>
      <c r="N11" s="72">
        <v>52973.868369999997</v>
      </c>
      <c r="O11" s="72">
        <v>76925.47895955501</v>
      </c>
      <c r="P11" s="72">
        <v>58139</v>
      </c>
      <c r="Q11" s="72">
        <v>252625.34732955499</v>
      </c>
      <c r="R11" s="72">
        <v>50511</v>
      </c>
      <c r="S11" s="72">
        <v>78606.633955279991</v>
      </c>
      <c r="T11" s="72">
        <v>77249.646920000014</v>
      </c>
      <c r="U11" s="72">
        <v>79539.186653000012</v>
      </c>
      <c r="V11" s="72">
        <v>285906.46752827999</v>
      </c>
      <c r="W11" s="72">
        <v>104474.30345290384</v>
      </c>
      <c r="X11" s="72">
        <v>66534.275289690995</v>
      </c>
      <c r="Y11" s="72">
        <v>71452.066524792972</v>
      </c>
      <c r="Z11" s="72">
        <v>77893.519621044004</v>
      </c>
      <c r="AA11" s="72">
        <v>320354.16488843178</v>
      </c>
      <c r="AB11" s="73">
        <v>58900.032124704005</v>
      </c>
      <c r="AC11" s="72">
        <v>70156.061523644603</v>
      </c>
      <c r="AD11" s="72">
        <v>336072.87250301009</v>
      </c>
      <c r="AE11" s="72">
        <v>59507.97020535003</v>
      </c>
      <c r="AF11" s="72">
        <v>524636.93635670876</v>
      </c>
      <c r="AG11" s="72">
        <v>74931.864249999999</v>
      </c>
      <c r="AH11" s="72">
        <v>97606.565220000004</v>
      </c>
      <c r="AI11" s="72">
        <v>35545.096720000023</v>
      </c>
      <c r="AJ11" s="72">
        <v>51809.351539999989</v>
      </c>
      <c r="AK11" s="72">
        <v>259892.87772999998</v>
      </c>
      <c r="AL11" s="72">
        <v>75966.516340000016</v>
      </c>
      <c r="AM11" s="72">
        <v>53334.103700000007</v>
      </c>
      <c r="AN11" s="72">
        <v>80590.299764335912</v>
      </c>
      <c r="AO11" s="72">
        <v>105860.88135873337</v>
      </c>
      <c r="AP11" s="68">
        <v>315751.80116306932</v>
      </c>
      <c r="AQ11" s="72">
        <v>89369.90338304051</v>
      </c>
      <c r="AR11" s="72">
        <v>48252.473168530225</v>
      </c>
      <c r="AS11" s="72">
        <v>96266.775808429273</v>
      </c>
      <c r="AT11" s="72">
        <v>78741.780326686712</v>
      </c>
      <c r="AU11" s="68">
        <v>312630.93268668675</v>
      </c>
      <c r="AV11" s="68">
        <v>78251.85093324857</v>
      </c>
      <c r="AW11" s="68">
        <v>78843.154156027158</v>
      </c>
      <c r="AX11" s="68">
        <v>94395.934778370371</v>
      </c>
      <c r="AY11" s="68">
        <v>1457206.478504915</v>
      </c>
      <c r="AZ11" s="68">
        <v>1708697.4183725612</v>
      </c>
      <c r="BA11" s="68">
        <v>63282.598827142006</v>
      </c>
      <c r="BB11" s="68">
        <v>48907.732981191992</v>
      </c>
      <c r="BC11" s="68">
        <v>63249.45082197075</v>
      </c>
      <c r="BD11" s="68">
        <v>31717.199863819958</v>
      </c>
      <c r="BE11" s="68">
        <v>207156.98249412471</v>
      </c>
      <c r="BF11" s="68">
        <v>52823.642780871982</v>
      </c>
      <c r="BG11" s="68">
        <v>53870.359985553041</v>
      </c>
      <c r="BH11" s="68">
        <v>63818.315343321708</v>
      </c>
      <c r="BI11" s="68">
        <v>65246.718390001857</v>
      </c>
      <c r="BJ11" s="68">
        <v>235759.03649974859</v>
      </c>
      <c r="BK11" s="68">
        <v>65468.529314357977</v>
      </c>
      <c r="BL11" s="68">
        <v>732286.67035417038</v>
      </c>
      <c r="BM11" s="68">
        <v>39586.608657264616</v>
      </c>
      <c r="BN11" s="68">
        <v>55514.99714423262</v>
      </c>
      <c r="BO11" s="68">
        <v>892856.80547002563</v>
      </c>
      <c r="BP11" s="68">
        <v>54458.008062215638</v>
      </c>
      <c r="BQ11" s="68">
        <v>46019.257698687077</v>
      </c>
    </row>
    <row r="12" spans="1:69" s="16" customFormat="1" ht="15" customHeight="1" x14ac:dyDescent="0.3">
      <c r="A12" t="s">
        <v>104</v>
      </c>
      <c r="B12" s="17" t="str">
        <f>IF('Sumário | Summary'!P1=1,"Margem EBITDA (%)","EBITDA Margin (%)")</f>
        <v>Margem EBITDA (%)</v>
      </c>
      <c r="C12" s="70">
        <f t="shared" ref="C12:BM12" si="0">C11/C8</f>
        <v>0.77859927681150642</v>
      </c>
      <c r="D12" s="70">
        <f t="shared" si="0"/>
        <v>1.0370257468037114</v>
      </c>
      <c r="E12" s="70">
        <f t="shared" si="0"/>
        <v>0.75015800153012002</v>
      </c>
      <c r="F12" s="70">
        <f t="shared" si="0"/>
        <v>0.41359479645441904</v>
      </c>
      <c r="G12" s="70">
        <f t="shared" si="0"/>
        <v>0.67036885927862011</v>
      </c>
      <c r="H12" s="70">
        <f t="shared" si="0"/>
        <v>1.0068964534560636</v>
      </c>
      <c r="I12" s="70">
        <f t="shared" si="0"/>
        <v>0.6229952563812966</v>
      </c>
      <c r="J12" s="70">
        <f t="shared" si="0"/>
        <v>0.66075824716888221</v>
      </c>
      <c r="K12" s="70">
        <f t="shared" si="0"/>
        <v>0.69892653914758807</v>
      </c>
      <c r="L12" s="70">
        <f t="shared" si="0"/>
        <v>0.7352671996595942</v>
      </c>
      <c r="M12" s="70">
        <f t="shared" si="0"/>
        <v>0.68453964451887095</v>
      </c>
      <c r="N12" s="70">
        <f t="shared" si="0"/>
        <v>0.64022948889318598</v>
      </c>
      <c r="O12" s="70">
        <f t="shared" si="0"/>
        <v>0.66609643474637836</v>
      </c>
      <c r="P12" s="70">
        <f t="shared" si="0"/>
        <v>0.65119118289445688</v>
      </c>
      <c r="Q12" s="70">
        <f t="shared" si="0"/>
        <v>0.66156362479948194</v>
      </c>
      <c r="R12" s="70">
        <f t="shared" si="0"/>
        <v>0.61323572261072257</v>
      </c>
      <c r="S12" s="70">
        <f t="shared" si="0"/>
        <v>0.86491168913428107</v>
      </c>
      <c r="T12" s="70">
        <f t="shared" si="0"/>
        <v>0.7334059329725624</v>
      </c>
      <c r="U12" s="70">
        <f t="shared" si="0"/>
        <v>0.75250147378591936</v>
      </c>
      <c r="V12" s="70">
        <f t="shared" si="0"/>
        <v>0.74400228004307234</v>
      </c>
      <c r="W12" s="70">
        <f t="shared" si="0"/>
        <v>1.1260323500770908</v>
      </c>
      <c r="X12" s="70">
        <f t="shared" si="0"/>
        <v>0.73704222006481546</v>
      </c>
      <c r="Y12" s="70">
        <f t="shared" si="0"/>
        <v>0.57662626115526072</v>
      </c>
      <c r="Z12" s="70">
        <f t="shared" si="0"/>
        <v>0.68157255651261328</v>
      </c>
      <c r="AA12" s="70">
        <f t="shared" si="0"/>
        <v>0.76048646973270395</v>
      </c>
      <c r="AB12" s="70">
        <f t="shared" si="0"/>
        <v>0.60054275295891035</v>
      </c>
      <c r="AC12" s="70">
        <f t="shared" si="0"/>
        <v>0.65622222192373525</v>
      </c>
      <c r="AD12" s="70">
        <f t="shared" si="0"/>
        <v>2.5740678495340115</v>
      </c>
      <c r="AE12" s="70">
        <f t="shared" si="0"/>
        <v>0.53744579710360629</v>
      </c>
      <c r="AF12" s="70">
        <f t="shared" si="0"/>
        <v>1.1755978276066321</v>
      </c>
      <c r="AG12" s="70">
        <f t="shared" si="0"/>
        <v>0.71681685385457417</v>
      </c>
      <c r="AH12" s="70">
        <f t="shared" si="0"/>
        <v>0.58823429148528539</v>
      </c>
      <c r="AI12" s="70">
        <f t="shared" si="0"/>
        <v>0.32989734910368596</v>
      </c>
      <c r="AJ12" s="70">
        <f t="shared" si="0"/>
        <v>0.46442523445242556</v>
      </c>
      <c r="AK12" s="70">
        <f t="shared" si="0"/>
        <v>0.53064551529927895</v>
      </c>
      <c r="AL12" s="70">
        <f t="shared" si="0"/>
        <v>0.67635614022266288</v>
      </c>
      <c r="AM12" s="70">
        <f t="shared" si="0"/>
        <v>0.46640446896192467</v>
      </c>
      <c r="AN12" s="70">
        <f t="shared" si="0"/>
        <v>0.69664897641616896</v>
      </c>
      <c r="AO12" s="70">
        <f t="shared" si="0"/>
        <v>0.82398679964843902</v>
      </c>
      <c r="AP12" s="70">
        <f t="shared" si="0"/>
        <v>0.67063411049731592</v>
      </c>
      <c r="AQ12" s="70">
        <f t="shared" si="0"/>
        <v>0.68798213620959425</v>
      </c>
      <c r="AR12" s="70">
        <f t="shared" si="0"/>
        <v>0.5185245690222634</v>
      </c>
      <c r="AS12" s="70">
        <f t="shared" si="0"/>
        <v>0.6862942553958441</v>
      </c>
      <c r="AT12" s="70">
        <f t="shared" si="0"/>
        <v>0.63968301171198438</v>
      </c>
      <c r="AU12" s="70">
        <f t="shared" si="0"/>
        <v>0.64284475934327567</v>
      </c>
      <c r="AV12" s="70">
        <f t="shared" si="0"/>
        <v>0.66089655471982911</v>
      </c>
      <c r="AW12" s="70">
        <f t="shared" si="0"/>
        <v>0.69873890739252142</v>
      </c>
      <c r="AX12" s="70">
        <f t="shared" si="0"/>
        <v>0.75746456539958651</v>
      </c>
      <c r="AY12" s="70">
        <f t="shared" si="0"/>
        <v>0.74718882769909056</v>
      </c>
      <c r="AZ12" s="70">
        <f t="shared" si="0"/>
        <v>0.74094300410760561</v>
      </c>
      <c r="BA12" s="70">
        <f t="shared" si="0"/>
        <v>0.41275749334715017</v>
      </c>
      <c r="BB12" s="70">
        <f t="shared" si="0"/>
        <v>0.48626317494664006</v>
      </c>
      <c r="BC12" s="70">
        <f t="shared" si="0"/>
        <v>0.59973775162449083</v>
      </c>
      <c r="BD12" s="70">
        <f t="shared" si="0"/>
        <v>0.27546320032995086</v>
      </c>
      <c r="BE12" s="70">
        <f t="shared" si="0"/>
        <v>0.43658083971228762</v>
      </c>
      <c r="BF12" s="70">
        <f t="shared" si="0"/>
        <v>0.53222830664249898</v>
      </c>
      <c r="BG12" s="70">
        <f t="shared" si="0"/>
        <v>0.51812371275398972</v>
      </c>
      <c r="BH12" s="70">
        <f t="shared" si="0"/>
        <v>0.60257545739683838</v>
      </c>
      <c r="BI12" s="70">
        <f t="shared" si="0"/>
        <v>0.56453364172239762</v>
      </c>
      <c r="BJ12" s="70">
        <f t="shared" si="0"/>
        <v>0.55510914088762242</v>
      </c>
      <c r="BK12" s="70">
        <f t="shared" si="0"/>
        <v>0.58242405580180712</v>
      </c>
      <c r="BL12" s="70">
        <f t="shared" si="0"/>
        <v>0.67714726537225334</v>
      </c>
      <c r="BM12" s="70">
        <f t="shared" si="0"/>
        <v>0.46050323594468601</v>
      </c>
      <c r="BN12" s="70">
        <v>0.71224712477907459</v>
      </c>
      <c r="BO12" s="70">
        <v>0.65760359162814641</v>
      </c>
      <c r="BP12" s="70">
        <v>0.65014499354440614</v>
      </c>
      <c r="BQ12" s="70">
        <f>BQ11/BQ8</f>
        <v>0.6187739563885376</v>
      </c>
    </row>
    <row r="13" spans="1:69" s="74" customFormat="1" ht="15" customHeight="1" x14ac:dyDescent="0.3">
      <c r="A13" t="s">
        <v>105</v>
      </c>
      <c r="B13" s="13" t="str">
        <f>IF('Sumário | Summary'!P1=1,"EBITDA Ajustado (R mil)","Adjusted EBITDA (R 000')")</f>
        <v>EBITDA Ajustado (R mil)</v>
      </c>
      <c r="C13" s="72"/>
      <c r="D13" s="72"/>
      <c r="E13" s="72"/>
      <c r="F13" s="72"/>
      <c r="G13" s="72"/>
      <c r="H13" s="72"/>
      <c r="I13" s="72"/>
      <c r="J13" s="72"/>
      <c r="K13" s="72"/>
      <c r="L13" s="72"/>
      <c r="M13" s="72"/>
      <c r="N13" s="72"/>
      <c r="O13" s="72"/>
      <c r="P13" s="72"/>
      <c r="Q13" s="72"/>
      <c r="R13" s="72"/>
      <c r="S13" s="72"/>
      <c r="T13" s="72"/>
      <c r="U13" s="72"/>
      <c r="V13" s="72"/>
      <c r="W13" s="72"/>
      <c r="X13" s="72"/>
      <c r="Y13" s="72"/>
      <c r="Z13" s="73"/>
      <c r="AA13" s="73"/>
      <c r="AB13" s="73">
        <v>71980.063055594044</v>
      </c>
      <c r="AC13" s="72">
        <v>58773.074562754606</v>
      </c>
      <c r="AD13" s="72">
        <v>40924.579533010095</v>
      </c>
      <c r="AE13" s="72">
        <v>61968.97020535003</v>
      </c>
      <c r="AF13" s="72">
        <v>233646.68735670875</v>
      </c>
      <c r="AG13" s="72">
        <v>64320.864249999999</v>
      </c>
      <c r="AH13" s="73">
        <v>54055.165220000003</v>
      </c>
      <c r="AI13" s="72">
        <v>63414.235745070939</v>
      </c>
      <c r="AJ13" s="72">
        <v>67800</v>
      </c>
      <c r="AK13" s="72">
        <v>262799.80165507086</v>
      </c>
      <c r="AL13" s="72">
        <v>77178.79833000002</v>
      </c>
      <c r="AM13" s="72">
        <v>74347.816708960861</v>
      </c>
      <c r="AN13" s="72">
        <v>72361.149755375052</v>
      </c>
      <c r="AO13" s="72">
        <v>75466.162858733369</v>
      </c>
      <c r="AP13" s="68">
        <v>299353.92765306932</v>
      </c>
      <c r="AQ13" s="72">
        <v>90867.184883040507</v>
      </c>
      <c r="AR13" s="72">
        <v>52628.754668530222</v>
      </c>
      <c r="AS13" s="72">
        <v>65468.957308429272</v>
      </c>
      <c r="AT13" s="72">
        <v>81793.06182668671</v>
      </c>
      <c r="AU13" s="68">
        <v>290757.9586866867</v>
      </c>
      <c r="AV13" s="68">
        <v>79613.312520318257</v>
      </c>
      <c r="AW13" s="68">
        <v>79753.267568957468</v>
      </c>
      <c r="AX13" s="68">
        <v>94325.727857744452</v>
      </c>
      <c r="AY13" s="68">
        <v>85391.661764141987</v>
      </c>
      <c r="AZ13" s="68">
        <v>339083.96971116215</v>
      </c>
      <c r="BA13" s="68">
        <v>70807.683826884357</v>
      </c>
      <c r="BB13" s="68">
        <v>76614.623913068746</v>
      </c>
      <c r="BC13" s="68">
        <v>67552.801840836386</v>
      </c>
      <c r="BD13" s="68">
        <v>58733.103834932699</v>
      </c>
      <c r="BE13" s="68">
        <v>273708.21341572219</v>
      </c>
      <c r="BF13" s="68">
        <v>59475.333735051987</v>
      </c>
      <c r="BG13" s="68">
        <v>63840.567506590793</v>
      </c>
      <c r="BH13" s="68">
        <v>67866.893965808151</v>
      </c>
      <c r="BI13" s="68">
        <v>71794.598075842659</v>
      </c>
      <c r="BJ13" s="68">
        <v>262977.39328329358</v>
      </c>
      <c r="BK13" s="68">
        <v>67719.413170079119</v>
      </c>
      <c r="BL13" s="68">
        <v>67341.398590243218</v>
      </c>
      <c r="BM13" s="68">
        <v>47610.592469625961</v>
      </c>
      <c r="BN13" s="68">
        <v>22264.486609135987</v>
      </c>
      <c r="BO13" s="68">
        <v>204935.89083908428</v>
      </c>
      <c r="BP13" s="68">
        <v>39530.194766383967</v>
      </c>
      <c r="BQ13" s="68">
        <v>27049.64982141403</v>
      </c>
    </row>
    <row r="14" spans="1:69" s="69" customFormat="1" ht="15" customHeight="1" x14ac:dyDescent="0.3">
      <c r="A14" t="s">
        <v>95</v>
      </c>
      <c r="B14" s="13" t="str">
        <f>IF('Sumário | Summary'!P1=1,"Lucro/Prejuízo do Período (R mil)","Profit / Loss for the Period (R 000')")</f>
        <v>Lucro/Prejuízo do Período (R mil)</v>
      </c>
      <c r="C14" s="66">
        <v>22895.999999999996</v>
      </c>
      <c r="D14" s="66">
        <v>80374.000675026298</v>
      </c>
      <c r="E14" s="66">
        <v>29214.000000000007</v>
      </c>
      <c r="F14" s="66">
        <v>58082.911585553135</v>
      </c>
      <c r="G14" s="66">
        <v>192028.32534057947</v>
      </c>
      <c r="H14" s="66">
        <v>62585</v>
      </c>
      <c r="I14" s="66">
        <v>47374.000000000007</v>
      </c>
      <c r="J14" s="66">
        <v>48715.000000000015</v>
      </c>
      <c r="K14" s="66">
        <v>32326.123100000004</v>
      </c>
      <c r="L14" s="66">
        <v>191000.1231</v>
      </c>
      <c r="M14" s="66">
        <v>48940.000000000015</v>
      </c>
      <c r="N14" s="66">
        <v>30853</v>
      </c>
      <c r="O14" s="66">
        <v>47289</v>
      </c>
      <c r="P14" s="66">
        <v>21737.000000000004</v>
      </c>
      <c r="Q14" s="66">
        <v>148818.99999999997</v>
      </c>
      <c r="R14" s="66">
        <v>-2728.0000000000105</v>
      </c>
      <c r="S14" s="66">
        <v>24515.999999999985</v>
      </c>
      <c r="T14" s="66">
        <v>18877.000000000007</v>
      </c>
      <c r="U14" s="66">
        <v>11581.70880300002</v>
      </c>
      <c r="V14" s="66">
        <v>52238.354436292488</v>
      </c>
      <c r="W14" s="66">
        <v>14205.907622903798</v>
      </c>
      <c r="X14" s="66">
        <v>126.99999999996514</v>
      </c>
      <c r="Y14" s="66">
        <v>-6702.0000000000055</v>
      </c>
      <c r="Z14" s="66">
        <v>6728.9999999999982</v>
      </c>
      <c r="AA14" s="66">
        <v>14358.000000000062</v>
      </c>
      <c r="AB14" s="73">
        <v>-11963.999999999996</v>
      </c>
      <c r="AC14" s="66">
        <v>-6412.0000000000127</v>
      </c>
      <c r="AD14" s="66">
        <v>236690.00000000003</v>
      </c>
      <c r="AE14" s="66">
        <v>4138.6683700000349</v>
      </c>
      <c r="AF14" s="66">
        <v>222453.46158220872</v>
      </c>
      <c r="AG14" s="72">
        <v>21297.183099999998</v>
      </c>
      <c r="AH14" s="73">
        <v>36210.443699999989</v>
      </c>
      <c r="AI14" s="66">
        <v>-7237.0698899999843</v>
      </c>
      <c r="AJ14" s="66">
        <v>-568.15054000000237</v>
      </c>
      <c r="AK14" s="66">
        <v>49702.406369999982</v>
      </c>
      <c r="AL14" s="66">
        <v>3157.340588118574</v>
      </c>
      <c r="AM14" s="66">
        <v>-17144.556097254343</v>
      </c>
      <c r="AN14" s="66">
        <v>8825.7522550625508</v>
      </c>
      <c r="AO14" s="66">
        <v>37971.244124145553</v>
      </c>
      <c r="AP14" s="67">
        <v>32809.780870072333</v>
      </c>
      <c r="AQ14" s="66">
        <v>16414.601320901565</v>
      </c>
      <c r="AR14" s="66">
        <v>889.88916792137024</v>
      </c>
      <c r="AS14" s="66">
        <v>26703.337970322558</v>
      </c>
      <c r="AT14" s="66">
        <v>6645.6914698955698</v>
      </c>
      <c r="AU14" s="67">
        <v>50653.519929041067</v>
      </c>
      <c r="AV14" s="67">
        <v>7125.3002596523193</v>
      </c>
      <c r="AW14" s="67">
        <v>7129.7784932088225</v>
      </c>
      <c r="AX14" s="67">
        <v>9026.6334493300783</v>
      </c>
      <c r="AY14" s="68">
        <v>1263404.28779781</v>
      </c>
      <c r="AZ14" s="67">
        <v>1286686.0000000012</v>
      </c>
      <c r="BA14" s="67">
        <v>-10920.003484422441</v>
      </c>
      <c r="BB14" s="68">
        <v>-29158.816499032924</v>
      </c>
      <c r="BC14" s="67">
        <v>6853.0141910423536</v>
      </c>
      <c r="BD14" s="67">
        <v>-23775.014184583793</v>
      </c>
      <c r="BE14" s="67">
        <v>-57000.819976996805</v>
      </c>
      <c r="BF14" s="68">
        <v>-14880.684853226481</v>
      </c>
      <c r="BG14" s="68">
        <v>-4134.0334936964136</v>
      </c>
      <c r="BH14" s="68">
        <v>3558.733074041912</v>
      </c>
      <c r="BI14" s="68">
        <v>5414.3253190388859</v>
      </c>
      <c r="BJ14" s="68">
        <v>-10041.659953842096</v>
      </c>
      <c r="BK14" s="68">
        <v>6686.220676127512</v>
      </c>
      <c r="BL14" s="68">
        <v>457107.88668578729</v>
      </c>
      <c r="BM14" s="68">
        <v>22570.896551465616</v>
      </c>
      <c r="BN14" s="68">
        <v>59889.559031990939</v>
      </c>
      <c r="BO14" s="68">
        <v>546254.56294537138</v>
      </c>
      <c r="BP14" s="68">
        <v>18701.392631464791</v>
      </c>
      <c r="BQ14" s="68">
        <v>16572.518383235085</v>
      </c>
    </row>
    <row r="15" spans="1:69" s="71" customFormat="1" ht="15" customHeight="1" x14ac:dyDescent="0.3">
      <c r="A15" t="s">
        <v>106</v>
      </c>
      <c r="B15" s="17" t="str">
        <f>IF('Sumário | Summary'!P1=1,"Margem Líquida (%)","Net Margin (%)")</f>
        <v>Margem Líquida (%)</v>
      </c>
      <c r="C15" s="70">
        <f t="shared" ref="C15:BM15" si="1">C14/C8</f>
        <v>0.46251742318647349</v>
      </c>
      <c r="D15" s="70">
        <f t="shared" si="1"/>
        <v>0.87249121105861016</v>
      </c>
      <c r="E15" s="70">
        <f t="shared" si="1"/>
        <v>0.48587965272926859</v>
      </c>
      <c r="F15" s="70">
        <f t="shared" si="1"/>
        <v>0.33948641522001816</v>
      </c>
      <c r="G15" s="70">
        <f t="shared" si="1"/>
        <v>0.51504264821424051</v>
      </c>
      <c r="H15" s="70">
        <f t="shared" si="1"/>
        <v>0.89176557757797692</v>
      </c>
      <c r="I15" s="70">
        <f t="shared" si="1"/>
        <v>0.53505760108425582</v>
      </c>
      <c r="J15" s="70">
        <f t="shared" si="1"/>
        <v>0.58501759315968349</v>
      </c>
      <c r="K15" s="70">
        <f t="shared" si="1"/>
        <v>0.40255797634061496</v>
      </c>
      <c r="L15" s="70">
        <f t="shared" si="1"/>
        <v>0.59262738970379381</v>
      </c>
      <c r="M15" s="70">
        <f t="shared" si="1"/>
        <v>0.5187014446057806</v>
      </c>
      <c r="N15" s="70">
        <f t="shared" si="1"/>
        <v>0.37288197046240118</v>
      </c>
      <c r="O15" s="70">
        <f t="shared" si="1"/>
        <v>0.40947465948548317</v>
      </c>
      <c r="P15" s="70">
        <f t="shared" si="1"/>
        <v>0.24346725507106778</v>
      </c>
      <c r="Q15" s="70">
        <f t="shared" si="1"/>
        <v>0.38972034326626698</v>
      </c>
      <c r="R15" s="70">
        <f t="shared" si="1"/>
        <v>-3.3119658119658245E-2</v>
      </c>
      <c r="S15" s="70">
        <f t="shared" si="1"/>
        <v>0.26975045112451024</v>
      </c>
      <c r="T15" s="70">
        <f t="shared" si="1"/>
        <v>0.17921769676255583</v>
      </c>
      <c r="U15" s="70">
        <f t="shared" si="1"/>
        <v>0.10957181371791351</v>
      </c>
      <c r="V15" s="70">
        <f t="shared" si="1"/>
        <v>0.13593765521395712</v>
      </c>
      <c r="W15" s="70">
        <f t="shared" si="1"/>
        <v>0.15311240196789089</v>
      </c>
      <c r="X15" s="70">
        <f t="shared" si="1"/>
        <v>1.4068592697621099E-3</v>
      </c>
      <c r="Y15" s="70">
        <f t="shared" si="1"/>
        <v>-5.4085898284293991E-2</v>
      </c>
      <c r="Z15" s="70">
        <f t="shared" si="1"/>
        <v>5.8879117994487452E-2</v>
      </c>
      <c r="AA15" s="70">
        <f t="shared" si="1"/>
        <v>3.4084353909445628E-2</v>
      </c>
      <c r="AB15" s="70">
        <f t="shared" si="1"/>
        <v>-0.12198454291482286</v>
      </c>
      <c r="AC15" s="70">
        <f t="shared" si="1"/>
        <v>-5.9976241476395943E-2</v>
      </c>
      <c r="AD15" s="70">
        <f t="shared" si="1"/>
        <v>1.812869080353245</v>
      </c>
      <c r="AE15" s="70">
        <f t="shared" si="1"/>
        <v>3.7378353074159744E-2</v>
      </c>
      <c r="AF15" s="70">
        <f t="shared" si="1"/>
        <v>0.49847006197407973</v>
      </c>
      <c r="AG15" s="70">
        <f t="shared" si="1"/>
        <v>0.20373415153229429</v>
      </c>
      <c r="AH15" s="70">
        <f t="shared" si="1"/>
        <v>0.2182253278376074</v>
      </c>
      <c r="AI15" s="70">
        <f t="shared" si="1"/>
        <v>-6.7167918849570574E-2</v>
      </c>
      <c r="AJ15" s="70">
        <f t="shared" si="1"/>
        <v>-5.0929695103412859E-3</v>
      </c>
      <c r="AK15" s="70">
        <f t="shared" si="1"/>
        <v>0.1014816537882306</v>
      </c>
      <c r="AL15" s="70">
        <f t="shared" si="1"/>
        <v>2.811089406799341E-2</v>
      </c>
      <c r="AM15" s="70">
        <f t="shared" si="1"/>
        <v>-0.14992841404266138</v>
      </c>
      <c r="AN15" s="70">
        <f t="shared" si="1"/>
        <v>7.6292696423409148E-2</v>
      </c>
      <c r="AO15" s="70">
        <f t="shared" si="1"/>
        <v>0.29555586088971375</v>
      </c>
      <c r="AP15" s="70">
        <f t="shared" si="1"/>
        <v>6.9685614233596163E-2</v>
      </c>
      <c r="AQ15" s="70">
        <f t="shared" si="1"/>
        <v>0.12636191888203072</v>
      </c>
      <c r="AR15" s="70">
        <f t="shared" si="1"/>
        <v>9.5628134056960357E-3</v>
      </c>
      <c r="AS15" s="70">
        <f t="shared" si="1"/>
        <v>0.19037042941373139</v>
      </c>
      <c r="AT15" s="70">
        <f t="shared" si="1"/>
        <v>5.3988313659332793E-2</v>
      </c>
      <c r="AU15" s="70">
        <f t="shared" si="1"/>
        <v>0.10415587974241705</v>
      </c>
      <c r="AV15" s="70">
        <f t="shared" si="1"/>
        <v>6.0178594330829678E-2</v>
      </c>
      <c r="AW15" s="70">
        <f t="shared" si="1"/>
        <v>6.3186889053633746E-2</v>
      </c>
      <c r="AX15" s="70">
        <f t="shared" si="1"/>
        <v>7.2432727095413763E-2</v>
      </c>
      <c r="AY15" s="70">
        <f t="shared" si="1"/>
        <v>0.64781592906325125</v>
      </c>
      <c r="AZ15" s="70">
        <f t="shared" si="1"/>
        <v>0.55794605875347003</v>
      </c>
      <c r="BA15" s="70">
        <f t="shared" si="1"/>
        <v>-7.1225160614597868E-2</v>
      </c>
      <c r="BB15" s="70">
        <f t="shared" si="1"/>
        <v>-0.2899103643581038</v>
      </c>
      <c r="BC15" s="70">
        <f t="shared" si="1"/>
        <v>6.498098037807451E-2</v>
      </c>
      <c r="BD15" s="70">
        <f t="shared" si="1"/>
        <v>-0.20648548810407699</v>
      </c>
      <c r="BE15" s="70">
        <f t="shared" si="1"/>
        <v>-0.12012853996148545</v>
      </c>
      <c r="BF15" s="70">
        <f t="shared" si="1"/>
        <v>-0.14993138080172888</v>
      </c>
      <c r="BG15" s="70">
        <f t="shared" si="1"/>
        <v>-3.976102597008372E-2</v>
      </c>
      <c r="BH15" s="70">
        <f t="shared" si="1"/>
        <v>3.3601720733426786E-2</v>
      </c>
      <c r="BI15" s="70">
        <f t="shared" si="1"/>
        <v>4.6846322163770014E-2</v>
      </c>
      <c r="BJ15" s="70">
        <f t="shared" si="1"/>
        <v>-2.3643705508903677E-2</v>
      </c>
      <c r="BK15" s="70">
        <f t="shared" si="1"/>
        <v>5.94822551378444E-2</v>
      </c>
      <c r="BL15" s="70">
        <f t="shared" si="1"/>
        <v>0.42268877473854177</v>
      </c>
      <c r="BM15" s="70">
        <f t="shared" si="1"/>
        <v>0.26256280223729783</v>
      </c>
      <c r="BN15" s="70">
        <v>0.7683719430624828</v>
      </c>
      <c r="BO15" s="70">
        <v>0.40232539006860829</v>
      </c>
      <c r="BP15" s="70">
        <v>0.22326591119095746</v>
      </c>
      <c r="BQ15" s="70">
        <f>BQ14/BQ8</f>
        <v>0.22283372831562878</v>
      </c>
    </row>
    <row r="16" spans="1:69" s="69" customFormat="1" ht="15" customHeight="1" x14ac:dyDescent="0.3">
      <c r="A16" t="s">
        <v>107</v>
      </c>
      <c r="B16" s="13" t="str">
        <f>IF('Sumário | Summary'!P1=1,"FFO (R mil)","FFO (R 000')")</f>
        <v>FFO (R mil)</v>
      </c>
      <c r="C16" s="66">
        <v>24403</v>
      </c>
      <c r="D16" s="66">
        <v>81845.942910578</v>
      </c>
      <c r="E16" s="66">
        <v>34204</v>
      </c>
      <c r="F16" s="66">
        <v>58339.153999999995</v>
      </c>
      <c r="G16" s="66">
        <v>198792.096910578</v>
      </c>
      <c r="H16" s="66">
        <v>64506.725023055988</v>
      </c>
      <c r="I16" s="66">
        <v>49320.439360548822</v>
      </c>
      <c r="J16" s="66">
        <v>49228</v>
      </c>
      <c r="K16" s="66">
        <v>33985.046999999999</v>
      </c>
      <c r="L16" s="66">
        <v>197040.04700000002</v>
      </c>
      <c r="M16" s="66">
        <v>50447.794240000017</v>
      </c>
      <c r="N16" s="66">
        <v>33767.868370000004</v>
      </c>
      <c r="O16" s="66">
        <v>49171.478959554996</v>
      </c>
      <c r="P16" s="66">
        <v>23818.9967058484</v>
      </c>
      <c r="Q16" s="66">
        <v>157792.05460540336</v>
      </c>
      <c r="R16" s="66">
        <v>3713.6887780125371</v>
      </c>
      <c r="S16" s="66">
        <v>18814.433955279994</v>
      </c>
      <c r="T16" s="66">
        <v>25975.64692000001</v>
      </c>
      <c r="U16" s="66">
        <v>16473.186653000008</v>
      </c>
      <c r="V16" s="66">
        <v>64976.819726292495</v>
      </c>
      <c r="W16" s="66">
        <v>-10618.696547096162</v>
      </c>
      <c r="X16" s="66">
        <v>3153.2752896909924</v>
      </c>
      <c r="Y16" s="66">
        <v>528.06652479297554</v>
      </c>
      <c r="Z16" s="66">
        <v>16399.519621044004</v>
      </c>
      <c r="AA16" s="66">
        <v>46810.272128431781</v>
      </c>
      <c r="AB16" s="73">
        <v>-2292.9678752959953</v>
      </c>
      <c r="AC16" s="72">
        <v>4851.0615236445992</v>
      </c>
      <c r="AD16" s="72">
        <v>249325.87250301006</v>
      </c>
      <c r="AE16" s="72">
        <v>24135.97020535003</v>
      </c>
      <c r="AF16" s="72">
        <v>276019.93635670876</v>
      </c>
      <c r="AG16" s="72">
        <v>33037.864249999999</v>
      </c>
      <c r="AH16" s="73">
        <v>48360.565220000004</v>
      </c>
      <c r="AI16" s="72">
        <v>3850.0967200000232</v>
      </c>
      <c r="AJ16" s="72">
        <v>11356.351539999985</v>
      </c>
      <c r="AK16" s="72">
        <v>96604.877729999978</v>
      </c>
      <c r="AL16" s="72">
        <v>29723.516340000009</v>
      </c>
      <c r="AM16" s="72">
        <v>9711.1037000000051</v>
      </c>
      <c r="AN16" s="72">
        <v>36242.299764335912</v>
      </c>
      <c r="AO16" s="72">
        <v>65759.881358733372</v>
      </c>
      <c r="AP16" s="68">
        <v>141436.80116306929</v>
      </c>
      <c r="AQ16" s="72">
        <v>52924.90338304051</v>
      </c>
      <c r="AR16" s="72">
        <v>27710.473168530229</v>
      </c>
      <c r="AS16" s="72">
        <v>68488.775808429273</v>
      </c>
      <c r="AT16" s="72">
        <v>47264.780326686712</v>
      </c>
      <c r="AU16" s="68">
        <v>196388.93268668672</v>
      </c>
      <c r="AV16" s="68">
        <v>46985.551065626161</v>
      </c>
      <c r="AW16" s="68">
        <v>44145.71078952423</v>
      </c>
      <c r="AX16" s="68">
        <v>50462.708189999961</v>
      </c>
      <c r="AY16" s="68">
        <v>1337059.5979791398</v>
      </c>
      <c r="AZ16" s="68">
        <v>1478653.5680242903</v>
      </c>
      <c r="BA16" s="68">
        <v>12623.237722637559</v>
      </c>
      <c r="BB16" s="68">
        <v>-5790.2417022959298</v>
      </c>
      <c r="BC16" s="68">
        <v>28136.53775399036</v>
      </c>
      <c r="BD16" s="68">
        <v>-3687.9335346746338</v>
      </c>
      <c r="BE16" s="68">
        <v>31281.600239657357</v>
      </c>
      <c r="BF16" s="68">
        <v>3465.650383789527</v>
      </c>
      <c r="BG16" s="68">
        <v>14164.798757934597</v>
      </c>
      <c r="BH16" s="68">
        <v>24285.139196401258</v>
      </c>
      <c r="BI16" s="68">
        <v>27026.670445789423</v>
      </c>
      <c r="BJ16" s="68">
        <v>68942.258783914804</v>
      </c>
      <c r="BK16" s="68">
        <v>26328.902246793521</v>
      </c>
      <c r="BL16" s="68">
        <v>593631.69833269948</v>
      </c>
      <c r="BM16" s="68">
        <v>48349.082003968768</v>
      </c>
      <c r="BN16" s="68">
        <v>49858.28971880686</v>
      </c>
      <c r="BO16" s="68">
        <v>718167.97230226861</v>
      </c>
      <c r="BP16" s="68">
        <v>35427.879526421719</v>
      </c>
      <c r="BQ16" s="68">
        <v>21684.117447021119</v>
      </c>
    </row>
    <row r="17" spans="1:69" s="16" customFormat="1" ht="15" customHeight="1" x14ac:dyDescent="0.3">
      <c r="A17" t="s">
        <v>108</v>
      </c>
      <c r="B17" s="17" t="str">
        <f>IF('Sumário | Summary'!P1=1,"Margem FFO (%)","FFO Margin (%)")</f>
        <v>Margem FFO (%)</v>
      </c>
      <c r="C17" s="75">
        <f t="shared" ref="C17:BM17" si="2">C16/C8</f>
        <v>0.49296002262489141</v>
      </c>
      <c r="D17" s="75">
        <f t="shared" si="2"/>
        <v>0.88846971969223432</v>
      </c>
      <c r="E17" s="75">
        <f t="shared" si="2"/>
        <v>0.56887203539234266</v>
      </c>
      <c r="F17" s="75">
        <f t="shared" si="2"/>
        <v>0.34098411594357353</v>
      </c>
      <c r="G17" s="75">
        <f t="shared" si="2"/>
        <v>0.53318388240534076</v>
      </c>
      <c r="H17" s="75">
        <f t="shared" si="2"/>
        <v>0.91914798910041162</v>
      </c>
      <c r="I17" s="75">
        <f t="shared" si="2"/>
        <v>0.55704133002652834</v>
      </c>
      <c r="J17" s="75">
        <f t="shared" si="2"/>
        <v>0.59117820129456822</v>
      </c>
      <c r="K17" s="75">
        <f t="shared" si="2"/>
        <v>0.42321659494517877</v>
      </c>
      <c r="L17" s="75">
        <f t="shared" si="2"/>
        <v>0.61136781916934202</v>
      </c>
      <c r="M17" s="75">
        <f t="shared" si="2"/>
        <v>0.53468213627836492</v>
      </c>
      <c r="N17" s="75">
        <f t="shared" si="2"/>
        <v>0.40811037163713715</v>
      </c>
      <c r="O17" s="75">
        <f t="shared" si="2"/>
        <v>0.42577501328768597</v>
      </c>
      <c r="P17" s="75">
        <f t="shared" si="2"/>
        <v>0.26678684945115311</v>
      </c>
      <c r="Q17" s="75">
        <f t="shared" si="2"/>
        <v>0.41321856540836421</v>
      </c>
      <c r="R17" s="75">
        <f t="shared" si="2"/>
        <v>4.5086547907106367E-2</v>
      </c>
      <c r="S17" s="75">
        <f t="shared" si="2"/>
        <v>0.20701590989921215</v>
      </c>
      <c r="T17" s="75">
        <f t="shared" si="2"/>
        <v>0.24661204709009785</v>
      </c>
      <c r="U17" s="75">
        <f t="shared" si="2"/>
        <v>0.15584893127475163</v>
      </c>
      <c r="V17" s="75">
        <f t="shared" si="2"/>
        <v>0.16908642341757288</v>
      </c>
      <c r="W17" s="75">
        <f t="shared" si="2"/>
        <v>-0.1144491557493111</v>
      </c>
      <c r="X17" s="75">
        <f t="shared" si="2"/>
        <v>3.4930823396966869E-2</v>
      </c>
      <c r="Y17" s="75">
        <f t="shared" si="2"/>
        <v>4.2615566021028742E-3</v>
      </c>
      <c r="Z17" s="75">
        <f t="shared" si="2"/>
        <v>0.14349669353846967</v>
      </c>
      <c r="AA17" s="75">
        <f t="shared" si="2"/>
        <v>0.11112257151573483</v>
      </c>
      <c r="AB17" s="75">
        <f t="shared" si="2"/>
        <v>-2.3379023586288416E-2</v>
      </c>
      <c r="AC17" s="75">
        <f t="shared" si="2"/>
        <v>4.5375614060973353E-2</v>
      </c>
      <c r="AD17" s="75">
        <f t="shared" si="2"/>
        <v>1.9096504507702152</v>
      </c>
      <c r="AE17" s="75">
        <f t="shared" si="2"/>
        <v>0.21798383815008732</v>
      </c>
      <c r="AF17" s="75">
        <f t="shared" si="2"/>
        <v>0.6185009385927851</v>
      </c>
      <c r="AG17" s="75">
        <f t="shared" si="2"/>
        <v>0.31604842808591282</v>
      </c>
      <c r="AH17" s="75">
        <f t="shared" si="2"/>
        <v>0.29144907162644068</v>
      </c>
      <c r="AI17" s="75">
        <f t="shared" si="2"/>
        <v>3.5733105798700524E-2</v>
      </c>
      <c r="AJ17" s="75">
        <f t="shared" si="2"/>
        <v>0.10179969580234315</v>
      </c>
      <c r="AK17" s="75">
        <f t="shared" si="2"/>
        <v>0.19724644080749382</v>
      </c>
      <c r="AL17" s="75">
        <f t="shared" si="2"/>
        <v>0.26463873498674712</v>
      </c>
      <c r="AM17" s="75">
        <f t="shared" si="2"/>
        <v>8.4923188916975909E-2</v>
      </c>
      <c r="AN17" s="75">
        <f t="shared" si="2"/>
        <v>0.31329032287538144</v>
      </c>
      <c r="AO17" s="75">
        <f t="shared" si="2"/>
        <v>0.51185360910065336</v>
      </c>
      <c r="AP17" s="75">
        <f t="shared" si="2"/>
        <v>0.30040159071204925</v>
      </c>
      <c r="AQ17" s="75">
        <f t="shared" si="2"/>
        <v>0.40742337979365306</v>
      </c>
      <c r="AR17" s="75">
        <f t="shared" si="2"/>
        <v>0.29777875026074646</v>
      </c>
      <c r="AS17" s="75">
        <f t="shared" si="2"/>
        <v>0.48826246648122568</v>
      </c>
      <c r="AT17" s="75">
        <f t="shared" si="2"/>
        <v>0.38396994456872102</v>
      </c>
      <c r="AU17" s="75">
        <f t="shared" si="2"/>
        <v>0.40382311208206334</v>
      </c>
      <c r="AV17" s="75">
        <f t="shared" si="2"/>
        <v>0.39682880916610924</v>
      </c>
      <c r="AW17" s="75">
        <f t="shared" si="2"/>
        <v>0.39123657663536487</v>
      </c>
      <c r="AX17" s="75">
        <f t="shared" si="2"/>
        <v>0.40492965526289754</v>
      </c>
      <c r="AY17" s="75">
        <f t="shared" si="2"/>
        <v>0.68558300303664288</v>
      </c>
      <c r="AZ17" s="75">
        <f t="shared" si="2"/>
        <v>0.6411890162331042</v>
      </c>
      <c r="BA17" s="75">
        <f t="shared" si="2"/>
        <v>8.2334418258536282E-2</v>
      </c>
      <c r="BB17" s="75">
        <f t="shared" si="2"/>
        <v>-5.7569246052554091E-2</v>
      </c>
      <c r="BC17" s="75">
        <f t="shared" si="2"/>
        <v>0.26679352424059505</v>
      </c>
      <c r="BD17" s="75">
        <f t="shared" si="2"/>
        <v>-3.2029623624639562E-2</v>
      </c>
      <c r="BE17" s="75">
        <f t="shared" si="2"/>
        <v>6.5925594859256254E-2</v>
      </c>
      <c r="BF17" s="75">
        <f t="shared" si="2"/>
        <v>3.491840278473083E-2</v>
      </c>
      <c r="BG17" s="75">
        <f t="shared" si="2"/>
        <v>0.13623666381368865</v>
      </c>
      <c r="BH17" s="75">
        <f t="shared" si="2"/>
        <v>0.22930139694997009</v>
      </c>
      <c r="BI17" s="75">
        <f t="shared" si="2"/>
        <v>0.23384263709928726</v>
      </c>
      <c r="BJ17" s="75">
        <f t="shared" si="2"/>
        <v>0.1623287854098093</v>
      </c>
      <c r="BK17" s="75">
        <f t="shared" si="2"/>
        <v>0.23422835661627958</v>
      </c>
      <c r="BL17" s="75">
        <f t="shared" si="2"/>
        <v>0.54893267546418423</v>
      </c>
      <c r="BM17" s="75">
        <f t="shared" si="2"/>
        <v>0.56243536572049158</v>
      </c>
      <c r="BN17" s="75">
        <v>0.63967261686712551</v>
      </c>
      <c r="BO17" s="75">
        <v>0.52894241840902867</v>
      </c>
      <c r="BP17" s="75">
        <v>0.42295448044451173</v>
      </c>
      <c r="BQ17" s="75">
        <f>BQ16/BQ8</f>
        <v>0.2915641801816759</v>
      </c>
    </row>
    <row r="18" spans="1:69" s="69" customFormat="1" ht="15" customHeight="1" x14ac:dyDescent="0.3">
      <c r="A18" t="s">
        <v>109</v>
      </c>
      <c r="B18" s="13" t="str">
        <f>IF('Sumário | Summary'!P1=1,"FFO Ajustado (R mil)","Adjusted FFO (R 000')")</f>
        <v>FFO Ajustado (R mil)</v>
      </c>
      <c r="C18" s="66"/>
      <c r="D18" s="66"/>
      <c r="E18" s="66"/>
      <c r="F18" s="66"/>
      <c r="G18" s="66"/>
      <c r="H18" s="66"/>
      <c r="I18" s="66"/>
      <c r="J18" s="66"/>
      <c r="K18" s="66"/>
      <c r="L18" s="66"/>
      <c r="M18" s="66"/>
      <c r="N18" s="66"/>
      <c r="O18" s="66"/>
      <c r="P18" s="66"/>
      <c r="Q18" s="66"/>
      <c r="R18" s="66"/>
      <c r="S18" s="66"/>
      <c r="T18" s="66"/>
      <c r="U18" s="66"/>
      <c r="V18" s="66"/>
      <c r="W18" s="66"/>
      <c r="X18" s="66"/>
      <c r="Y18" s="66"/>
      <c r="Z18" s="73"/>
      <c r="AA18" s="73"/>
      <c r="AB18" s="73">
        <v>5359.9951704820633</v>
      </c>
      <c r="AC18" s="72">
        <v>-4523.5612121334007</v>
      </c>
      <c r="AD18" s="72">
        <v>-12170.535806989934</v>
      </c>
      <c r="AE18" s="72">
        <v>27932.913265350027</v>
      </c>
      <c r="AF18" s="72">
        <v>16598.811416708755</v>
      </c>
      <c r="AG18" s="72">
        <v>23176.934539999998</v>
      </c>
      <c r="AH18" s="73">
        <v>14336.267220000005</v>
      </c>
      <c r="AI18" s="72">
        <v>31719.235745070939</v>
      </c>
      <c r="AJ18" s="72">
        <v>27346.536439999985</v>
      </c>
      <c r="AK18" s="72">
        <v>101433.7216550709</v>
      </c>
      <c r="AL18" s="72">
        <v>30935.798330000009</v>
      </c>
      <c r="AM18" s="72">
        <v>30724.385200000008</v>
      </c>
      <c r="AN18" s="72">
        <v>28014.547592168645</v>
      </c>
      <c r="AO18" s="72">
        <v>35365.162858733369</v>
      </c>
      <c r="AP18" s="68">
        <v>125039.89398090202</v>
      </c>
      <c r="AQ18" s="72">
        <v>54422.184883040507</v>
      </c>
      <c r="AR18" s="72">
        <v>32086.75466853023</v>
      </c>
      <c r="AS18" s="72">
        <v>38818.23730842927</v>
      </c>
      <c r="AT18" s="72">
        <v>50316.06182668671</v>
      </c>
      <c r="AU18" s="68">
        <v>175643.23868668673</v>
      </c>
      <c r="AV18" s="68">
        <v>48347.012652695848</v>
      </c>
      <c r="AW18" s="68">
        <v>45055.824202454547</v>
      </c>
      <c r="AX18" s="68">
        <v>50392.805784101336</v>
      </c>
      <c r="AY18" s="68">
        <v>27760.675337402397</v>
      </c>
      <c r="AZ18" s="68">
        <v>171556.3179766541</v>
      </c>
      <c r="BA18" s="68">
        <v>20148.322722379897</v>
      </c>
      <c r="BB18" s="68">
        <v>21916.649229580824</v>
      </c>
      <c r="BC18" s="68">
        <v>27480.312922856006</v>
      </c>
      <c r="BD18" s="68">
        <v>23327.970436438121</v>
      </c>
      <c r="BE18" s="68">
        <v>92873.255311254834</v>
      </c>
      <c r="BF18" s="68">
        <v>10117.341337969536</v>
      </c>
      <c r="BG18" s="68">
        <v>24135.006278972345</v>
      </c>
      <c r="BH18" s="68">
        <v>28333.717818887657</v>
      </c>
      <c r="BI18" s="68">
        <v>33574.550131630262</v>
      </c>
      <c r="BJ18" s="68">
        <v>96160.615567459798</v>
      </c>
      <c r="BK18" s="68">
        <v>28579.78610251467</v>
      </c>
      <c r="BL18" s="68">
        <v>-71313.57343122772</v>
      </c>
      <c r="BM18" s="68">
        <v>56373.065816330105</v>
      </c>
      <c r="BN18" s="68">
        <v>16607.779183710059</v>
      </c>
      <c r="BO18" s="68">
        <v>30247.057671327115</v>
      </c>
      <c r="BP18" s="68">
        <v>20500.066230590055</v>
      </c>
      <c r="BQ18" s="68">
        <v>2714.5095697480901</v>
      </c>
    </row>
    <row r="19" spans="1:69" s="16" customFormat="1" ht="15" customHeight="1" x14ac:dyDescent="0.3">
      <c r="A19"/>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P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row>
    <row r="20" spans="1:69" s="16" customFormat="1" ht="18.75" customHeight="1" x14ac:dyDescent="0.3">
      <c r="A20"/>
      <c r="B20" s="61" t="str">
        <f>IF('Sumário | Summary'!P1=1,"Indicadores Financeiros Proforma","Proforma Financial Indicators")</f>
        <v>Indicadores Financeiros Proforma</v>
      </c>
      <c r="C20" s="62"/>
      <c r="D20" s="61"/>
      <c r="E20" s="62"/>
      <c r="F20" s="61"/>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1"/>
      <c r="AQ20" s="62"/>
      <c r="AR20" s="62"/>
      <c r="AS20" s="62"/>
      <c r="AT20" s="62"/>
      <c r="AU20" s="61"/>
      <c r="AV20" s="61"/>
      <c r="AW20" s="61"/>
      <c r="AX20" s="61"/>
      <c r="AY20" s="61"/>
      <c r="AZ20" s="61"/>
      <c r="BA20" s="61"/>
      <c r="BB20" s="61"/>
      <c r="BC20" s="61"/>
      <c r="BD20" s="61"/>
      <c r="BE20" s="61"/>
      <c r="BF20" s="61"/>
      <c r="BG20" s="79"/>
      <c r="BH20" s="61"/>
      <c r="BI20" s="61"/>
      <c r="BJ20" s="61"/>
      <c r="BK20" s="61"/>
      <c r="BL20" s="61"/>
      <c r="BM20" s="61"/>
      <c r="BN20" s="61"/>
      <c r="BO20" s="61"/>
      <c r="BP20" s="61"/>
      <c r="BQ20" s="61"/>
    </row>
    <row r="21" spans="1:69" s="16" customFormat="1" ht="15" customHeight="1" x14ac:dyDescent="0.3">
      <c r="A21" t="s">
        <v>58</v>
      </c>
      <c r="B21" s="17" t="s">
        <v>110</v>
      </c>
      <c r="C21" s="63"/>
      <c r="D21" s="63"/>
      <c r="E21" s="63"/>
      <c r="F21" s="63"/>
      <c r="G21" s="63"/>
      <c r="H21" s="63"/>
      <c r="I21" s="63"/>
      <c r="J21" s="63"/>
      <c r="K21" s="63"/>
      <c r="L21" s="63"/>
      <c r="M21" s="63"/>
      <c r="N21" s="63"/>
      <c r="O21" s="63"/>
      <c r="P21" s="63"/>
      <c r="Q21" s="63"/>
      <c r="R21" s="63"/>
      <c r="S21" s="63"/>
      <c r="T21" s="63"/>
      <c r="U21" s="63"/>
      <c r="V21" s="63"/>
      <c r="W21" s="63">
        <v>107786.57109577887</v>
      </c>
      <c r="X21" s="63">
        <v>104722.99185141042</v>
      </c>
      <c r="Y21" s="63">
        <v>139723.33832627226</v>
      </c>
      <c r="Z21" s="63">
        <v>137164.53984149423</v>
      </c>
      <c r="AA21" s="63">
        <v>489397.44111495576</v>
      </c>
      <c r="AB21" s="63">
        <v>100132.05042850235</v>
      </c>
      <c r="AC21" s="63">
        <v>109373.66391263639</v>
      </c>
      <c r="AD21" s="63">
        <v>99060.34262000458</v>
      </c>
      <c r="AE21" s="63">
        <v>92322.893939813381</v>
      </c>
      <c r="AF21" s="63">
        <v>400888.9509009567</v>
      </c>
      <c r="AG21" s="63">
        <v>84684.947715066708</v>
      </c>
      <c r="AH21" s="63">
        <v>148315.77850850931</v>
      </c>
      <c r="AI21" s="63">
        <v>89978.452663096017</v>
      </c>
      <c r="AJ21" s="63">
        <v>92669.049752549108</v>
      </c>
      <c r="AK21" s="63">
        <v>415648.22863922117</v>
      </c>
      <c r="AL21" s="63">
        <v>88862.895242019877</v>
      </c>
      <c r="AM21" s="63">
        <v>93948.5039904757</v>
      </c>
      <c r="AN21" s="63">
        <v>95812.1488278701</v>
      </c>
      <c r="AO21" s="63">
        <v>105632.46540481022</v>
      </c>
      <c r="AP21" s="64">
        <v>384256.33407514327</v>
      </c>
      <c r="AQ21" s="63">
        <v>98065.78814911806</v>
      </c>
      <c r="AR21" s="63">
        <v>70395.051241492416</v>
      </c>
      <c r="AS21" s="63">
        <v>102519.26202915354</v>
      </c>
      <c r="AT21" s="63">
        <v>98696.831504104586</v>
      </c>
      <c r="AU21" s="64">
        <v>369676.93292386859</v>
      </c>
      <c r="AV21" s="64">
        <v>87978.137416420534</v>
      </c>
      <c r="AW21" s="64">
        <v>90322.766462377127</v>
      </c>
      <c r="AX21" s="64">
        <v>99596.478611576691</v>
      </c>
      <c r="AY21" s="65">
        <v>1459695.4731797967</v>
      </c>
      <c r="AZ21" s="64">
        <v>1737592.8556701711</v>
      </c>
      <c r="BA21" s="64">
        <v>140223.37064717631</v>
      </c>
      <c r="BB21" s="65">
        <v>89719.215064606557</v>
      </c>
      <c r="BC21" s="64">
        <v>91328.593142645666</v>
      </c>
      <c r="BD21" s="64">
        <v>101178.36327324942</v>
      </c>
      <c r="BE21" s="64">
        <v>422449.54212767794</v>
      </c>
      <c r="BF21" s="64">
        <v>90142.642480129507</v>
      </c>
      <c r="BG21" s="64">
        <v>90222.286146336526</v>
      </c>
      <c r="BH21" s="64">
        <v>92430.039516420045</v>
      </c>
      <c r="BI21" s="64">
        <v>100466.42029968754</v>
      </c>
      <c r="BJ21" s="64">
        <v>373261.3884425736</v>
      </c>
      <c r="BK21" s="64">
        <v>95322.818750022125</v>
      </c>
      <c r="BL21" s="64">
        <v>834440.44518934272</v>
      </c>
      <c r="BM21" s="64">
        <v>54540.390397797571</v>
      </c>
      <c r="BN21" s="64">
        <v>74719.562945311423</v>
      </c>
      <c r="BO21" s="64">
        <v>1059023.2172824738</v>
      </c>
      <c r="BP21" s="64">
        <v>63835.743509774169</v>
      </c>
      <c r="BQ21" s="64">
        <v>62308.687477175248</v>
      </c>
    </row>
    <row r="22" spans="1:69" s="16" customFormat="1" ht="15" customHeight="1" x14ac:dyDescent="0.3">
      <c r="A22" t="s">
        <v>66</v>
      </c>
      <c r="B22" s="17" t="s">
        <v>111</v>
      </c>
      <c r="C22" s="63"/>
      <c r="D22" s="63"/>
      <c r="E22" s="63"/>
      <c r="F22" s="63"/>
      <c r="G22" s="63"/>
      <c r="H22" s="63"/>
      <c r="I22" s="63"/>
      <c r="J22" s="63"/>
      <c r="K22" s="63"/>
      <c r="L22" s="63"/>
      <c r="M22" s="63"/>
      <c r="N22" s="63"/>
      <c r="O22" s="63"/>
      <c r="P22" s="63"/>
      <c r="Q22" s="63"/>
      <c r="R22" s="63"/>
      <c r="S22" s="63"/>
      <c r="T22" s="63"/>
      <c r="U22" s="63"/>
      <c r="V22" s="63"/>
      <c r="W22" s="63">
        <v>100667.57109577887</v>
      </c>
      <c r="X22" s="63">
        <v>97418.991851410421</v>
      </c>
      <c r="Y22" s="63">
        <v>131648.33832627226</v>
      </c>
      <c r="Z22" s="63">
        <v>128731.53984149423</v>
      </c>
      <c r="AA22" s="63">
        <v>458466.44111495576</v>
      </c>
      <c r="AB22" s="63">
        <v>93250.050428502349</v>
      </c>
      <c r="AC22" s="63">
        <v>101279.66391263639</v>
      </c>
      <c r="AD22" s="63">
        <v>92882.34262000458</v>
      </c>
      <c r="AE22" s="63">
        <v>85665.893939813381</v>
      </c>
      <c r="AF22" s="63">
        <v>373077.9509009567</v>
      </c>
      <c r="AG22" s="63">
        <v>79708.947715066708</v>
      </c>
      <c r="AH22" s="63">
        <v>141022.77850850931</v>
      </c>
      <c r="AI22" s="63">
        <v>82942.452663096017</v>
      </c>
      <c r="AJ22" s="63">
        <v>85991.049752549108</v>
      </c>
      <c r="AK22" s="63">
        <v>389665.22863922117</v>
      </c>
      <c r="AL22" s="63">
        <v>85203.285684030881</v>
      </c>
      <c r="AM22" s="63">
        <v>87646.5039904757</v>
      </c>
      <c r="AN22" s="63">
        <v>89299.835176575114</v>
      </c>
      <c r="AO22" s="63">
        <v>98377.53476206222</v>
      </c>
      <c r="AP22" s="64">
        <v>360527.33407514327</v>
      </c>
      <c r="AQ22" s="63">
        <v>92627.78814911806</v>
      </c>
      <c r="AR22" s="63">
        <v>63386.051241492416</v>
      </c>
      <c r="AS22" s="63">
        <v>93861.262029153542</v>
      </c>
      <c r="AT22" s="63">
        <v>88366.831504104586</v>
      </c>
      <c r="AU22" s="64">
        <v>338241.93292386859</v>
      </c>
      <c r="AV22" s="64">
        <v>78251.137416420534</v>
      </c>
      <c r="AW22" s="64">
        <v>76925.766462377127</v>
      </c>
      <c r="AX22" s="64">
        <v>89026.478611576691</v>
      </c>
      <c r="AY22" s="65">
        <v>1397432.1605093186</v>
      </c>
      <c r="AZ22" s="64">
        <v>1641635.542999693</v>
      </c>
      <c r="BA22" s="64">
        <v>122171.48735394378</v>
      </c>
      <c r="BB22" s="65">
        <v>69154.265425452424</v>
      </c>
      <c r="BC22" s="64">
        <v>74265.520384027273</v>
      </c>
      <c r="BD22" s="64">
        <v>79716.826018138323</v>
      </c>
      <c r="BE22" s="64">
        <v>345308.09918156179</v>
      </c>
      <c r="BF22" s="64">
        <v>74198.129773641427</v>
      </c>
      <c r="BG22" s="64">
        <v>77754.510080234337</v>
      </c>
      <c r="BH22" s="64">
        <v>80520.674792822072</v>
      </c>
      <c r="BI22" s="64">
        <v>88743.870634469495</v>
      </c>
      <c r="BJ22" s="64">
        <v>321217.18528116733</v>
      </c>
      <c r="BK22" s="64">
        <v>85929.809969191629</v>
      </c>
      <c r="BL22" s="64">
        <v>794993.5487135452</v>
      </c>
      <c r="BM22" s="64">
        <v>47861.73796941794</v>
      </c>
      <c r="BN22" s="64">
        <v>67556.930704872939</v>
      </c>
      <c r="BO22" s="64">
        <v>996342.02735702775</v>
      </c>
      <c r="BP22" s="64">
        <v>57717.142666841166</v>
      </c>
      <c r="BQ22" s="64">
        <v>56296.201842086244</v>
      </c>
    </row>
    <row r="23" spans="1:69" s="16" customFormat="1" ht="15" customHeight="1" x14ac:dyDescent="0.3">
      <c r="A23" t="s">
        <v>101</v>
      </c>
      <c r="B23" s="13" t="s">
        <v>112</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v>46546.237447102045</v>
      </c>
      <c r="AH23" s="66">
        <v>47509.565463123276</v>
      </c>
      <c r="AI23" s="66">
        <v>51666.714469627223</v>
      </c>
      <c r="AJ23" s="66">
        <v>49986.016688491327</v>
      </c>
      <c r="AK23" s="66">
        <v>195708.53406834387</v>
      </c>
      <c r="AL23" s="66">
        <v>55175.228463278123</v>
      </c>
      <c r="AM23" s="66">
        <v>53076.695986116698</v>
      </c>
      <c r="AN23" s="66">
        <v>61297.381055681923</v>
      </c>
      <c r="AO23" s="66">
        <v>59072.414505255962</v>
      </c>
      <c r="AP23" s="67">
        <v>225588.92077449535</v>
      </c>
      <c r="AQ23" s="66">
        <v>63723.927118892978</v>
      </c>
      <c r="AR23" s="66">
        <v>42923.597446714615</v>
      </c>
      <c r="AS23" s="66">
        <v>47563.035168630653</v>
      </c>
      <c r="AT23" s="66">
        <v>56553.398866613592</v>
      </c>
      <c r="AU23" s="67">
        <v>210763.95860085185</v>
      </c>
      <c r="AV23" s="67">
        <v>51406.333423905038</v>
      </c>
      <c r="AW23" s="67">
        <v>56534.343921622924</v>
      </c>
      <c r="AX23" s="67">
        <v>61746.389565503006</v>
      </c>
      <c r="AY23" s="68">
        <v>62873.575837869357</v>
      </c>
      <c r="AZ23" s="67">
        <v>232560.64274890034</v>
      </c>
      <c r="BA23" s="67">
        <v>44688.043419326888</v>
      </c>
      <c r="BB23" s="68">
        <v>45347.788257998996</v>
      </c>
      <c r="BC23" s="67">
        <v>43606.723286122658</v>
      </c>
      <c r="BD23" s="67">
        <v>47336.939192858845</v>
      </c>
      <c r="BE23" s="67">
        <v>180979.4941563074</v>
      </c>
      <c r="BF23" s="67">
        <v>47694</v>
      </c>
      <c r="BG23" s="67">
        <v>49566</v>
      </c>
      <c r="BH23" s="67">
        <v>50016.050744046268</v>
      </c>
      <c r="BI23" s="67">
        <v>55410</v>
      </c>
      <c r="BJ23" s="67">
        <v>195720.93972184442</v>
      </c>
      <c r="BK23" s="67">
        <v>50904</v>
      </c>
      <c r="BL23" s="67">
        <v>41042.479611995775</v>
      </c>
      <c r="BM23" s="67">
        <v>20697.495364064183</v>
      </c>
      <c r="BN23" s="67">
        <v>26250.816952801368</v>
      </c>
      <c r="BO23" s="67">
        <v>138894.79192886132</v>
      </c>
      <c r="BP23" s="67">
        <v>22717.392734154164</v>
      </c>
      <c r="BQ23" s="67">
        <v>22344.476051280308</v>
      </c>
    </row>
    <row r="24" spans="1:69" s="16" customFormat="1" ht="15" customHeight="1" x14ac:dyDescent="0.3">
      <c r="A24" t="s">
        <v>102</v>
      </c>
      <c r="B24" s="17" t="s">
        <v>102</v>
      </c>
      <c r="C24" s="80"/>
      <c r="D24" s="80"/>
      <c r="E24" s="80"/>
      <c r="F24" s="80"/>
      <c r="G24" s="80"/>
      <c r="H24" s="80"/>
      <c r="I24" s="80"/>
      <c r="J24" s="80"/>
      <c r="K24" s="80"/>
      <c r="L24" s="80"/>
      <c r="M24" s="80"/>
      <c r="N24" s="80"/>
      <c r="O24" s="80"/>
      <c r="P24" s="80"/>
      <c r="Q24" s="80"/>
      <c r="R24" s="80"/>
      <c r="S24" s="80"/>
      <c r="T24" s="80"/>
      <c r="U24" s="80"/>
      <c r="V24" s="80"/>
      <c r="W24" s="80">
        <v>0.82731188574886416</v>
      </c>
      <c r="X24" s="80">
        <v>0.82418107328913881</v>
      </c>
      <c r="Y24" s="80">
        <v>0.8431604966612245</v>
      </c>
      <c r="Z24" s="80">
        <v>0.84600025655525735</v>
      </c>
      <c r="AA24" s="80">
        <v>0.86394808071863771</v>
      </c>
      <c r="AB24" s="81">
        <v>0.85488721588608863</v>
      </c>
      <c r="AC24" s="80">
        <v>0.89189312520153397</v>
      </c>
      <c r="AD24" s="80">
        <v>0.74439006532133556</v>
      </c>
      <c r="AE24" s="80">
        <v>0.82039191526622446</v>
      </c>
      <c r="AF24" s="80">
        <v>0.83950945858469794</v>
      </c>
      <c r="AG24" s="70">
        <v>0.73054841117761493</v>
      </c>
      <c r="AH24" s="70">
        <v>0.73644556087999991</v>
      </c>
      <c r="AI24" s="70">
        <v>0.73498010659620872</v>
      </c>
      <c r="AJ24" s="70">
        <v>0.72688467133075718</v>
      </c>
      <c r="AK24" s="70">
        <v>0.73213324597540308</v>
      </c>
      <c r="AL24" s="70">
        <v>0.85013585722949059</v>
      </c>
      <c r="AM24" s="70">
        <v>0.76658039116490184</v>
      </c>
      <c r="AN24" s="70">
        <v>0.87449308651316016</v>
      </c>
      <c r="AO24" s="70">
        <v>0.86731156410278287</v>
      </c>
      <c r="AP24" s="70">
        <v>0.83154246234312357</v>
      </c>
      <c r="AQ24" s="70">
        <v>0.86586424110721527</v>
      </c>
      <c r="AR24" s="70">
        <v>0.6748757730045396</v>
      </c>
      <c r="AS24" s="70">
        <v>0.73841034466813504</v>
      </c>
      <c r="AT24" s="70">
        <v>0.75453872279430922</v>
      </c>
      <c r="AU24" s="70">
        <v>0.76774820293304591</v>
      </c>
      <c r="AV24" s="70">
        <v>0.71884729729712282</v>
      </c>
      <c r="AW24" s="70">
        <v>0.78459377747502601</v>
      </c>
      <c r="AX24" s="70">
        <v>0.80375443874294739</v>
      </c>
      <c r="AY24" s="70">
        <v>0.78086511918461665</v>
      </c>
      <c r="AZ24" s="70">
        <v>0.77577854773771815</v>
      </c>
      <c r="BA24" s="70">
        <f>BA23/(INDEX('DRE - Proforma'!$1:$1048576,7,MATCH(BA$5,'DRE - Proforma'!$5:$5,0))+INDEX('DRE - Proforma'!$1:$1048576,8,MATCH(BA$5,'DRE - Proforma'!$5:$5,0))+INDEX('DRE - Proforma'!$1:$1048576,9,MATCH(BA$5,'DRE - Proforma'!$5:$5,0))+INDEX('DRE - Proforma'!$1:$1048576,10,MATCH(BA$5,'DRE - Proforma'!$5:$5,0)))/1000</f>
        <v>0.76035530625704095</v>
      </c>
      <c r="BB24" s="70">
        <f>BB23/(INDEX('DRE - Proforma'!$1:$1048576,7,MATCH(BB$5,'DRE - Proforma'!$5:$5,0))+INDEX('DRE - Proforma'!$1:$1048576,8,MATCH(BB$5,'DRE - Proforma'!$5:$5,0))+INDEX('DRE - Proforma'!$1:$1048576,9,MATCH(BB$5,'DRE - Proforma'!$5:$5,0))+INDEX('DRE - Proforma'!$1:$1048576,10,MATCH(BB$5,'DRE - Proforma'!$5:$5,0)))/1000</f>
        <v>0.76974377465935617</v>
      </c>
      <c r="BC24" s="70">
        <f>BC23/(INDEX('DRE - Proforma'!$1:$1048576,7,MATCH(BC$5,'DRE - Proforma'!$5:$5,0))+INDEX('DRE - Proforma'!$1:$1048576,8,MATCH(BC$5,'DRE - Proforma'!$5:$5,0))+INDEX('DRE - Proforma'!$1:$1048576,9,MATCH(BC$5,'DRE - Proforma'!$5:$5,0))+INDEX('DRE - Proforma'!$1:$1048576,10,MATCH(BC$5,'DRE - Proforma'!$5:$5,0)))/1000</f>
        <v>0.7321301335805761</v>
      </c>
      <c r="BD24" s="70">
        <f>BD23/(INDEX('DRE - Proforma'!$1:$1048576,7,MATCH(BD$5,'DRE - Proforma'!$5:$5,0))+INDEX('DRE - Proforma'!$1:$1048576,8,MATCH(BD$5,'DRE - Proforma'!$5:$5,0))+INDEX('DRE - Proforma'!$1:$1048576,9,MATCH(BD$5,'DRE - Proforma'!$5:$5,0))+INDEX('DRE - Proforma'!$1:$1048576,10,MATCH(BD$5,'DRE - Proforma'!$5:$5,0)))/1000</f>
        <v>0.71511291840806401</v>
      </c>
      <c r="BE24" s="70">
        <v>0.74341963172139536</v>
      </c>
      <c r="BF24" s="70">
        <f>BF23/(INDEX('DRE - Proforma'!$1:$1048576,7,MATCH(BF$5,'DRE - Proforma'!$5:$5,0))+INDEX('DRE - Proforma'!$1:$1048576,8,MATCH(BF$5,'DRE - Proforma'!$5:$5,0))+INDEX('DRE - Proforma'!$1:$1048576,9,MATCH(BF$5,'DRE - Proforma'!$5:$5,0))+INDEX('DRE - Proforma'!$1:$1048576,10,MATCH(BF$5,'DRE - Proforma'!$5:$5,0)))/1000</f>
        <v>0.81216439581666289</v>
      </c>
      <c r="BG24" s="70">
        <f>BG23/(INDEX('DRE - Proforma'!$1:$1048576,7,MATCH(BG$5,'DRE - Proforma'!$5:$5,0))+INDEX('DRE - Proforma'!$1:$1048576,8,MATCH(BG$5,'DRE - Proforma'!$5:$5,0))+INDEX('DRE - Proforma'!$1:$1048576,9,MATCH(BG$5,'DRE - Proforma'!$5:$5,0))+INDEX('DRE - Proforma'!$1:$1048576,10,MATCH(BG$5,'DRE - Proforma'!$5:$5,0)))/1000</f>
        <v>0.84763622571406561</v>
      </c>
      <c r="BH24" s="70">
        <f>BH23/(INDEX('DRE - Proforma'!$1:$1048576,7,MATCH(BH$5,'DRE - Proforma'!$5:$5,0))+INDEX('DRE - Proforma'!$1:$1048576,8,MATCH(BH$5,'DRE - Proforma'!$5:$5,0))+INDEX('DRE - Proforma'!$1:$1048576,9,MATCH(BH$5,'DRE - Proforma'!$5:$5,0))+INDEX('DRE - Proforma'!$1:$1048576,10,MATCH(BH$5,'DRE - Proforma'!$5:$5,0)))/1000</f>
        <v>0.85602080229735322</v>
      </c>
      <c r="BI24" s="70">
        <v>0.88111964614283877</v>
      </c>
      <c r="BJ24" s="70">
        <v>0.82058276163403232</v>
      </c>
      <c r="BK24" s="70">
        <v>0.90370700281060756</v>
      </c>
      <c r="BL24" s="70">
        <v>0.82987906209741724</v>
      </c>
      <c r="BM24" s="70">
        <v>0.81047936895671446</v>
      </c>
      <c r="BN24" s="70">
        <v>0.90836615315882552</v>
      </c>
      <c r="BO24" s="70">
        <v>0.84073501088183911</v>
      </c>
      <c r="BP24" s="70">
        <v>0.88122876843720699</v>
      </c>
      <c r="BQ24" s="70">
        <f>BQ23/(INDEX('DRE - Proforma'!$1:$1048576,7,MATCH(BQ$5,'DRE - Proforma'!$5:$5,0))+INDEX('DRE - Proforma'!$1:$1048576,8,MATCH(BQ$5,'DRE - Proforma'!$5:$5,0))+INDEX('DRE - Proforma'!$1:$1048576,9,MATCH(BQ$5,'DRE - Proforma'!$5:$5,0))+INDEX('DRE - Proforma'!$1:$1048576,10,MATCH(BQ$5,'DRE - Proforma'!$5:$5,0)))/1000</f>
        <v>0.82567507819656905</v>
      </c>
    </row>
    <row r="25" spans="1:69" s="16" customFormat="1" ht="15" customHeight="1" x14ac:dyDescent="0.3">
      <c r="A25" t="s">
        <v>103</v>
      </c>
      <c r="B25" s="13" t="s">
        <v>113</v>
      </c>
      <c r="C25" s="72"/>
      <c r="D25" s="72"/>
      <c r="E25" s="72"/>
      <c r="F25" s="72"/>
      <c r="G25" s="72"/>
      <c r="H25" s="72"/>
      <c r="I25" s="72"/>
      <c r="J25" s="72"/>
      <c r="K25" s="72"/>
      <c r="L25" s="72"/>
      <c r="M25" s="72"/>
      <c r="N25" s="72"/>
      <c r="O25" s="72"/>
      <c r="P25" s="72"/>
      <c r="Q25" s="72"/>
      <c r="R25" s="72"/>
      <c r="S25" s="72"/>
      <c r="T25" s="72"/>
      <c r="U25" s="72"/>
      <c r="V25" s="72"/>
      <c r="W25" s="72">
        <v>93318.979545778871</v>
      </c>
      <c r="X25" s="72">
        <v>55632.031676643004</v>
      </c>
      <c r="Y25" s="72">
        <v>60696.088536535353</v>
      </c>
      <c r="Z25" s="72">
        <v>74171.746098645934</v>
      </c>
      <c r="AA25" s="72">
        <v>283820.64737210749</v>
      </c>
      <c r="AB25" s="73">
        <v>50114.555766634483</v>
      </c>
      <c r="AC25" s="72">
        <v>59132.522040031996</v>
      </c>
      <c r="AD25" s="72">
        <v>308159.60956818605</v>
      </c>
      <c r="AE25" s="72">
        <v>39755.197853689497</v>
      </c>
      <c r="AF25" s="72">
        <v>457152.88522854203</v>
      </c>
      <c r="AG25" s="72">
        <v>55008.616705259199</v>
      </c>
      <c r="AH25" s="72">
        <v>76338.924835209298</v>
      </c>
      <c r="AI25" s="72">
        <v>14340.973886230515</v>
      </c>
      <c r="AJ25" s="72">
        <v>30567.759187156109</v>
      </c>
      <c r="AK25" s="72">
        <v>176256.27461385512</v>
      </c>
      <c r="AL25" s="72">
        <v>51753.044285080396</v>
      </c>
      <c r="AM25" s="72">
        <v>29233.838155763198</v>
      </c>
      <c r="AN25" s="72">
        <v>56603.422223980822</v>
      </c>
      <c r="AO25" s="72">
        <v>81957.206554382428</v>
      </c>
      <c r="AP25" s="68">
        <v>219923.84130145196</v>
      </c>
      <c r="AQ25" s="72">
        <v>56369.416403863819</v>
      </c>
      <c r="AR25" s="72">
        <v>26409.315722894658</v>
      </c>
      <c r="AS25" s="72">
        <v>59368.986517720536</v>
      </c>
      <c r="AT25" s="72">
        <v>43232.012337663095</v>
      </c>
      <c r="AU25" s="68">
        <v>185379.73098214209</v>
      </c>
      <c r="AV25" s="68">
        <v>44102.677601543895</v>
      </c>
      <c r="AW25" s="68">
        <v>46278.882224639703</v>
      </c>
      <c r="AX25" s="68">
        <v>56928.518755845696</v>
      </c>
      <c r="AY25" s="68">
        <v>1363209.0524088673</v>
      </c>
      <c r="AZ25" s="68">
        <v>1510519.1309908966</v>
      </c>
      <c r="BA25" s="68">
        <v>38563.899702420837</v>
      </c>
      <c r="BB25" s="68">
        <v>22810.264535667146</v>
      </c>
      <c r="BC25" s="68">
        <v>37706.497958573338</v>
      </c>
      <c r="BD25" s="68">
        <v>10355.496482840026</v>
      </c>
      <c r="BE25" s="68">
        <v>109436.15867950134</v>
      </c>
      <c r="BF25" s="68">
        <v>32082.12287923606</v>
      </c>
      <c r="BG25" s="68">
        <v>33573.324672569521</v>
      </c>
      <c r="BH25" s="68">
        <v>39349.539952130188</v>
      </c>
      <c r="BI25" s="68">
        <v>41742.689505763628</v>
      </c>
      <c r="BJ25" s="68">
        <v>146747.6770096994</v>
      </c>
      <c r="BK25" s="68">
        <v>43296.745198971934</v>
      </c>
      <c r="BL25" s="68">
        <v>601364.90553050337</v>
      </c>
      <c r="BM25" s="68">
        <v>5751.9938437292585</v>
      </c>
      <c r="BN25" s="68">
        <v>63077.052985093091</v>
      </c>
      <c r="BO25" s="68">
        <v>713490.69755829766</v>
      </c>
      <c r="BP25" s="68">
        <v>31971.046271285864</v>
      </c>
      <c r="BQ25" s="68">
        <v>34136.964894815566</v>
      </c>
    </row>
    <row r="26" spans="1:69" s="16" customFormat="1" ht="15" customHeight="1" x14ac:dyDescent="0.3">
      <c r="A26" t="s">
        <v>104</v>
      </c>
      <c r="B26" s="17" t="s">
        <v>104</v>
      </c>
      <c r="C26" s="80"/>
      <c r="D26" s="80"/>
      <c r="E26" s="80"/>
      <c r="F26" s="80"/>
      <c r="G26" s="80"/>
      <c r="H26" s="80"/>
      <c r="I26" s="80"/>
      <c r="J26" s="80"/>
      <c r="K26" s="80"/>
      <c r="L26" s="80"/>
      <c r="M26" s="80"/>
      <c r="N26" s="80"/>
      <c r="O26" s="80"/>
      <c r="P26" s="80"/>
      <c r="Q26" s="80"/>
      <c r="R26" s="80"/>
      <c r="S26" s="80"/>
      <c r="T26" s="80"/>
      <c r="U26" s="80"/>
      <c r="V26" s="80"/>
      <c r="W26" s="70">
        <f t="shared" ref="W26:BQ26" si="3">W25/W22</f>
        <v>0.92700140204030279</v>
      </c>
      <c r="X26" s="70">
        <f t="shared" si="3"/>
        <v>0.57105940658364107</v>
      </c>
      <c r="Y26" s="70">
        <f t="shared" si="3"/>
        <v>0.46104712986280511</v>
      </c>
      <c r="Z26" s="70">
        <f t="shared" si="3"/>
        <v>0.57617384356601975</v>
      </c>
      <c r="AA26" s="70">
        <f t="shared" si="3"/>
        <v>0.61906526174931609</v>
      </c>
      <c r="AB26" s="70">
        <f t="shared" si="3"/>
        <v>0.53742121893069472</v>
      </c>
      <c r="AC26" s="70">
        <f t="shared" si="3"/>
        <v>0.58385385333663409</v>
      </c>
      <c r="AD26" s="70">
        <f t="shared" si="3"/>
        <v>3.3177415736477776</v>
      </c>
      <c r="AE26" s="70">
        <f t="shared" si="3"/>
        <v>0.46407264344454818</v>
      </c>
      <c r="AF26" s="70">
        <f t="shared" si="3"/>
        <v>1.2253548732230097</v>
      </c>
      <c r="AG26" s="70">
        <f t="shared" si="3"/>
        <v>0.6901184657699525</v>
      </c>
      <c r="AH26" s="70">
        <f t="shared" si="3"/>
        <v>0.54132336380397594</v>
      </c>
      <c r="AI26" s="70">
        <f t="shared" si="3"/>
        <v>0.17290269850690482</v>
      </c>
      <c r="AJ26" s="70">
        <f t="shared" si="3"/>
        <v>0.35547605564903528</v>
      </c>
      <c r="AK26" s="70">
        <f t="shared" si="3"/>
        <v>0.4523274381688423</v>
      </c>
      <c r="AL26" s="70">
        <f t="shared" si="3"/>
        <v>0.60740667298913975</v>
      </c>
      <c r="AM26" s="70">
        <f t="shared" si="3"/>
        <v>0.33354254676193312</v>
      </c>
      <c r="AN26" s="70">
        <f t="shared" si="3"/>
        <v>0.63385808173169922</v>
      </c>
      <c r="AO26" s="70">
        <f t="shared" si="3"/>
        <v>0.83308863911466868</v>
      </c>
      <c r="AP26" s="70">
        <f t="shared" si="3"/>
        <v>0.61000601207012539</v>
      </c>
      <c r="AQ26" s="70">
        <f t="shared" si="3"/>
        <v>0.60855837681362723</v>
      </c>
      <c r="AR26" s="70">
        <f t="shared" si="3"/>
        <v>0.41664238749119553</v>
      </c>
      <c r="AS26" s="70">
        <f t="shared" si="3"/>
        <v>0.63251851971988593</v>
      </c>
      <c r="AT26" s="70">
        <f t="shared" si="3"/>
        <v>0.48923347823843827</v>
      </c>
      <c r="AU26" s="70">
        <f t="shared" si="3"/>
        <v>0.54806844727873327</v>
      </c>
      <c r="AV26" s="70">
        <f t="shared" si="3"/>
        <v>0.56360430094258551</v>
      </c>
      <c r="AW26" s="70">
        <f t="shared" si="3"/>
        <v>0.60160443441631217</v>
      </c>
      <c r="AX26" s="70">
        <f t="shared" si="3"/>
        <v>0.63945603199948331</v>
      </c>
      <c r="AY26" s="70">
        <f t="shared" si="3"/>
        <v>0.97551000394324827</v>
      </c>
      <c r="AZ26" s="70">
        <f t="shared" si="3"/>
        <v>0.92013062060704853</v>
      </c>
      <c r="BA26" s="70">
        <f t="shared" si="3"/>
        <v>0.31565384475263952</v>
      </c>
      <c r="BB26" s="70">
        <f t="shared" si="3"/>
        <v>0.32984609691583483</v>
      </c>
      <c r="BC26" s="70">
        <f t="shared" si="3"/>
        <v>0.5077254931170333</v>
      </c>
      <c r="BD26" s="70">
        <f t="shared" si="3"/>
        <v>0.12990352225618959</v>
      </c>
      <c r="BE26" s="70">
        <f t="shared" si="3"/>
        <v>0.31692323156880314</v>
      </c>
      <c r="BF26" s="70">
        <f t="shared" si="3"/>
        <v>0.43238452205075795</v>
      </c>
      <c r="BG26" s="70">
        <f t="shared" si="3"/>
        <v>0.43178620298585174</v>
      </c>
      <c r="BH26" s="70">
        <f t="shared" si="3"/>
        <v>0.48868865112439369</v>
      </c>
      <c r="BI26" s="70">
        <f t="shared" si="3"/>
        <v>0.4703726489201624</v>
      </c>
      <c r="BJ26" s="70">
        <f t="shared" si="3"/>
        <v>0.45684877314782663</v>
      </c>
      <c r="BK26" s="70">
        <f t="shared" si="3"/>
        <v>0.5038617589692691</v>
      </c>
      <c r="BL26" s="70">
        <f t="shared" si="3"/>
        <v>0.75643998181322258</v>
      </c>
      <c r="BM26" s="70">
        <f t="shared" si="3"/>
        <v>0.12017937684178104</v>
      </c>
      <c r="BN26" s="70">
        <f t="shared" si="3"/>
        <v>0.93368737044389272</v>
      </c>
      <c r="BO26" s="70">
        <f t="shared" si="3"/>
        <v>0.71611020911258461</v>
      </c>
      <c r="BP26" s="70">
        <f t="shared" si="3"/>
        <v>0.55392635175707361</v>
      </c>
      <c r="BQ26" s="70">
        <f t="shared" si="3"/>
        <v>0.60638131486332802</v>
      </c>
    </row>
    <row r="27" spans="1:69" s="16" customFormat="1" ht="15" customHeight="1" x14ac:dyDescent="0.3">
      <c r="A27" t="s">
        <v>105</v>
      </c>
      <c r="B27" s="13" t="s">
        <v>114</v>
      </c>
      <c r="C27" s="72"/>
      <c r="D27" s="72"/>
      <c r="E27" s="72"/>
      <c r="F27" s="72"/>
      <c r="G27" s="72"/>
      <c r="H27" s="72"/>
      <c r="I27" s="72"/>
      <c r="J27" s="72"/>
      <c r="K27" s="72"/>
      <c r="L27" s="72"/>
      <c r="M27" s="72"/>
      <c r="N27" s="72"/>
      <c r="O27" s="72"/>
      <c r="P27" s="72"/>
      <c r="Q27" s="72"/>
      <c r="R27" s="72"/>
      <c r="S27" s="72"/>
      <c r="T27" s="72"/>
      <c r="U27" s="72"/>
      <c r="V27" s="72"/>
      <c r="W27" s="72"/>
      <c r="X27" s="72"/>
      <c r="Y27" s="72"/>
      <c r="Z27" s="72"/>
      <c r="AA27" s="73"/>
      <c r="AB27" s="73">
        <v>53219.814074149792</v>
      </c>
      <c r="AC27" s="72">
        <v>59205.686673179938</v>
      </c>
      <c r="AD27" s="72">
        <v>17358.51912752281</v>
      </c>
      <c r="AE27" s="72">
        <v>42693.335353689487</v>
      </c>
      <c r="AF27" s="72">
        <v>172477.35522854203</v>
      </c>
      <c r="AG27" s="72">
        <v>44754.995705259207</v>
      </c>
      <c r="AH27" s="72">
        <v>44698.058835209311</v>
      </c>
      <c r="AI27" s="72">
        <v>42695.261214256476</v>
      </c>
      <c r="AJ27" s="72">
        <v>47463.19967715611</v>
      </c>
      <c r="AK27" s="72">
        <v>180348.51543188113</v>
      </c>
      <c r="AL27" s="72">
        <v>53595.855190516166</v>
      </c>
      <c r="AM27" s="72">
        <v>50291.4214757632</v>
      </c>
      <c r="AN27" s="72">
        <v>48605.496397633149</v>
      </c>
      <c r="AO27" s="72">
        <v>51695.518176041871</v>
      </c>
      <c r="AP27" s="68">
        <v>204187.99717604541</v>
      </c>
      <c r="AQ27" s="72">
        <v>57901.306223863823</v>
      </c>
      <c r="AR27" s="72">
        <v>30813.548542894659</v>
      </c>
      <c r="AS27" s="72">
        <v>38837.322837720538</v>
      </c>
      <c r="AT27" s="72">
        <v>46974.225657663097</v>
      </c>
      <c r="AU27" s="68">
        <v>174526.40326214212</v>
      </c>
      <c r="AV27" s="68">
        <v>45361.62485795145</v>
      </c>
      <c r="AW27" s="68">
        <v>47729.949874422673</v>
      </c>
      <c r="AX27" s="68">
        <v>57171.140590915849</v>
      </c>
      <c r="AY27" s="68">
        <v>48899.693406460152</v>
      </c>
      <c r="AZ27" s="68">
        <v>199162.40872975014</v>
      </c>
      <c r="BA27" s="68">
        <v>44504.61892809251</v>
      </c>
      <c r="BB27" s="68">
        <v>36869.112995880205</v>
      </c>
      <c r="BC27" s="68">
        <v>36872.009405512501</v>
      </c>
      <c r="BD27" s="68">
        <v>37542.58815952811</v>
      </c>
      <c r="BE27" s="68">
        <v>155788.32948901335</v>
      </c>
      <c r="BF27" s="68">
        <v>39047.002923860331</v>
      </c>
      <c r="BG27" s="68">
        <v>42157.383478005533</v>
      </c>
      <c r="BH27" s="68">
        <v>42820.586647335265</v>
      </c>
      <c r="BI27" s="68">
        <v>49781.404763319239</v>
      </c>
      <c r="BJ27" s="68">
        <v>173806.37781252037</v>
      </c>
      <c r="BK27" s="68">
        <v>44945.95509517238</v>
      </c>
      <c r="BL27" s="68">
        <v>32696.958903945793</v>
      </c>
      <c r="BM27" s="68">
        <v>18002.309888170144</v>
      </c>
      <c r="BN27" s="68">
        <v>28487.193740580216</v>
      </c>
      <c r="BO27" s="68">
        <v>124132.41762786853</v>
      </c>
      <c r="BP27" s="68">
        <v>20026.255727315402</v>
      </c>
      <c r="BQ27" s="68">
        <v>19616.301506779535</v>
      </c>
    </row>
    <row r="28" spans="1:69" s="16" customFormat="1" ht="15" customHeight="1" x14ac:dyDescent="0.3">
      <c r="A28" t="s">
        <v>95</v>
      </c>
      <c r="B28" s="13" t="s">
        <v>115</v>
      </c>
      <c r="C28" s="66"/>
      <c r="D28" s="66"/>
      <c r="E28" s="66"/>
      <c r="F28" s="66"/>
      <c r="G28" s="66"/>
      <c r="H28" s="66"/>
      <c r="I28" s="66"/>
      <c r="J28" s="66"/>
      <c r="K28" s="66"/>
      <c r="L28" s="66"/>
      <c r="M28" s="66"/>
      <c r="N28" s="66"/>
      <c r="O28" s="66"/>
      <c r="P28" s="66"/>
      <c r="Q28" s="66"/>
      <c r="R28" s="66"/>
      <c r="S28" s="66"/>
      <c r="T28" s="66"/>
      <c r="U28" s="66"/>
      <c r="V28" s="66"/>
      <c r="W28" s="67">
        <v>10960.571095778869</v>
      </c>
      <c r="X28" s="67">
        <v>-4538.008148589578</v>
      </c>
      <c r="Y28" s="67">
        <v>-10598.661673727736</v>
      </c>
      <c r="Z28" s="67">
        <v>8573.539841494232</v>
      </c>
      <c r="AA28" s="67">
        <v>30124.441114955749</v>
      </c>
      <c r="AB28" s="67">
        <v>-19682.949571497651</v>
      </c>
      <c r="AC28" s="67">
        <v>-17042.336087363612</v>
      </c>
      <c r="AD28" s="67">
        <v>218878.34262000452</v>
      </c>
      <c r="AE28" s="67">
        <v>-7901.1060601866184</v>
      </c>
      <c r="AF28" s="67">
        <v>174251.9509009567</v>
      </c>
      <c r="AG28" s="67">
        <v>9007.9477150667062</v>
      </c>
      <c r="AH28" s="67">
        <v>23018.778508509306</v>
      </c>
      <c r="AI28" s="67">
        <v>-19090.547336903986</v>
      </c>
      <c r="AJ28" s="67">
        <v>-13770.950247450894</v>
      </c>
      <c r="AK28" s="67">
        <v>-834.77136077883051</v>
      </c>
      <c r="AL28" s="67">
        <v>3157.3407867505939</v>
      </c>
      <c r="AM28" s="67">
        <v>-17129.897316696322</v>
      </c>
      <c r="AN28" s="67">
        <v>8824.8532660409692</v>
      </c>
      <c r="AO28" s="67">
        <v>37972.142963591876</v>
      </c>
      <c r="AP28" s="67">
        <v>47059.059476489747</v>
      </c>
      <c r="AQ28" s="67">
        <v>16414.919512558128</v>
      </c>
      <c r="AR28" s="67">
        <v>900.91904681222707</v>
      </c>
      <c r="AS28" s="67">
        <v>26703</v>
      </c>
      <c r="AT28" s="67">
        <v>6650</v>
      </c>
      <c r="AU28" s="67">
        <v>50838.895780486724</v>
      </c>
      <c r="AV28" s="67">
        <v>7125.707811281166</v>
      </c>
      <c r="AW28" s="67">
        <v>7130</v>
      </c>
      <c r="AX28" s="67">
        <v>9026.6333819175979</v>
      </c>
      <c r="AY28" s="67">
        <v>1263404.2934423364</v>
      </c>
      <c r="AZ28" s="67">
        <v>1286686.6346355351</v>
      </c>
      <c r="BA28" s="67">
        <v>-10919.542422307381</v>
      </c>
      <c r="BB28" s="67">
        <v>-29158.736814068758</v>
      </c>
      <c r="BC28" s="67">
        <v>6853.0141522464173</v>
      </c>
      <c r="BD28" s="67">
        <v>-23775.013896388795</v>
      </c>
      <c r="BE28" s="67">
        <v>-57000.20897851848</v>
      </c>
      <c r="BF28" s="67">
        <v>-14880.680067579895</v>
      </c>
      <c r="BG28" s="67">
        <v>-4134.0334344784296</v>
      </c>
      <c r="BH28" s="67">
        <v>3558.7331335417266</v>
      </c>
      <c r="BI28" s="68">
        <v>5414.3250032527449</v>
      </c>
      <c r="BJ28" s="68">
        <v>-10041.655365263852</v>
      </c>
      <c r="BK28" s="68">
        <v>6686.2206816919979</v>
      </c>
      <c r="BL28" s="68">
        <v>457107.88678259728</v>
      </c>
      <c r="BM28" s="68">
        <v>22570.896581144596</v>
      </c>
      <c r="BN28" s="68">
        <v>59889.558951827872</v>
      </c>
      <c r="BO28" s="68">
        <v>546254.56299726176</v>
      </c>
      <c r="BP28" s="68">
        <v>18701.392630899903</v>
      </c>
      <c r="BQ28" s="68">
        <v>16572.518383962873</v>
      </c>
    </row>
    <row r="29" spans="1:69" s="16" customFormat="1" ht="15" customHeight="1" x14ac:dyDescent="0.3">
      <c r="A29" t="s">
        <v>106</v>
      </c>
      <c r="B29" s="17" t="s">
        <v>106</v>
      </c>
      <c r="C29" s="80"/>
      <c r="D29" s="80"/>
      <c r="E29" s="80"/>
      <c r="F29" s="80"/>
      <c r="G29" s="80"/>
      <c r="H29" s="80"/>
      <c r="I29" s="80"/>
      <c r="J29" s="80"/>
      <c r="K29" s="80"/>
      <c r="L29" s="80"/>
      <c r="M29" s="80"/>
      <c r="N29" s="80"/>
      <c r="O29" s="80"/>
      <c r="P29" s="80"/>
      <c r="Q29" s="80"/>
      <c r="R29" s="80"/>
      <c r="S29" s="80"/>
      <c r="T29" s="80"/>
      <c r="U29" s="80"/>
      <c r="V29" s="80"/>
      <c r="W29" s="70">
        <f t="shared" ref="W29:BM29" si="4">W28/W22</f>
        <v>0.10887886711154056</v>
      </c>
      <c r="X29" s="70">
        <f t="shared" si="4"/>
        <v>-4.6582376417025888E-2</v>
      </c>
      <c r="Y29" s="70">
        <f t="shared" si="4"/>
        <v>-8.0507371444829126E-2</v>
      </c>
      <c r="Z29" s="70">
        <f t="shared" si="4"/>
        <v>6.6600149831585478E-2</v>
      </c>
      <c r="AA29" s="70">
        <f t="shared" si="4"/>
        <v>6.5706970921787386E-2</v>
      </c>
      <c r="AB29" s="70">
        <f t="shared" si="4"/>
        <v>-0.21107709305303987</v>
      </c>
      <c r="AC29" s="70">
        <f t="shared" si="4"/>
        <v>-0.168270069518243</v>
      </c>
      <c r="AD29" s="70">
        <f t="shared" si="4"/>
        <v>2.3565118670129612</v>
      </c>
      <c r="AE29" s="70">
        <f t="shared" si="4"/>
        <v>-9.2231641985055679E-2</v>
      </c>
      <c r="AF29" s="70">
        <f t="shared" si="4"/>
        <v>0.46706579812650584</v>
      </c>
      <c r="AG29" s="70">
        <f t="shared" si="4"/>
        <v>0.1130104959767774</v>
      </c>
      <c r="AH29" s="70">
        <f t="shared" si="4"/>
        <v>0.16322737895226164</v>
      </c>
      <c r="AI29" s="70">
        <f t="shared" si="4"/>
        <v>-0.23016617816268212</v>
      </c>
      <c r="AJ29" s="70">
        <f t="shared" si="4"/>
        <v>-0.16014399506784333</v>
      </c>
      <c r="AK29" s="70">
        <f t="shared" si="4"/>
        <v>-2.1422782928155982E-3</v>
      </c>
      <c r="AL29" s="70">
        <f t="shared" si="4"/>
        <v>3.7056561392002217E-2</v>
      </c>
      <c r="AM29" s="70">
        <f t="shared" si="4"/>
        <v>-0.19544301868056005</v>
      </c>
      <c r="AN29" s="70">
        <f t="shared" si="4"/>
        <v>9.8822727372243568E-2</v>
      </c>
      <c r="AO29" s="70">
        <f t="shared" si="4"/>
        <v>0.38598388397749572</v>
      </c>
      <c r="AP29" s="70">
        <f t="shared" si="4"/>
        <v>0.13052840944004931</v>
      </c>
      <c r="AQ29" s="70">
        <f t="shared" si="4"/>
        <v>0.177213769653361</v>
      </c>
      <c r="AR29" s="70">
        <f t="shared" si="4"/>
        <v>1.4213206678230285E-2</v>
      </c>
      <c r="AS29" s="70">
        <f t="shared" si="4"/>
        <v>0.28449436351821034</v>
      </c>
      <c r="AT29" s="70">
        <f t="shared" si="4"/>
        <v>7.5254480519550054E-2</v>
      </c>
      <c r="AU29" s="70">
        <f t="shared" si="4"/>
        <v>0.15030335044806384</v>
      </c>
      <c r="AV29" s="70">
        <f t="shared" si="4"/>
        <v>9.1062034962649363E-2</v>
      </c>
      <c r="AW29" s="70">
        <f t="shared" si="4"/>
        <v>9.2686759299137333E-2</v>
      </c>
      <c r="AX29" s="70">
        <f t="shared" si="4"/>
        <v>0.10139268139876541</v>
      </c>
      <c r="AY29" s="70">
        <f t="shared" si="4"/>
        <v>0.90408989369606796</v>
      </c>
      <c r="AZ29" s="70">
        <f t="shared" si="4"/>
        <v>0.78378336782622626</v>
      </c>
      <c r="BA29" s="70">
        <f t="shared" si="4"/>
        <v>-8.9378812182848405E-2</v>
      </c>
      <c r="BB29" s="70">
        <f t="shared" si="4"/>
        <v>-0.4216476978632876</v>
      </c>
      <c r="BC29" s="70">
        <f t="shared" si="4"/>
        <v>9.2277198312345446E-2</v>
      </c>
      <c r="BD29" s="70">
        <f t="shared" si="4"/>
        <v>-0.29824335819616249</v>
      </c>
      <c r="BE29" s="70">
        <f t="shared" si="4"/>
        <v>-0.16507058222387067</v>
      </c>
      <c r="BF29" s="70">
        <f t="shared" si="4"/>
        <v>-0.20055330387675344</v>
      </c>
      <c r="BG29" s="70">
        <f t="shared" si="4"/>
        <v>-5.3167763904788924E-2</v>
      </c>
      <c r="BH29" s="70">
        <f t="shared" si="4"/>
        <v>4.4196514034417482E-2</v>
      </c>
      <c r="BI29" s="70">
        <f t="shared" si="4"/>
        <v>6.1010692508038263E-2</v>
      </c>
      <c r="BJ29" s="70">
        <f t="shared" si="4"/>
        <v>-3.1261264419816782E-2</v>
      </c>
      <c r="BK29" s="70">
        <f t="shared" si="4"/>
        <v>7.781025797786828E-2</v>
      </c>
      <c r="BL29" s="70">
        <f t="shared" si="4"/>
        <v>0.57498313982835092</v>
      </c>
      <c r="BM29" s="70">
        <f t="shared" si="4"/>
        <v>0.4715853944870671</v>
      </c>
      <c r="BN29" s="70">
        <v>0.88650503104499367</v>
      </c>
      <c r="BO29" s="70">
        <v>0.54826008338351229</v>
      </c>
      <c r="BP29" s="70">
        <v>0.32401799130718162</v>
      </c>
      <c r="BQ29" s="70">
        <f>BQ28/BQ22</f>
        <v>0.2943807546812775</v>
      </c>
    </row>
    <row r="30" spans="1:69" s="16" customFormat="1" ht="15" customHeight="1" x14ac:dyDescent="0.3">
      <c r="A30" t="s">
        <v>107</v>
      </c>
      <c r="B30" s="13" t="s">
        <v>116</v>
      </c>
      <c r="C30" s="72"/>
      <c r="D30" s="72"/>
      <c r="E30" s="72"/>
      <c r="F30" s="72"/>
      <c r="G30" s="72"/>
      <c r="H30" s="72"/>
      <c r="I30" s="72"/>
      <c r="J30" s="72"/>
      <c r="K30" s="72"/>
      <c r="L30" s="72"/>
      <c r="M30" s="72"/>
      <c r="N30" s="72"/>
      <c r="O30" s="72"/>
      <c r="P30" s="72"/>
      <c r="Q30" s="72"/>
      <c r="R30" s="72"/>
      <c r="S30" s="72"/>
      <c r="T30" s="72"/>
      <c r="U30" s="72"/>
      <c r="V30" s="72"/>
      <c r="W30" s="72">
        <v>-21037.020454221132</v>
      </c>
      <c r="X30" s="72">
        <v>-3431.9683233569986</v>
      </c>
      <c r="Y30" s="72">
        <v>-7132.9114634646485</v>
      </c>
      <c r="Z30" s="72">
        <v>13320.746098645934</v>
      </c>
      <c r="AA30" s="72">
        <v>13848.647372107458</v>
      </c>
      <c r="AB30" s="73">
        <v>-9214.4442333655206</v>
      </c>
      <c r="AC30" s="73">
        <v>-4902.4779599680078</v>
      </c>
      <c r="AD30" s="73">
        <v>228274.60956818605</v>
      </c>
      <c r="AE30" s="73">
        <v>8138.1978536894931</v>
      </c>
      <c r="AF30" s="73">
        <v>222056.88522854203</v>
      </c>
      <c r="AG30" s="72">
        <v>17492.616705259206</v>
      </c>
      <c r="AH30" s="72">
        <v>32496.924835209305</v>
      </c>
      <c r="AI30" s="72">
        <v>-10546.547336903983</v>
      </c>
      <c r="AJ30" s="72">
        <v>-5225.9502474508918</v>
      </c>
      <c r="AK30" s="72">
        <v>17119.04395611367</v>
      </c>
      <c r="AL30" s="72">
        <v>11533.827587425343</v>
      </c>
      <c r="AM30" s="72">
        <v>-9888.1618442368017</v>
      </c>
      <c r="AN30" s="72">
        <v>17143.853403483412</v>
      </c>
      <c r="AO30" s="72">
        <v>47248.529899376008</v>
      </c>
      <c r="AP30" s="68">
        <v>66414.841301451961</v>
      </c>
      <c r="AQ30" s="72">
        <v>26530.120190005888</v>
      </c>
      <c r="AR30" s="72">
        <v>11222.315722894658</v>
      </c>
      <c r="AS30" s="72">
        <v>37422.986517720536</v>
      </c>
      <c r="AT30" s="72">
        <v>16927.012337663098</v>
      </c>
      <c r="AU30" s="68">
        <v>92101.730982142108</v>
      </c>
      <c r="AV30" s="68">
        <v>17691.823963865536</v>
      </c>
      <c r="AW30" s="68">
        <v>17614.987028201176</v>
      </c>
      <c r="AX30" s="68">
        <v>20577.518755845696</v>
      </c>
      <c r="AY30" s="68">
        <v>1278347.1960852328</v>
      </c>
      <c r="AZ30" s="68">
        <v>1334231.5258331452</v>
      </c>
      <c r="BA30" s="68">
        <v>-2184.2811532211199</v>
      </c>
      <c r="BB30" s="68">
        <v>-20693.105125480259</v>
      </c>
      <c r="BC30" s="68">
        <v>15330.68942741842</v>
      </c>
      <c r="BD30" s="68">
        <v>-13119.457035464045</v>
      </c>
      <c r="BE30" s="68">
        <v>-20666.153886747004</v>
      </c>
      <c r="BF30" s="68">
        <v>-5695.7808247148951</v>
      </c>
      <c r="BG30" s="68">
        <v>5058.3239157927437</v>
      </c>
      <c r="BH30" s="68">
        <v>12794.697290928576</v>
      </c>
      <c r="BI30" s="68">
        <v>14751.983542402577</v>
      </c>
      <c r="BJ30" s="68">
        <v>26909.223924409001</v>
      </c>
      <c r="BK30" s="68">
        <v>14735.328803551996</v>
      </c>
      <c r="BL30" s="68">
        <v>480026.69315886975</v>
      </c>
      <c r="BM30" s="68">
        <v>22642.085833086108</v>
      </c>
      <c r="BN30" s="68">
        <v>63997.018316270201</v>
      </c>
      <c r="BO30" s="68">
        <v>581401.12611177808</v>
      </c>
      <c r="BP30" s="68">
        <v>22401.754008181113</v>
      </c>
      <c r="BQ30" s="68">
        <v>21779.752090384096</v>
      </c>
    </row>
    <row r="31" spans="1:69" s="16" customFormat="1" ht="15" customHeight="1" x14ac:dyDescent="0.3">
      <c r="A31" t="s">
        <v>108</v>
      </c>
      <c r="B31" s="17" t="s">
        <v>108</v>
      </c>
      <c r="C31" s="82"/>
      <c r="D31" s="82"/>
      <c r="E31" s="82"/>
      <c r="F31" s="82"/>
      <c r="G31" s="82"/>
      <c r="H31" s="82"/>
      <c r="I31" s="82"/>
      <c r="J31" s="82"/>
      <c r="K31" s="82"/>
      <c r="L31" s="82"/>
      <c r="M31" s="82"/>
      <c r="N31" s="82"/>
      <c r="O31" s="82"/>
      <c r="P31" s="82"/>
      <c r="Q31" s="82"/>
      <c r="R31" s="82"/>
      <c r="S31" s="82"/>
      <c r="T31" s="82"/>
      <c r="U31" s="82"/>
      <c r="V31" s="82"/>
      <c r="W31" s="75">
        <f t="shared" ref="W31:BM31" si="5">W30/W22</f>
        <v>-0.20897514686438326</v>
      </c>
      <c r="X31" s="75">
        <f t="shared" si="5"/>
        <v>-3.5228945179310134E-2</v>
      </c>
      <c r="Y31" s="75">
        <f t="shared" si="5"/>
        <v>-5.418155332721869E-2</v>
      </c>
      <c r="Z31" s="75">
        <f t="shared" si="5"/>
        <v>0.10347694213125723</v>
      </c>
      <c r="AA31" s="75">
        <f t="shared" si="5"/>
        <v>3.0206458161754639E-2</v>
      </c>
      <c r="AB31" s="75">
        <f t="shared" si="5"/>
        <v>-9.881436193356824E-2</v>
      </c>
      <c r="AC31" s="75">
        <f t="shared" si="5"/>
        <v>-4.840535375588207E-2</v>
      </c>
      <c r="AD31" s="75">
        <f t="shared" si="5"/>
        <v>2.4576749802929849</v>
      </c>
      <c r="AE31" s="75">
        <f t="shared" si="5"/>
        <v>9.4999275434015526E-2</v>
      </c>
      <c r="AF31" s="75">
        <f t="shared" si="5"/>
        <v>0.5952023824841175</v>
      </c>
      <c r="AG31" s="75">
        <f t="shared" si="5"/>
        <v>0.21945612389451635</v>
      </c>
      <c r="AH31" s="75">
        <f t="shared" si="5"/>
        <v>0.23043741712441471</v>
      </c>
      <c r="AI31" s="75">
        <f t="shared" si="5"/>
        <v>-0.12715499720924589</v>
      </c>
      <c r="AJ31" s="75">
        <f t="shared" si="5"/>
        <v>-6.0773188168876544E-2</v>
      </c>
      <c r="AK31" s="75">
        <f t="shared" si="5"/>
        <v>4.3932695806337026E-2</v>
      </c>
      <c r="AL31" s="75">
        <f t="shared" si="5"/>
        <v>0.13536834283829804</v>
      </c>
      <c r="AM31" s="75">
        <f t="shared" si="5"/>
        <v>-0.11281866810467786</v>
      </c>
      <c r="AN31" s="75">
        <f t="shared" si="5"/>
        <v>0.19198079559256051</v>
      </c>
      <c r="AO31" s="75">
        <f t="shared" si="5"/>
        <v>0.48027763669472101</v>
      </c>
      <c r="AP31" s="75">
        <f t="shared" si="5"/>
        <v>0.18421582782849241</v>
      </c>
      <c r="AQ31" s="75">
        <f t="shared" si="5"/>
        <v>0.28641642772788684</v>
      </c>
      <c r="AR31" s="75">
        <f t="shared" si="5"/>
        <v>0.17704708690779822</v>
      </c>
      <c r="AS31" s="75">
        <f t="shared" si="5"/>
        <v>0.39870534135900348</v>
      </c>
      <c r="AT31" s="75">
        <f t="shared" si="5"/>
        <v>0.19155391281486481</v>
      </c>
      <c r="AU31" s="75">
        <f t="shared" si="5"/>
        <v>0.27229542530692769</v>
      </c>
      <c r="AV31" s="75">
        <f t="shared" si="5"/>
        <v>0.22609031060745977</v>
      </c>
      <c r="AW31" s="75">
        <f t="shared" si="5"/>
        <v>0.22898682506876702</v>
      </c>
      <c r="AX31" s="75">
        <f t="shared" si="5"/>
        <v>0.23113930907708471</v>
      </c>
      <c r="AY31" s="75">
        <f t="shared" si="5"/>
        <v>0.9147830085857741</v>
      </c>
      <c r="AZ31" s="75">
        <f t="shared" si="5"/>
        <v>0.8127452719469993</v>
      </c>
      <c r="BA31" s="75">
        <f t="shared" si="5"/>
        <v>-1.7878812810824062E-2</v>
      </c>
      <c r="BB31" s="75">
        <f t="shared" si="5"/>
        <v>-0.29923107415242822</v>
      </c>
      <c r="BC31" s="75">
        <f t="shared" si="5"/>
        <v>0.20643078171597493</v>
      </c>
      <c r="BD31" s="75">
        <f t="shared" si="5"/>
        <v>-0.16457575760077198</v>
      </c>
      <c r="BE31" s="75">
        <f t="shared" si="5"/>
        <v>-5.9848448199533291E-2</v>
      </c>
      <c r="BF31" s="75">
        <f t="shared" si="5"/>
        <v>-7.676447967207789E-2</v>
      </c>
      <c r="BG31" s="75">
        <f t="shared" si="5"/>
        <v>6.5055054820268229E-2</v>
      </c>
      <c r="BH31" s="75">
        <f t="shared" si="5"/>
        <v>0.15889952889551723</v>
      </c>
      <c r="BI31" s="75">
        <f t="shared" si="5"/>
        <v>0.16623101333009332</v>
      </c>
      <c r="BJ31" s="75">
        <f t="shared" si="5"/>
        <v>8.3772678291962679E-2</v>
      </c>
      <c r="BK31" s="75">
        <f t="shared" si="5"/>
        <v>0.17148098906345827</v>
      </c>
      <c r="BL31" s="75">
        <f t="shared" si="5"/>
        <v>0.60381206103577401</v>
      </c>
      <c r="BM31" s="75">
        <f t="shared" si="5"/>
        <v>0.47307278827930671</v>
      </c>
      <c r="BN31" s="75">
        <v>0.94730500110855453</v>
      </c>
      <c r="BO31" s="75">
        <v>0.58353568367887354</v>
      </c>
      <c r="BP31" s="75">
        <v>0.38812999003589016</v>
      </c>
      <c r="BQ31" s="75">
        <f>BQ30/BQ22</f>
        <v>0.38687782439528384</v>
      </c>
    </row>
    <row r="32" spans="1:69" s="16" customFormat="1" ht="15" customHeight="1" x14ac:dyDescent="0.3">
      <c r="A32" t="s">
        <v>109</v>
      </c>
      <c r="B32" s="13" t="s">
        <v>117</v>
      </c>
      <c r="C32" s="72"/>
      <c r="D32" s="72"/>
      <c r="E32" s="72"/>
      <c r="F32" s="72"/>
      <c r="G32" s="72"/>
      <c r="H32" s="72"/>
      <c r="I32" s="72"/>
      <c r="J32" s="72"/>
      <c r="K32" s="72"/>
      <c r="L32" s="72"/>
      <c r="M32" s="72"/>
      <c r="N32" s="72"/>
      <c r="O32" s="72"/>
      <c r="P32" s="72"/>
      <c r="Q32" s="72"/>
      <c r="R32" s="72"/>
      <c r="S32" s="72"/>
      <c r="T32" s="72"/>
      <c r="U32" s="72"/>
      <c r="V32" s="72"/>
      <c r="W32" s="72"/>
      <c r="X32" s="72"/>
      <c r="Y32" s="72"/>
      <c r="Z32" s="72"/>
      <c r="AA32" s="73"/>
      <c r="AB32" s="73">
        <v>-8288.7132717601708</v>
      </c>
      <c r="AC32" s="73">
        <v>-2805.3679409397027</v>
      </c>
      <c r="AD32" s="73">
        <v>-43703.08391244759</v>
      </c>
      <c r="AE32" s="73">
        <v>12411.26841368949</v>
      </c>
      <c r="AF32" s="73">
        <v>-42385.896711457972</v>
      </c>
      <c r="AG32" s="72">
        <v>7984.322795259206</v>
      </c>
      <c r="AH32" s="72">
        <v>10392.893635209304</v>
      </c>
      <c r="AI32" s="72">
        <v>19878.821933134514</v>
      </c>
      <c r="AJ32" s="72">
        <v>9321.9496871561096</v>
      </c>
      <c r="AK32" s="72">
        <v>37894.003231881128</v>
      </c>
      <c r="AL32" s="72">
        <v>13367.314694520683</v>
      </c>
      <c r="AM32" s="72">
        <v>11171.608275763198</v>
      </c>
      <c r="AN32" s="72">
        <v>9145.9275771357425</v>
      </c>
      <c r="AO32" s="72">
        <v>16986.841521035454</v>
      </c>
      <c r="AP32" s="68">
        <v>50672.068100541612</v>
      </c>
      <c r="AQ32" s="72">
        <v>28046.730722810426</v>
      </c>
      <c r="AR32" s="72">
        <v>15617.677842894658</v>
      </c>
      <c r="AS32" s="72">
        <v>17642.627237720535</v>
      </c>
      <c r="AT32" s="72">
        <v>20690.508457663098</v>
      </c>
      <c r="AU32" s="68">
        <v>82012.920562142099</v>
      </c>
      <c r="AV32" s="68">
        <v>18951.208560427818</v>
      </c>
      <c r="AW32" s="68">
        <v>19065.499438419156</v>
      </c>
      <c r="AX32" s="68">
        <v>20819.897694788098</v>
      </c>
      <c r="AY32" s="68">
        <v>9479.5539629544328</v>
      </c>
      <c r="AZ32" s="68">
        <v>68316.159656589516</v>
      </c>
      <c r="BA32" s="68">
        <v>3756.4380724505495</v>
      </c>
      <c r="BB32" s="68">
        <v>-6634.2566652671994</v>
      </c>
      <c r="BC32" s="68">
        <v>9536.625024357596</v>
      </c>
      <c r="BD32" s="68">
        <v>14067.634641224036</v>
      </c>
      <c r="BE32" s="68">
        <v>20726.441072764981</v>
      </c>
      <c r="BF32" s="68">
        <v>-130.40996009062701</v>
      </c>
      <c r="BG32" s="68">
        <v>12101.952212489707</v>
      </c>
      <c r="BH32" s="68">
        <v>14957.954356582601</v>
      </c>
      <c r="BI32" s="68">
        <v>21561.499916617999</v>
      </c>
      <c r="BJ32" s="68">
        <v>48490.996525599679</v>
      </c>
      <c r="BK32" s="68">
        <v>15472.707878208548</v>
      </c>
      <c r="BL32" s="68">
        <v>10461.319830169818</v>
      </c>
      <c r="BM32" s="68">
        <v>9110.4217806329179</v>
      </c>
      <c r="BN32" s="68">
        <v>21272.231854642327</v>
      </c>
      <c r="BO32" s="68">
        <v>56316.68134365361</v>
      </c>
      <c r="BP32" s="68">
        <v>10438.207034210649</v>
      </c>
      <c r="BQ32" s="68">
        <v>15149.050413318086</v>
      </c>
    </row>
    <row r="33" spans="1:69" s="16" customFormat="1" ht="15" customHeight="1" x14ac:dyDescent="0.3">
      <c r="A33"/>
      <c r="B33" s="83" t="str">
        <f>IF('Sumário | Summary'!P1=1,"¹ A partir de 2018 considera-se o NOI na mesma base, calculado pela receita líquida de locação de shoppings e edifícios.","¹ From 2018 onwards, NOI is considered on the same basis, calculated from the net rent revenue of shopping malls and buildings.")</f>
        <v>¹ A partir de 2018 considera-se o NOI na mesma base, calculado pela receita líquida de locação de shoppings e edifícios.</v>
      </c>
      <c r="C33" s="84"/>
      <c r="D33" s="84"/>
      <c r="E33" s="84"/>
      <c r="F33" s="84"/>
      <c r="G33" s="84"/>
      <c r="H33" s="84"/>
      <c r="I33" s="84"/>
      <c r="J33" s="84"/>
      <c r="K33" s="84"/>
      <c r="L33" s="84"/>
      <c r="M33" s="84"/>
      <c r="N33" s="84"/>
      <c r="O33" s="84"/>
      <c r="P33" s="84"/>
      <c r="Q33" s="84"/>
      <c r="R33" s="84"/>
      <c r="S33" s="84"/>
      <c r="T33" s="84"/>
      <c r="U33" s="84"/>
      <c r="V33" s="84"/>
      <c r="W33" s="84"/>
      <c r="X33" s="84"/>
      <c r="Y33" s="84"/>
      <c r="Z33" s="84"/>
      <c r="AA33" s="85"/>
      <c r="AB33" s="85"/>
      <c r="AC33" s="85"/>
      <c r="AD33" s="85"/>
      <c r="AE33" s="85"/>
      <c r="AF33" s="85"/>
      <c r="AG33" s="84"/>
      <c r="AH33" s="84"/>
      <c r="AI33" s="84"/>
      <c r="AJ33" s="84"/>
      <c r="AK33" s="84"/>
      <c r="AL33" s="84"/>
      <c r="AM33" s="84"/>
      <c r="AN33" s="84"/>
      <c r="AO33" s="84"/>
      <c r="AP33" s="86"/>
      <c r="AQ33" s="84"/>
      <c r="AR33" s="84"/>
      <c r="AS33" s="84"/>
      <c r="AT33" s="84"/>
      <c r="AU33" s="86"/>
      <c r="AV33" s="86"/>
      <c r="AW33" s="86"/>
      <c r="AX33" s="86"/>
      <c r="AY33" s="86"/>
      <c r="AZ33" s="86"/>
      <c r="BA33" s="86"/>
      <c r="BB33" s="86"/>
      <c r="BC33" s="86"/>
      <c r="BD33" s="86"/>
      <c r="BE33" s="86"/>
      <c r="BF33" s="86"/>
      <c r="BG33" s="86"/>
      <c r="BH33" s="86"/>
      <c r="BI33" s="86"/>
      <c r="BJ33" s="86"/>
      <c r="BK33" s="86"/>
      <c r="BL33" s="86"/>
      <c r="BM33" s="86"/>
      <c r="BN33" s="86"/>
      <c r="BO33" s="86"/>
      <c r="BP33" s="86"/>
      <c r="BQ33" s="86"/>
    </row>
    <row r="34" spans="1:69" s="16" customFormat="1" ht="15" customHeight="1" x14ac:dyDescent="0.3">
      <c r="A34">
        <f>INDEX($20:$32,MATCH($A$7,$A$20:$A$32,0),MATCH($BL$5,$5:$5,0))</f>
        <v>834440.44518934272</v>
      </c>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P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row>
    <row r="35" spans="1:69" s="16" customFormat="1" ht="18.75" customHeight="1" x14ac:dyDescent="0.3">
      <c r="A35"/>
      <c r="B35" s="61" t="str">
        <f>IF('Sumário | Summary'!P1=1,"Endividamento IFRS","IFRS Debt")</f>
        <v>Endividamento IFRS</v>
      </c>
      <c r="C35" s="62"/>
      <c r="D35" s="61"/>
      <c r="E35" s="62"/>
      <c r="F35" s="61"/>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1"/>
      <c r="AQ35" s="62"/>
      <c r="AR35" s="62"/>
      <c r="AS35" s="62"/>
      <c r="AT35" s="62"/>
      <c r="AU35" s="61"/>
      <c r="AV35" s="61"/>
      <c r="AW35" s="61"/>
      <c r="AX35" s="61"/>
      <c r="AY35" s="61"/>
      <c r="AZ35" s="61"/>
      <c r="BA35" s="61"/>
      <c r="BB35" s="61"/>
      <c r="BC35" s="61"/>
      <c r="BD35" s="61"/>
      <c r="BE35" s="61"/>
      <c r="BF35" s="61"/>
      <c r="BG35" s="61"/>
      <c r="BH35" s="61"/>
      <c r="BI35" s="61"/>
      <c r="BJ35" s="61"/>
      <c r="BK35" s="61"/>
      <c r="BL35" s="61"/>
      <c r="BM35" s="61"/>
      <c r="BN35" s="61"/>
      <c r="BO35" s="61"/>
      <c r="BP35" s="61"/>
      <c r="BQ35" s="61"/>
    </row>
    <row r="36" spans="1:69" s="69" customFormat="1" ht="15" customHeight="1" x14ac:dyDescent="0.3">
      <c r="A36" t="s">
        <v>118</v>
      </c>
      <c r="B36" s="13" t="str">
        <f>IF('Sumário | Summary'!P1=1,"Endividamento","Debt")</f>
        <v>Endividamento</v>
      </c>
      <c r="C36" s="66">
        <v>0</v>
      </c>
      <c r="D36" s="66">
        <v>0</v>
      </c>
      <c r="E36" s="66">
        <v>1197204</v>
      </c>
      <c r="F36" s="66">
        <v>907997</v>
      </c>
      <c r="G36" s="66">
        <v>907997</v>
      </c>
      <c r="H36" s="66">
        <v>1098097</v>
      </c>
      <c r="I36" s="66">
        <v>1197204</v>
      </c>
      <c r="J36" s="66">
        <v>1355174</v>
      </c>
      <c r="K36" s="66">
        <v>1626047</v>
      </c>
      <c r="L36" s="66">
        <v>1626047</v>
      </c>
      <c r="M36" s="66">
        <v>1900177</v>
      </c>
      <c r="N36" s="66">
        <v>1962241</v>
      </c>
      <c r="O36" s="66">
        <v>2050351</v>
      </c>
      <c r="P36" s="66">
        <v>2483827</v>
      </c>
      <c r="Q36" s="66">
        <v>2483827</v>
      </c>
      <c r="R36" s="66">
        <v>2437523</v>
      </c>
      <c r="S36" s="66">
        <v>2416790</v>
      </c>
      <c r="T36" s="66">
        <v>2486671</v>
      </c>
      <c r="U36" s="66">
        <v>2488444</v>
      </c>
      <c r="V36" s="66">
        <v>2488444</v>
      </c>
      <c r="W36" s="66">
        <v>2270959</v>
      </c>
      <c r="X36" s="66">
        <v>2254331</v>
      </c>
      <c r="Y36" s="66">
        <v>2339948</v>
      </c>
      <c r="Z36" s="66">
        <v>2462080</v>
      </c>
      <c r="AA36" s="66">
        <v>2462080</v>
      </c>
      <c r="AB36" s="66">
        <v>2379405</v>
      </c>
      <c r="AC36" s="66">
        <v>2440157</v>
      </c>
      <c r="AD36" s="66">
        <v>1771412</v>
      </c>
      <c r="AE36" s="66">
        <v>1660027</v>
      </c>
      <c r="AF36" s="66">
        <v>1660027</v>
      </c>
      <c r="AG36" s="66">
        <v>1819118</v>
      </c>
      <c r="AH36" s="66">
        <v>1793029</v>
      </c>
      <c r="AI36" s="66">
        <v>1747502</v>
      </c>
      <c r="AJ36" s="66">
        <v>1733781</v>
      </c>
      <c r="AK36" s="66">
        <v>1733781</v>
      </c>
      <c r="AL36" s="66">
        <v>1662347</v>
      </c>
      <c r="AM36" s="66">
        <v>1947915</v>
      </c>
      <c r="AN36" s="66">
        <v>1708168</v>
      </c>
      <c r="AO36" s="66">
        <v>2004757</v>
      </c>
      <c r="AP36" s="67">
        <v>2004757</v>
      </c>
      <c r="AQ36" s="66">
        <v>1955359</v>
      </c>
      <c r="AR36" s="66">
        <v>1948735</v>
      </c>
      <c r="AS36" s="66">
        <v>1896560</v>
      </c>
      <c r="AT36" s="66">
        <v>1886784</v>
      </c>
      <c r="AU36" s="67">
        <v>1886784</v>
      </c>
      <c r="AV36" s="67">
        <v>1809854</v>
      </c>
      <c r="AW36" s="67">
        <v>2116999</v>
      </c>
      <c r="AX36" s="67">
        <v>2075640</v>
      </c>
      <c r="AY36" s="68">
        <v>1996886</v>
      </c>
      <c r="AZ36" s="67">
        <v>1996886</v>
      </c>
      <c r="BA36" s="67">
        <v>1824541</v>
      </c>
      <c r="BB36" s="68">
        <v>1642980</v>
      </c>
      <c r="BC36" s="67">
        <v>1441474</v>
      </c>
      <c r="BD36" s="67">
        <v>1414316</v>
      </c>
      <c r="BE36" s="67">
        <v>1414316</v>
      </c>
      <c r="BF36" s="67">
        <v>1425434</v>
      </c>
      <c r="BG36" s="67">
        <v>1398940</v>
      </c>
      <c r="BH36" s="67">
        <v>1404486</v>
      </c>
      <c r="BI36" s="67">
        <v>1369048</v>
      </c>
      <c r="BJ36" s="67">
        <v>1369048</v>
      </c>
      <c r="BK36" s="67">
        <v>1378024</v>
      </c>
      <c r="BL36" s="67">
        <v>1393546</v>
      </c>
      <c r="BM36" s="67">
        <v>1244748</v>
      </c>
      <c r="BN36" s="67">
        <v>1215695</v>
      </c>
      <c r="BO36" s="67">
        <v>1215695</v>
      </c>
      <c r="BP36" s="67">
        <v>1234865</v>
      </c>
      <c r="BQ36" s="67">
        <f>BQ37+BQ38</f>
        <v>862813</v>
      </c>
    </row>
    <row r="37" spans="1:69" s="16" customFormat="1" ht="15" customHeight="1" x14ac:dyDescent="0.3">
      <c r="A37" t="s">
        <v>119</v>
      </c>
      <c r="B37" s="17" t="str">
        <f>IF('Sumário | Summary'!P1=1,"Financiamentos e Empréstimos","Loans and Financing")</f>
        <v>Financiamentos e Empréstimos</v>
      </c>
      <c r="C37" s="63">
        <v>0</v>
      </c>
      <c r="D37" s="63">
        <v>0</v>
      </c>
      <c r="E37" s="63">
        <v>540035</v>
      </c>
      <c r="F37" s="63">
        <v>373973</v>
      </c>
      <c r="G37" s="63">
        <v>373973</v>
      </c>
      <c r="H37" s="63">
        <v>433038</v>
      </c>
      <c r="I37" s="63">
        <v>540035</v>
      </c>
      <c r="J37" s="63">
        <v>627665</v>
      </c>
      <c r="K37" s="63">
        <v>701816</v>
      </c>
      <c r="L37" s="63">
        <v>701816</v>
      </c>
      <c r="M37" s="63">
        <v>940527</v>
      </c>
      <c r="N37" s="63">
        <v>1000302</v>
      </c>
      <c r="O37" s="63">
        <v>1118761</v>
      </c>
      <c r="P37" s="63">
        <v>1548156</v>
      </c>
      <c r="Q37" s="63">
        <v>1548156</v>
      </c>
      <c r="R37" s="63">
        <v>1536037</v>
      </c>
      <c r="S37" s="63">
        <v>1509426</v>
      </c>
      <c r="T37" s="63">
        <v>1612999</v>
      </c>
      <c r="U37" s="63">
        <v>1606777</v>
      </c>
      <c r="V37" s="63">
        <v>1606777</v>
      </c>
      <c r="W37" s="63">
        <v>1532275</v>
      </c>
      <c r="X37" s="63">
        <v>1511547</v>
      </c>
      <c r="Y37" s="87">
        <v>1520897</v>
      </c>
      <c r="Z37" s="63">
        <v>1507146</v>
      </c>
      <c r="AA37" s="63">
        <v>1507146</v>
      </c>
      <c r="AB37" s="63">
        <v>1517598</v>
      </c>
      <c r="AC37" s="63">
        <v>1454451</v>
      </c>
      <c r="AD37" s="63">
        <v>983450</v>
      </c>
      <c r="AE37" s="63">
        <v>965956</v>
      </c>
      <c r="AF37" s="63">
        <v>965956</v>
      </c>
      <c r="AG37" s="63">
        <v>964999</v>
      </c>
      <c r="AH37" s="63">
        <v>934623</v>
      </c>
      <c r="AI37" s="63">
        <v>931183</v>
      </c>
      <c r="AJ37" s="63">
        <v>680221</v>
      </c>
      <c r="AK37" s="63">
        <v>680221</v>
      </c>
      <c r="AL37" s="63">
        <v>681131</v>
      </c>
      <c r="AM37" s="63">
        <v>658165</v>
      </c>
      <c r="AN37" s="63">
        <v>659154</v>
      </c>
      <c r="AO37" s="63">
        <v>489346</v>
      </c>
      <c r="AP37" s="64">
        <v>489346</v>
      </c>
      <c r="AQ37" s="63">
        <v>489001</v>
      </c>
      <c r="AR37" s="63">
        <v>487337</v>
      </c>
      <c r="AS37" s="64">
        <v>485646</v>
      </c>
      <c r="AT37" s="63">
        <v>484233</v>
      </c>
      <c r="AU37" s="64">
        <v>484233</v>
      </c>
      <c r="AV37" s="64">
        <v>482753</v>
      </c>
      <c r="AW37" s="64">
        <v>481110</v>
      </c>
      <c r="AX37" s="64">
        <v>479535</v>
      </c>
      <c r="AY37" s="65">
        <v>396408</v>
      </c>
      <c r="AZ37" s="64">
        <v>396408</v>
      </c>
      <c r="BA37" s="64">
        <v>396550</v>
      </c>
      <c r="BB37" s="65">
        <v>395776</v>
      </c>
      <c r="BC37" s="64">
        <v>396018</v>
      </c>
      <c r="BD37" s="64">
        <v>395776</v>
      </c>
      <c r="BE37" s="64">
        <v>395776</v>
      </c>
      <c r="BF37" s="64">
        <v>395776</v>
      </c>
      <c r="BG37" s="64">
        <v>395776</v>
      </c>
      <c r="BH37" s="64">
        <v>395720</v>
      </c>
      <c r="BI37" s="64">
        <v>395776</v>
      </c>
      <c r="BJ37" s="64">
        <v>395776</v>
      </c>
      <c r="BK37" s="64">
        <v>396314</v>
      </c>
      <c r="BL37" s="64">
        <v>396303</v>
      </c>
      <c r="BM37" s="64">
        <v>396314</v>
      </c>
      <c r="BN37" s="64">
        <v>396378</v>
      </c>
      <c r="BO37" s="64">
        <v>396378</v>
      </c>
      <c r="BP37" s="64">
        <v>396690</v>
      </c>
      <c r="BQ37" s="64">
        <v>396717</v>
      </c>
    </row>
    <row r="38" spans="1:69" s="16" customFormat="1" ht="15" customHeight="1" x14ac:dyDescent="0.3">
      <c r="A38" t="s">
        <v>120</v>
      </c>
      <c r="B38" s="17" t="str">
        <f>IF('Sumário | Summary'!P1=1,"Debêntures e Notas Promissórias","Debentures")</f>
        <v>Debêntures e Notas Promissórias</v>
      </c>
      <c r="C38" s="63">
        <v>0</v>
      </c>
      <c r="D38" s="63">
        <v>0</v>
      </c>
      <c r="E38" s="63">
        <v>657169</v>
      </c>
      <c r="F38" s="63">
        <v>534024</v>
      </c>
      <c r="G38" s="63">
        <v>534024</v>
      </c>
      <c r="H38" s="63">
        <v>665059</v>
      </c>
      <c r="I38" s="63">
        <v>657169</v>
      </c>
      <c r="J38" s="63">
        <v>727509</v>
      </c>
      <c r="K38" s="63">
        <v>924231</v>
      </c>
      <c r="L38" s="63">
        <v>924231</v>
      </c>
      <c r="M38" s="63">
        <v>959650</v>
      </c>
      <c r="N38" s="63">
        <v>961939</v>
      </c>
      <c r="O38" s="63">
        <v>931590</v>
      </c>
      <c r="P38" s="63">
        <v>935671</v>
      </c>
      <c r="Q38" s="63">
        <v>935671</v>
      </c>
      <c r="R38" s="63">
        <v>901486</v>
      </c>
      <c r="S38" s="63">
        <v>907364</v>
      </c>
      <c r="T38" s="63">
        <v>873672</v>
      </c>
      <c r="U38" s="63">
        <v>881667</v>
      </c>
      <c r="V38" s="63">
        <v>881667</v>
      </c>
      <c r="W38" s="63">
        <v>738684</v>
      </c>
      <c r="X38" s="63">
        <v>742784</v>
      </c>
      <c r="Y38" s="87">
        <v>819051</v>
      </c>
      <c r="Z38" s="63">
        <v>954934</v>
      </c>
      <c r="AA38" s="63">
        <v>954934</v>
      </c>
      <c r="AB38" s="63">
        <v>861807</v>
      </c>
      <c r="AC38" s="63">
        <v>985706</v>
      </c>
      <c r="AD38" s="63">
        <v>787962</v>
      </c>
      <c r="AE38" s="63">
        <v>694071</v>
      </c>
      <c r="AF38" s="63">
        <v>694071</v>
      </c>
      <c r="AG38" s="63">
        <v>854119</v>
      </c>
      <c r="AH38" s="63">
        <v>858406</v>
      </c>
      <c r="AI38" s="63">
        <v>816319</v>
      </c>
      <c r="AJ38" s="63">
        <v>1053560</v>
      </c>
      <c r="AK38" s="63">
        <v>1053560</v>
      </c>
      <c r="AL38" s="63">
        <v>981216</v>
      </c>
      <c r="AM38" s="63">
        <v>1289750</v>
      </c>
      <c r="AN38" s="63">
        <v>1049014</v>
      </c>
      <c r="AO38" s="63">
        <v>1515411</v>
      </c>
      <c r="AP38" s="64">
        <v>1515411</v>
      </c>
      <c r="AQ38" s="63">
        <v>1466358</v>
      </c>
      <c r="AR38" s="63">
        <v>1461398</v>
      </c>
      <c r="AS38" s="63">
        <v>1410914</v>
      </c>
      <c r="AT38" s="63">
        <v>1402551</v>
      </c>
      <c r="AU38" s="64">
        <v>1402551</v>
      </c>
      <c r="AV38" s="64">
        <v>1327101</v>
      </c>
      <c r="AW38" s="64">
        <v>1635889</v>
      </c>
      <c r="AX38" s="64">
        <v>1596105</v>
      </c>
      <c r="AY38" s="65">
        <v>1600478</v>
      </c>
      <c r="AZ38" s="64">
        <v>1600478</v>
      </c>
      <c r="BA38" s="64">
        <v>1427991</v>
      </c>
      <c r="BB38" s="65">
        <v>1247204</v>
      </c>
      <c r="BC38" s="64">
        <v>1045456</v>
      </c>
      <c r="BD38" s="64">
        <v>1018540</v>
      </c>
      <c r="BE38" s="64">
        <v>1018540</v>
      </c>
      <c r="BF38" s="64">
        <v>1029658</v>
      </c>
      <c r="BG38" s="64">
        <v>1003164</v>
      </c>
      <c r="BH38" s="64">
        <v>1008766</v>
      </c>
      <c r="BI38" s="64">
        <v>973272</v>
      </c>
      <c r="BJ38" s="64">
        <v>973272</v>
      </c>
      <c r="BK38" s="64">
        <v>981710</v>
      </c>
      <c r="BL38" s="64">
        <v>997243</v>
      </c>
      <c r="BM38" s="64">
        <v>848434</v>
      </c>
      <c r="BN38" s="64">
        <v>819317</v>
      </c>
      <c r="BO38" s="64">
        <v>819317</v>
      </c>
      <c r="BP38" s="64">
        <v>838175</v>
      </c>
      <c r="BQ38" s="64">
        <v>466096</v>
      </c>
    </row>
    <row r="39" spans="1:69" s="69" customFormat="1" ht="15" customHeight="1" x14ac:dyDescent="0.3">
      <c r="A39" t="s">
        <v>121</v>
      </c>
      <c r="B39" s="13" t="str">
        <f>IF('Sumário | Summary'!P1=1,"Disponibilidades","Cash and Equivalents")</f>
        <v>Disponibilidades</v>
      </c>
      <c r="C39" s="63">
        <v>0</v>
      </c>
      <c r="D39" s="63">
        <v>0</v>
      </c>
      <c r="E39" s="66">
        <v>334860</v>
      </c>
      <c r="F39" s="66">
        <v>319599</v>
      </c>
      <c r="G39" s="66">
        <v>319599</v>
      </c>
      <c r="H39" s="66">
        <v>468447</v>
      </c>
      <c r="I39" s="66">
        <v>334860</v>
      </c>
      <c r="J39" s="66">
        <v>219819</v>
      </c>
      <c r="K39" s="66">
        <v>264403</v>
      </c>
      <c r="L39" s="66">
        <v>264403</v>
      </c>
      <c r="M39" s="66">
        <v>344031</v>
      </c>
      <c r="N39" s="66">
        <v>315179</v>
      </c>
      <c r="O39" s="66">
        <v>263258</v>
      </c>
      <c r="P39" s="66">
        <v>572990</v>
      </c>
      <c r="Q39" s="66">
        <v>572990</v>
      </c>
      <c r="R39" s="66">
        <v>455545</v>
      </c>
      <c r="S39" s="66">
        <v>270704</v>
      </c>
      <c r="T39" s="66">
        <v>655952</v>
      </c>
      <c r="U39" s="66">
        <v>566073</v>
      </c>
      <c r="V39" s="66">
        <v>566073</v>
      </c>
      <c r="W39" s="66">
        <v>498864</v>
      </c>
      <c r="X39" s="66">
        <v>303800</v>
      </c>
      <c r="Y39" s="72">
        <v>310211</v>
      </c>
      <c r="Z39" s="66">
        <v>413440</v>
      </c>
      <c r="AA39" s="66">
        <v>413440</v>
      </c>
      <c r="AB39" s="66">
        <v>293483</v>
      </c>
      <c r="AC39" s="66">
        <v>329534</v>
      </c>
      <c r="AD39" s="66">
        <v>447646</v>
      </c>
      <c r="AE39" s="66">
        <v>341232</v>
      </c>
      <c r="AF39" s="66">
        <v>341232</v>
      </c>
      <c r="AG39" s="66">
        <v>508547</v>
      </c>
      <c r="AH39" s="66">
        <v>542583</v>
      </c>
      <c r="AI39" s="66">
        <v>493936</v>
      </c>
      <c r="AJ39" s="66">
        <v>382583</v>
      </c>
      <c r="AK39" s="66">
        <v>382583</v>
      </c>
      <c r="AL39" s="66">
        <v>336534</v>
      </c>
      <c r="AM39" s="66">
        <v>568655</v>
      </c>
      <c r="AN39" s="66">
        <v>329876</v>
      </c>
      <c r="AO39" s="66">
        <v>899209</v>
      </c>
      <c r="AP39" s="67">
        <v>899209</v>
      </c>
      <c r="AQ39" s="66">
        <v>828429</v>
      </c>
      <c r="AR39" s="66">
        <v>719514</v>
      </c>
      <c r="AS39" s="66">
        <v>619044</v>
      </c>
      <c r="AT39" s="66">
        <v>416217</v>
      </c>
      <c r="AU39" s="67">
        <v>416217</v>
      </c>
      <c r="AV39" s="67">
        <v>353054</v>
      </c>
      <c r="AW39" s="67">
        <v>659400</v>
      </c>
      <c r="AX39" s="67">
        <v>632853</v>
      </c>
      <c r="AY39" s="67">
        <v>740308</v>
      </c>
      <c r="AZ39" s="67">
        <v>740308</v>
      </c>
      <c r="BA39" s="67">
        <v>577144</v>
      </c>
      <c r="BB39" s="68">
        <v>653431</v>
      </c>
      <c r="BC39" s="67">
        <v>432107</v>
      </c>
      <c r="BD39" s="67">
        <v>329206</v>
      </c>
      <c r="BE39" s="67">
        <v>329206</v>
      </c>
      <c r="BF39" s="67">
        <v>351244</v>
      </c>
      <c r="BG39" s="67">
        <v>312490</v>
      </c>
      <c r="BH39" s="67">
        <v>331183</v>
      </c>
      <c r="BI39" s="67">
        <v>313465</v>
      </c>
      <c r="BJ39" s="67">
        <v>313465</v>
      </c>
      <c r="BK39" s="67">
        <v>580489.1910141519</v>
      </c>
      <c r="BL39" s="67">
        <v>1368105</v>
      </c>
      <c r="BM39" s="67">
        <v>680533</v>
      </c>
      <c r="BN39" s="67">
        <v>407737</v>
      </c>
      <c r="BO39" s="67">
        <v>407737</v>
      </c>
      <c r="BP39" s="67">
        <v>438466</v>
      </c>
      <c r="BQ39" s="67">
        <f>BQ40</f>
        <v>438466</v>
      </c>
    </row>
    <row r="40" spans="1:69" s="16" customFormat="1" ht="15" customHeight="1" x14ac:dyDescent="0.3">
      <c r="A40" t="s">
        <v>122</v>
      </c>
      <c r="B40" s="17" t="str">
        <f>IF('Sumário | Summary'!P1=1,"Caixa, Investimentos e Valores Mobiliários","Cash and Equivalents")</f>
        <v>Caixa, Investimentos e Valores Mobiliários</v>
      </c>
      <c r="C40" s="63">
        <v>0</v>
      </c>
      <c r="D40" s="63">
        <v>0</v>
      </c>
      <c r="E40" s="63">
        <v>334860</v>
      </c>
      <c r="F40" s="63">
        <v>319599</v>
      </c>
      <c r="G40" s="63">
        <v>319599</v>
      </c>
      <c r="H40" s="63">
        <v>468447</v>
      </c>
      <c r="I40" s="63">
        <v>334860</v>
      </c>
      <c r="J40" s="63">
        <v>219819</v>
      </c>
      <c r="K40" s="63">
        <v>264403</v>
      </c>
      <c r="L40" s="63">
        <v>264403</v>
      </c>
      <c r="M40" s="63">
        <v>344031</v>
      </c>
      <c r="N40" s="63">
        <v>315179</v>
      </c>
      <c r="O40" s="63">
        <v>263258</v>
      </c>
      <c r="P40" s="63">
        <v>572990</v>
      </c>
      <c r="Q40" s="63">
        <v>572990</v>
      </c>
      <c r="R40" s="63">
        <v>455545</v>
      </c>
      <c r="S40" s="63">
        <v>270704</v>
      </c>
      <c r="T40" s="63">
        <v>655952</v>
      </c>
      <c r="U40" s="63">
        <v>566073</v>
      </c>
      <c r="V40" s="63">
        <v>566073</v>
      </c>
      <c r="W40" s="63">
        <v>498864</v>
      </c>
      <c r="X40" s="63">
        <v>303800</v>
      </c>
      <c r="Y40" s="87">
        <v>310211</v>
      </c>
      <c r="Z40" s="63">
        <v>413440</v>
      </c>
      <c r="AA40" s="63">
        <v>413440</v>
      </c>
      <c r="AB40" s="63">
        <v>293483</v>
      </c>
      <c r="AC40" s="63">
        <v>329534</v>
      </c>
      <c r="AD40" s="63">
        <v>447646</v>
      </c>
      <c r="AE40" s="63">
        <v>341232</v>
      </c>
      <c r="AF40" s="63">
        <v>341232</v>
      </c>
      <c r="AG40" s="63">
        <v>508547</v>
      </c>
      <c r="AH40" s="63">
        <v>542583</v>
      </c>
      <c r="AI40" s="63">
        <v>493936</v>
      </c>
      <c r="AJ40" s="63">
        <v>382583</v>
      </c>
      <c r="AK40" s="63">
        <v>382583</v>
      </c>
      <c r="AL40" s="63">
        <v>336534</v>
      </c>
      <c r="AM40" s="63">
        <v>568655</v>
      </c>
      <c r="AN40" s="63">
        <v>329876</v>
      </c>
      <c r="AO40" s="63">
        <v>899209</v>
      </c>
      <c r="AP40" s="64">
        <v>899209</v>
      </c>
      <c r="AQ40" s="63">
        <v>828429</v>
      </c>
      <c r="AR40" s="63">
        <v>719514</v>
      </c>
      <c r="AS40" s="63">
        <v>619044</v>
      </c>
      <c r="AT40" s="63">
        <v>416217</v>
      </c>
      <c r="AU40" s="64">
        <v>416217</v>
      </c>
      <c r="AV40" s="64">
        <v>353054</v>
      </c>
      <c r="AW40" s="64">
        <v>659400</v>
      </c>
      <c r="AX40" s="64">
        <v>632853</v>
      </c>
      <c r="AY40" s="65">
        <v>740308</v>
      </c>
      <c r="AZ40" s="64">
        <v>740308</v>
      </c>
      <c r="BA40" s="64">
        <v>577144</v>
      </c>
      <c r="BB40" s="65">
        <v>653431</v>
      </c>
      <c r="BC40" s="64">
        <v>432107</v>
      </c>
      <c r="BD40" s="64">
        <v>329206</v>
      </c>
      <c r="BE40" s="64">
        <v>329206</v>
      </c>
      <c r="BF40" s="64">
        <v>351244</v>
      </c>
      <c r="BG40" s="64">
        <v>312490</v>
      </c>
      <c r="BH40" s="64">
        <v>331183</v>
      </c>
      <c r="BI40" s="64">
        <v>313465</v>
      </c>
      <c r="BJ40" s="64">
        <v>313465</v>
      </c>
      <c r="BK40" s="64">
        <v>580489.1910141519</v>
      </c>
      <c r="BL40" s="64">
        <v>1368105</v>
      </c>
      <c r="BM40" s="64">
        <v>680533</v>
      </c>
      <c r="BN40" s="64">
        <v>407737</v>
      </c>
      <c r="BO40" s="64">
        <v>407737</v>
      </c>
      <c r="BP40" s="64">
        <v>438466</v>
      </c>
      <c r="BQ40" s="64">
        <v>438466</v>
      </c>
    </row>
    <row r="41" spans="1:69" s="69" customFormat="1" ht="15" customHeight="1" x14ac:dyDescent="0.3">
      <c r="A41" t="s">
        <v>123</v>
      </c>
      <c r="B41" s="13" t="str">
        <f>IF('Sumário | Summary'!P1=1,"Dívida Líquida Total","Net Debt")</f>
        <v>Dívida Líquida Total</v>
      </c>
      <c r="C41" s="88">
        <v>0</v>
      </c>
      <c r="D41" s="88">
        <v>0</v>
      </c>
      <c r="E41" s="88">
        <v>862344</v>
      </c>
      <c r="F41" s="88">
        <v>588398</v>
      </c>
      <c r="G41" s="88">
        <v>588398</v>
      </c>
      <c r="H41" s="88">
        <v>629650</v>
      </c>
      <c r="I41" s="88">
        <v>862344</v>
      </c>
      <c r="J41" s="88">
        <v>1135355</v>
      </c>
      <c r="K41" s="88">
        <v>1361644</v>
      </c>
      <c r="L41" s="88">
        <v>1361644</v>
      </c>
      <c r="M41" s="88">
        <v>1556146</v>
      </c>
      <c r="N41" s="88">
        <v>1647062</v>
      </c>
      <c r="O41" s="88">
        <v>1787093</v>
      </c>
      <c r="P41" s="88">
        <v>1910837</v>
      </c>
      <c r="Q41" s="88">
        <v>1910837</v>
      </c>
      <c r="R41" s="88">
        <v>1981978</v>
      </c>
      <c r="S41" s="88">
        <v>2146086</v>
      </c>
      <c r="T41" s="88">
        <v>1830719</v>
      </c>
      <c r="U41" s="88">
        <v>1922371</v>
      </c>
      <c r="V41" s="88">
        <v>1922371</v>
      </c>
      <c r="W41" s="88">
        <v>1772095</v>
      </c>
      <c r="X41" s="88">
        <v>1950531</v>
      </c>
      <c r="Y41" s="88">
        <v>2029737</v>
      </c>
      <c r="Z41" s="88">
        <v>2048640</v>
      </c>
      <c r="AA41" s="88">
        <v>2048640</v>
      </c>
      <c r="AB41" s="88">
        <v>2085922</v>
      </c>
      <c r="AC41" s="88">
        <v>2110623</v>
      </c>
      <c r="AD41" s="88">
        <v>1323766</v>
      </c>
      <c r="AE41" s="88">
        <v>1318795</v>
      </c>
      <c r="AF41" s="88">
        <v>1318795</v>
      </c>
      <c r="AG41" s="88">
        <v>1310571</v>
      </c>
      <c r="AH41" s="88">
        <v>1250446</v>
      </c>
      <c r="AI41" s="88">
        <v>1253566</v>
      </c>
      <c r="AJ41" s="88">
        <v>1351198</v>
      </c>
      <c r="AK41" s="88">
        <v>1351198</v>
      </c>
      <c r="AL41" s="88">
        <v>1325813</v>
      </c>
      <c r="AM41" s="88">
        <v>1379260</v>
      </c>
      <c r="AN41" s="88">
        <v>1378292</v>
      </c>
      <c r="AO41" s="88">
        <v>1105548</v>
      </c>
      <c r="AP41" s="89">
        <v>1105548</v>
      </c>
      <c r="AQ41" s="88">
        <v>1126930</v>
      </c>
      <c r="AR41" s="88">
        <v>1229221</v>
      </c>
      <c r="AS41" s="88">
        <v>1277516</v>
      </c>
      <c r="AT41" s="88">
        <v>1470567</v>
      </c>
      <c r="AU41" s="89">
        <v>1470567</v>
      </c>
      <c r="AV41" s="89">
        <v>1456800</v>
      </c>
      <c r="AW41" s="89">
        <v>1457599</v>
      </c>
      <c r="AX41" s="89">
        <v>1442787</v>
      </c>
      <c r="AY41" s="89">
        <v>1256578</v>
      </c>
      <c r="AZ41" s="89">
        <v>1256578</v>
      </c>
      <c r="BA41" s="89">
        <v>1247397</v>
      </c>
      <c r="BB41" s="90">
        <v>989549</v>
      </c>
      <c r="BC41" s="89">
        <v>1009367</v>
      </c>
      <c r="BD41" s="89">
        <v>1085110</v>
      </c>
      <c r="BE41" s="89">
        <v>1085110</v>
      </c>
      <c r="BF41" s="89">
        <v>1074190</v>
      </c>
      <c r="BG41" s="89">
        <v>1086450</v>
      </c>
      <c r="BH41" s="89">
        <v>1073303</v>
      </c>
      <c r="BI41" s="89">
        <v>1055583</v>
      </c>
      <c r="BJ41" s="89">
        <v>1055583</v>
      </c>
      <c r="BK41" s="89">
        <v>797534.8089858481</v>
      </c>
      <c r="BL41" s="89">
        <v>25441</v>
      </c>
      <c r="BM41" s="89">
        <v>564215</v>
      </c>
      <c r="BN41" s="89">
        <v>807958</v>
      </c>
      <c r="BO41" s="89">
        <v>807958</v>
      </c>
      <c r="BP41" s="89">
        <v>796399</v>
      </c>
      <c r="BQ41" s="89">
        <f>BQ36-BQ39</f>
        <v>424347</v>
      </c>
    </row>
    <row r="42" spans="1:69" s="16" customFormat="1" ht="15" customHeight="1" x14ac:dyDescent="0.3">
      <c r="A42" t="s">
        <v>124</v>
      </c>
      <c r="B42" s="17" t="str">
        <f>IF('Sumário | Summary'!P1=1,"Dívida Líquida Total/EBITDA UDM","Total Net Debt/EBITDA LTM")</f>
        <v>Dívida Líquida Total/EBITDA UDM</v>
      </c>
      <c r="C42" s="63">
        <v>0</v>
      </c>
      <c r="D42" s="63">
        <v>0</v>
      </c>
      <c r="E42" s="63">
        <v>0</v>
      </c>
      <c r="F42" s="91">
        <v>2.3541560848898659</v>
      </c>
      <c r="G42" s="91">
        <v>2.3541560848898659</v>
      </c>
      <c r="H42" s="91">
        <v>2.2323098597668642</v>
      </c>
      <c r="I42" s="91">
        <v>3.5679584698412259</v>
      </c>
      <c r="J42" s="91">
        <v>4.512375571200403</v>
      </c>
      <c r="K42" s="91">
        <v>5.7460110474548927</v>
      </c>
      <c r="L42" s="91">
        <v>5.7460110474548927</v>
      </c>
      <c r="M42" s="91">
        <v>6.7396540543983798</v>
      </c>
      <c r="N42" s="91">
        <v>7.2015959628481143</v>
      </c>
      <c r="O42" s="91">
        <v>7.130932752602483</v>
      </c>
      <c r="P42" s="91">
        <v>7.5639163694341143</v>
      </c>
      <c r="Q42" s="91">
        <v>7.5639163694341143</v>
      </c>
      <c r="R42" s="91">
        <v>8.3084612143662877</v>
      </c>
      <c r="S42" s="91">
        <v>8.1235098634094083</v>
      </c>
      <c r="T42" s="91">
        <v>6.9212685382817822</v>
      </c>
      <c r="U42" s="91">
        <v>6.7237758439649546</v>
      </c>
      <c r="V42" s="91">
        <v>6.7237758439649546</v>
      </c>
      <c r="W42" s="91">
        <v>5.214041233746876</v>
      </c>
      <c r="X42" s="91">
        <v>5.9504161006679315</v>
      </c>
      <c r="Y42" s="91">
        <v>6.3035343462596529</v>
      </c>
      <c r="Z42" s="91">
        <v>6.3949223220290268</v>
      </c>
      <c r="AA42" s="91">
        <v>6.3949223220290268</v>
      </c>
      <c r="AB42" s="91">
        <v>7.5912468447869328</v>
      </c>
      <c r="AC42" s="91">
        <v>7.5812150327552743</v>
      </c>
      <c r="AD42" s="91">
        <v>2.4377738209441859</v>
      </c>
      <c r="AE42" s="91">
        <v>2.5137288448622135</v>
      </c>
      <c r="AF42" s="91">
        <v>2.5137288448622135</v>
      </c>
      <c r="AG42" s="91">
        <v>2.4239813290484524</v>
      </c>
      <c r="AH42" s="91">
        <v>2.2010272512061948</v>
      </c>
      <c r="AI42" s="91">
        <v>4.6846256958327741</v>
      </c>
      <c r="AJ42" s="91">
        <v>5.1990574416731246</v>
      </c>
      <c r="AK42" s="91">
        <v>5.1990574416731246</v>
      </c>
      <c r="AL42" s="91">
        <v>5.0811541461899692</v>
      </c>
      <c r="AM42" s="91">
        <v>6.366156170831661</v>
      </c>
      <c r="AN42" s="91">
        <v>5.2666815854634415</v>
      </c>
      <c r="AO42" s="91">
        <v>3.5013196945440135</v>
      </c>
      <c r="AP42" s="92">
        <v>3.5013196945440135</v>
      </c>
      <c r="AQ42" s="91">
        <v>3.4237041990489332</v>
      </c>
      <c r="AR42" s="91">
        <v>3.7930308440471419</v>
      </c>
      <c r="AS42" s="91">
        <v>3.7601644538985055</v>
      </c>
      <c r="AT42" s="91">
        <v>4.7038435619989549</v>
      </c>
      <c r="AU42" s="92">
        <v>4.7038435619989549</v>
      </c>
      <c r="AV42" s="92">
        <v>4.8316542626971701</v>
      </c>
      <c r="AW42" s="92">
        <v>4.3889916649116589</v>
      </c>
      <c r="AX42" s="92">
        <v>4.3689928083136662</v>
      </c>
      <c r="AY42" s="93">
        <v>0.73540112280196468</v>
      </c>
      <c r="AZ42" s="92">
        <v>0.73540112280196468</v>
      </c>
      <c r="BA42" s="92">
        <v>0.73648004729689398</v>
      </c>
      <c r="BB42" s="93">
        <v>0.59475496747974388</v>
      </c>
      <c r="BC42" s="92">
        <v>3.7885538218867345</v>
      </c>
      <c r="BD42" s="92">
        <v>5.2381048755176547</v>
      </c>
      <c r="BE42" s="92">
        <v>5.2381048755176547</v>
      </c>
      <c r="BF42" s="92">
        <v>5.4611122409241419</v>
      </c>
      <c r="BG42" s="92">
        <v>5.3875160146569625</v>
      </c>
      <c r="BH42" s="92">
        <v>5.3073508296661762</v>
      </c>
      <c r="BI42" s="92">
        <v>4.477380870196785</v>
      </c>
      <c r="BJ42" s="92">
        <v>4.477380870196785</v>
      </c>
      <c r="BK42" s="92">
        <v>3.2106369305574289</v>
      </c>
      <c r="BL42" s="92">
        <v>2.744976758504716E-2</v>
      </c>
      <c r="BM42" s="92">
        <v>0.62510765791914269</v>
      </c>
      <c r="BN42" s="92">
        <v>0.90491330194282116</v>
      </c>
      <c r="BO42" s="92">
        <v>0.90491330194282116</v>
      </c>
      <c r="BP42" s="92">
        <v>0.90310523982797497</v>
      </c>
      <c r="BQ42" s="92">
        <v>0.78877129603839002</v>
      </c>
    </row>
    <row r="43" spans="1:69" s="16" customFormat="1" ht="15" customHeight="1" x14ac:dyDescent="0.3">
      <c r="A43"/>
      <c r="B43" s="76"/>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P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row>
    <row r="44" spans="1:69" s="16" customFormat="1" ht="18.75" customHeight="1" x14ac:dyDescent="0.3">
      <c r="A44"/>
      <c r="B44" s="61" t="str">
        <f>IF('Sumário | Summary'!P1=1,"Endividamento Proforma","Proforma Debt")</f>
        <v>Endividamento Proforma</v>
      </c>
      <c r="C44" s="62"/>
      <c r="D44" s="61"/>
      <c r="E44" s="62"/>
      <c r="F44" s="61"/>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1"/>
      <c r="AQ44" s="62"/>
      <c r="AR44" s="62"/>
      <c r="AS44" s="62"/>
      <c r="AT44" s="62"/>
      <c r="AU44" s="61"/>
      <c r="AV44" s="61"/>
      <c r="AW44" s="61"/>
      <c r="AX44" s="61"/>
      <c r="AY44" s="61"/>
      <c r="AZ44" s="61"/>
      <c r="BA44" s="61"/>
      <c r="BB44" s="61"/>
      <c r="BC44" s="61"/>
      <c r="BD44" s="61"/>
      <c r="BE44" s="61"/>
      <c r="BF44" s="61"/>
      <c r="BG44" s="61"/>
      <c r="BH44" s="61"/>
      <c r="BI44" s="61"/>
      <c r="BJ44" s="61"/>
      <c r="BK44" s="61"/>
      <c r="BL44" s="61"/>
      <c r="BM44" s="61"/>
      <c r="BN44" s="61"/>
      <c r="BO44" s="61"/>
      <c r="BP44" s="61"/>
      <c r="BQ44" s="61"/>
    </row>
    <row r="45" spans="1:69" s="69" customFormat="1" ht="15" customHeight="1" x14ac:dyDescent="0.3">
      <c r="A45" t="s">
        <v>118</v>
      </c>
      <c r="B45" s="13" t="str">
        <f>IF('Sumário | Summary'!P1=1,"Endividamento","Debt")</f>
        <v>Endividamento</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v>2533614</v>
      </c>
      <c r="AC45" s="67">
        <v>2455163</v>
      </c>
      <c r="AD45" s="67">
        <v>1692720</v>
      </c>
      <c r="AE45" s="67">
        <v>1575077</v>
      </c>
      <c r="AF45" s="67">
        <v>1575077</v>
      </c>
      <c r="AG45" s="67">
        <v>1741045</v>
      </c>
      <c r="AH45" s="67">
        <v>1715464</v>
      </c>
      <c r="AI45" s="67">
        <v>1674805</v>
      </c>
      <c r="AJ45" s="67">
        <v>1633235</v>
      </c>
      <c r="AK45" s="67">
        <v>1633235</v>
      </c>
      <c r="AL45" s="67">
        <v>1573595</v>
      </c>
      <c r="AM45" s="67">
        <v>1831187</v>
      </c>
      <c r="AN45" s="67">
        <v>1602546</v>
      </c>
      <c r="AO45" s="67">
        <v>1617262</v>
      </c>
      <c r="AP45" s="67">
        <v>1617262</v>
      </c>
      <c r="AQ45" s="67">
        <v>1656280.6</v>
      </c>
      <c r="AR45" s="67">
        <v>1649847.33</v>
      </c>
      <c r="AS45" s="67">
        <v>1597889.26</v>
      </c>
      <c r="AT45" s="67">
        <v>1588123.02</v>
      </c>
      <c r="AU45" s="67">
        <v>1588123.02</v>
      </c>
      <c r="AV45" s="67">
        <v>1434653</v>
      </c>
      <c r="AW45" s="67">
        <v>1744866</v>
      </c>
      <c r="AX45" s="67">
        <v>1706513</v>
      </c>
      <c r="AY45" s="67">
        <v>1657885</v>
      </c>
      <c r="AZ45" s="67">
        <v>1657885</v>
      </c>
      <c r="BA45" s="67">
        <v>1487944</v>
      </c>
      <c r="BB45" s="67">
        <v>1309704</v>
      </c>
      <c r="BC45" s="67">
        <v>1110553</v>
      </c>
      <c r="BD45" s="67">
        <v>1086202</v>
      </c>
      <c r="BE45" s="67">
        <v>1086202</v>
      </c>
      <c r="BF45" s="67">
        <v>1099859</v>
      </c>
      <c r="BG45" s="67">
        <v>1075957</v>
      </c>
      <c r="BH45" s="67">
        <v>1084145</v>
      </c>
      <c r="BI45" s="67">
        <v>1051176</v>
      </c>
      <c r="BJ45" s="67">
        <v>1051176</v>
      </c>
      <c r="BK45" s="67">
        <v>1062173</v>
      </c>
      <c r="BL45" s="67">
        <v>1018940</v>
      </c>
      <c r="BM45" s="67">
        <v>888065</v>
      </c>
      <c r="BN45" s="67">
        <v>858955</v>
      </c>
      <c r="BO45" s="67">
        <v>858955</v>
      </c>
      <c r="BP45" s="67">
        <v>877845</v>
      </c>
      <c r="BQ45" s="67">
        <f>BQ46+BQ47</f>
        <v>505049</v>
      </c>
    </row>
    <row r="46" spans="1:69" s="16" customFormat="1" ht="15" customHeight="1" x14ac:dyDescent="0.3">
      <c r="A46" t="s">
        <v>119</v>
      </c>
      <c r="B46" s="17" t="str">
        <f>IF('Sumário | Summary'!P1=1,"Financiamentos e Empréstimos","Loans and Financing")</f>
        <v>Financiamentos e Empréstimos</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v>1447107</v>
      </c>
      <c r="AC46" s="64">
        <v>1383336</v>
      </c>
      <c r="AD46" s="64">
        <v>876005</v>
      </c>
      <c r="AE46" s="64">
        <v>857816.99999999988</v>
      </c>
      <c r="AF46" s="64">
        <v>857816.99999999988</v>
      </c>
      <c r="AG46" s="64">
        <v>823016.99999999988</v>
      </c>
      <c r="AH46" s="64">
        <v>793678</v>
      </c>
      <c r="AI46" s="64">
        <v>792000</v>
      </c>
      <c r="AJ46" s="64">
        <v>542416</v>
      </c>
      <c r="AK46" s="64">
        <v>542416</v>
      </c>
      <c r="AL46" s="64">
        <v>546226</v>
      </c>
      <c r="AM46" s="64">
        <v>504618</v>
      </c>
      <c r="AN46" s="64">
        <v>509655.00000000006</v>
      </c>
      <c r="AO46" s="64">
        <v>181312</v>
      </c>
      <c r="AP46" s="64">
        <v>181312</v>
      </c>
      <c r="AQ46" s="64">
        <v>180680</v>
      </c>
      <c r="AR46" s="64">
        <v>179626</v>
      </c>
      <c r="AS46" s="64">
        <v>178560</v>
      </c>
      <c r="AT46" s="64">
        <v>177565</v>
      </c>
      <c r="AU46" s="64">
        <v>177565</v>
      </c>
      <c r="AV46" s="64">
        <v>176543</v>
      </c>
      <c r="AW46" s="64">
        <v>175448</v>
      </c>
      <c r="AX46" s="64">
        <v>174365</v>
      </c>
      <c r="AY46" s="64">
        <v>118922</v>
      </c>
      <c r="AZ46" s="64">
        <v>118922</v>
      </c>
      <c r="BA46" s="64">
        <v>118965</v>
      </c>
      <c r="BB46" s="64">
        <v>118926</v>
      </c>
      <c r="BC46" s="64">
        <v>118999</v>
      </c>
      <c r="BD46" s="64">
        <v>118999</v>
      </c>
      <c r="BE46" s="64">
        <v>118999</v>
      </c>
      <c r="BF46" s="64">
        <v>118999</v>
      </c>
      <c r="BG46" s="64">
        <v>118999</v>
      </c>
      <c r="BH46" s="64">
        <v>118982</v>
      </c>
      <c r="BI46" s="64">
        <v>118907</v>
      </c>
      <c r="BJ46" s="64">
        <v>118907</v>
      </c>
      <c r="BK46" s="64">
        <v>118894</v>
      </c>
      <c r="BL46" s="64">
        <v>39630</v>
      </c>
      <c r="BM46" s="64">
        <v>39631</v>
      </c>
      <c r="BN46" s="64">
        <v>39638</v>
      </c>
      <c r="BO46" s="64">
        <v>39638</v>
      </c>
      <c r="BP46" s="64">
        <v>39669</v>
      </c>
      <c r="BQ46" s="64">
        <v>39649</v>
      </c>
    </row>
    <row r="47" spans="1:69" s="16" customFormat="1" ht="15" customHeight="1" x14ac:dyDescent="0.3">
      <c r="A47" t="s">
        <v>120</v>
      </c>
      <c r="B47" s="17" t="str">
        <f>IF('Sumário | Summary'!P1=1,"Debêntures e Notas Promissórias","Debentures")</f>
        <v>Debêntures e Notas Promissórias</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v>1086507</v>
      </c>
      <c r="AC47" s="64">
        <v>1071827</v>
      </c>
      <c r="AD47" s="64">
        <v>816715</v>
      </c>
      <c r="AE47" s="64">
        <v>717260</v>
      </c>
      <c r="AF47" s="64">
        <v>717260</v>
      </c>
      <c r="AG47" s="64">
        <v>918028</v>
      </c>
      <c r="AH47" s="64">
        <v>921786</v>
      </c>
      <c r="AI47" s="64">
        <v>882805.00000000012</v>
      </c>
      <c r="AJ47" s="64">
        <v>1090819</v>
      </c>
      <c r="AK47" s="64">
        <v>1090819</v>
      </c>
      <c r="AL47" s="64">
        <v>1027368.9999999999</v>
      </c>
      <c r="AM47" s="64">
        <v>1326569</v>
      </c>
      <c r="AN47" s="64">
        <v>1092891</v>
      </c>
      <c r="AO47" s="64">
        <v>1435950</v>
      </c>
      <c r="AP47" s="64">
        <v>1435950</v>
      </c>
      <c r="AQ47" s="64">
        <v>1475600.6</v>
      </c>
      <c r="AR47" s="64">
        <v>1470221.33</v>
      </c>
      <c r="AS47" s="64">
        <v>1419329.26</v>
      </c>
      <c r="AT47" s="64">
        <v>1410558.02</v>
      </c>
      <c r="AU47" s="64">
        <v>1410558.02</v>
      </c>
      <c r="AV47" s="64">
        <v>1258110</v>
      </c>
      <c r="AW47" s="64">
        <v>1569418</v>
      </c>
      <c r="AX47" s="64">
        <v>1532148</v>
      </c>
      <c r="AY47" s="64">
        <v>1538963</v>
      </c>
      <c r="AZ47" s="64">
        <v>1538963</v>
      </c>
      <c r="BA47" s="64">
        <v>1368979</v>
      </c>
      <c r="BB47" s="64">
        <v>1190778</v>
      </c>
      <c r="BC47" s="64">
        <v>991554</v>
      </c>
      <c r="BD47" s="64">
        <v>967203</v>
      </c>
      <c r="BE47" s="64">
        <v>967203</v>
      </c>
      <c r="BF47" s="64">
        <v>980860</v>
      </c>
      <c r="BG47" s="64">
        <v>956958</v>
      </c>
      <c r="BH47" s="64">
        <v>965163</v>
      </c>
      <c r="BI47" s="64">
        <v>932269</v>
      </c>
      <c r="BJ47" s="64">
        <v>932269</v>
      </c>
      <c r="BK47" s="64">
        <v>943279</v>
      </c>
      <c r="BL47" s="64">
        <v>979310</v>
      </c>
      <c r="BM47" s="64">
        <v>848434</v>
      </c>
      <c r="BN47" s="64">
        <v>819317</v>
      </c>
      <c r="BO47" s="64">
        <v>819317</v>
      </c>
      <c r="BP47" s="64">
        <v>838176</v>
      </c>
      <c r="BQ47" s="64">
        <v>465400</v>
      </c>
    </row>
    <row r="48" spans="1:69" s="69" customFormat="1" ht="15" customHeight="1" x14ac:dyDescent="0.3">
      <c r="A48" t="s">
        <v>121</v>
      </c>
      <c r="B48" s="13" t="str">
        <f>IF('Sumário | Summary'!P1=1,"Disponibilidades","Cash and Equivalents")</f>
        <v>Disponibilidades</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v>279756</v>
      </c>
      <c r="AC48" s="67">
        <v>312027.00000000006</v>
      </c>
      <c r="AD48" s="67">
        <v>433324</v>
      </c>
      <c r="AE48" s="67">
        <v>325818.99999999994</v>
      </c>
      <c r="AF48" s="67">
        <v>325818.99999999994</v>
      </c>
      <c r="AG48" s="67">
        <v>491556</v>
      </c>
      <c r="AH48" s="67">
        <v>528844</v>
      </c>
      <c r="AI48" s="67">
        <v>467798</v>
      </c>
      <c r="AJ48" s="67">
        <v>366781</v>
      </c>
      <c r="AK48" s="67">
        <v>366781</v>
      </c>
      <c r="AL48" s="67">
        <v>313479.00000000006</v>
      </c>
      <c r="AM48" s="67">
        <v>544889</v>
      </c>
      <c r="AN48" s="67">
        <v>304904</v>
      </c>
      <c r="AO48" s="67">
        <v>867431.99999999988</v>
      </c>
      <c r="AP48" s="67">
        <v>867431.99999999988</v>
      </c>
      <c r="AQ48" s="67">
        <v>828428.40403632692</v>
      </c>
      <c r="AR48" s="67">
        <v>719514.13059659989</v>
      </c>
      <c r="AS48" s="67">
        <v>586028.94602988707</v>
      </c>
      <c r="AT48" s="67">
        <v>392550.59578783787</v>
      </c>
      <c r="AU48" s="67">
        <v>392550.59578783787</v>
      </c>
      <c r="AV48" s="67">
        <v>321635</v>
      </c>
      <c r="AW48" s="67">
        <v>619004</v>
      </c>
      <c r="AX48" s="67">
        <v>583557</v>
      </c>
      <c r="AY48" s="67">
        <v>707643</v>
      </c>
      <c r="AZ48" s="67">
        <v>707643</v>
      </c>
      <c r="BA48" s="67">
        <v>546808</v>
      </c>
      <c r="BB48" s="67">
        <v>621329</v>
      </c>
      <c r="BC48" s="67">
        <v>405000</v>
      </c>
      <c r="BD48" s="67">
        <v>316919</v>
      </c>
      <c r="BE48" s="67">
        <v>316919</v>
      </c>
      <c r="BF48" s="67">
        <v>327710</v>
      </c>
      <c r="BG48" s="67">
        <v>292324.40992920002</v>
      </c>
      <c r="BH48" s="67">
        <v>304101.63265583199</v>
      </c>
      <c r="BI48" s="67">
        <v>282780.51583749597</v>
      </c>
      <c r="BJ48" s="67">
        <v>282780.51583749597</v>
      </c>
      <c r="BK48" s="67">
        <v>623257</v>
      </c>
      <c r="BL48" s="67">
        <v>1219751.0981075526</v>
      </c>
      <c r="BM48" s="67">
        <v>564681.98483439873</v>
      </c>
      <c r="BN48" s="67">
        <v>386235.93750782456</v>
      </c>
      <c r="BO48" s="67">
        <v>386235.93750782456</v>
      </c>
      <c r="BP48" s="67">
        <v>419356.40946254693</v>
      </c>
      <c r="BQ48" s="67">
        <f>BQ49</f>
        <v>553086.91488531616</v>
      </c>
    </row>
    <row r="49" spans="1:69" s="16" customFormat="1" ht="15" customHeight="1" x14ac:dyDescent="0.3">
      <c r="A49" t="s">
        <v>122</v>
      </c>
      <c r="B49" s="17" t="str">
        <f>IF('Sumário | Summary'!P1=1,"Caixa, Investimentos e Valores Mobiliários","Cash and Equivalents")</f>
        <v>Caixa, Investimentos e Valores Mobiliários</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v>279756</v>
      </c>
      <c r="AC49" s="64">
        <v>312027.00000000006</v>
      </c>
      <c r="AD49" s="64">
        <v>433324</v>
      </c>
      <c r="AE49" s="64">
        <v>325818.99999999994</v>
      </c>
      <c r="AF49" s="64">
        <v>325818.99999999994</v>
      </c>
      <c r="AG49" s="64">
        <v>491556</v>
      </c>
      <c r="AH49" s="64">
        <v>528844</v>
      </c>
      <c r="AI49" s="64">
        <v>467798</v>
      </c>
      <c r="AJ49" s="64">
        <v>366781</v>
      </c>
      <c r="AK49" s="64">
        <v>366781</v>
      </c>
      <c r="AL49" s="64">
        <v>313479.00000000006</v>
      </c>
      <c r="AM49" s="64">
        <v>544889</v>
      </c>
      <c r="AN49" s="64">
        <v>304904</v>
      </c>
      <c r="AO49" s="64">
        <v>867431.99999999988</v>
      </c>
      <c r="AP49" s="64">
        <v>867431.99999999988</v>
      </c>
      <c r="AQ49" s="64">
        <v>828428.40403632692</v>
      </c>
      <c r="AR49" s="64">
        <v>719514.13059659989</v>
      </c>
      <c r="AS49" s="64">
        <v>586028.94602988707</v>
      </c>
      <c r="AT49" s="64">
        <v>392550.59578783787</v>
      </c>
      <c r="AU49" s="64">
        <v>392550.59578783787</v>
      </c>
      <c r="AV49" s="64">
        <v>321635</v>
      </c>
      <c r="AW49" s="64">
        <v>619004</v>
      </c>
      <c r="AX49" s="64">
        <v>583557</v>
      </c>
      <c r="AY49" s="64">
        <v>707643</v>
      </c>
      <c r="AZ49" s="64">
        <v>707643</v>
      </c>
      <c r="BA49" s="64">
        <v>546808</v>
      </c>
      <c r="BB49" s="64">
        <v>621329</v>
      </c>
      <c r="BC49" s="64">
        <v>405000</v>
      </c>
      <c r="BD49" s="64">
        <v>316919</v>
      </c>
      <c r="BE49" s="64">
        <v>316919</v>
      </c>
      <c r="BF49" s="64">
        <v>327710</v>
      </c>
      <c r="BG49" s="64">
        <v>292324.40992920002</v>
      </c>
      <c r="BH49" s="64">
        <v>304101.63265583199</v>
      </c>
      <c r="BI49" s="64">
        <v>282780.51583749597</v>
      </c>
      <c r="BJ49" s="64">
        <v>282780.51583749597</v>
      </c>
      <c r="BK49" s="64">
        <v>623257</v>
      </c>
      <c r="BL49" s="64">
        <v>1219751.0981075526</v>
      </c>
      <c r="BM49" s="64">
        <v>564681.98483439873</v>
      </c>
      <c r="BN49" s="64">
        <v>386235.93750782456</v>
      </c>
      <c r="BO49" s="64">
        <v>386235.93750782456</v>
      </c>
      <c r="BP49" s="64">
        <v>419356.40946254693</v>
      </c>
      <c r="BQ49" s="64">
        <v>553086.91488531616</v>
      </c>
    </row>
    <row r="50" spans="1:69" s="69" customFormat="1" ht="15" customHeight="1" x14ac:dyDescent="0.3">
      <c r="A50" t="s">
        <v>123</v>
      </c>
      <c r="B50" s="13" t="str">
        <f>IF('Sumário | Summary'!P1=1,"Dívida Líquida Total","Net Debt")</f>
        <v>Dívida Líquida Total</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v>2253858</v>
      </c>
      <c r="AC50" s="89">
        <v>2143136</v>
      </c>
      <c r="AD50" s="89">
        <v>1259396</v>
      </c>
      <c r="AE50" s="89">
        <v>1249258</v>
      </c>
      <c r="AF50" s="89">
        <v>1249258</v>
      </c>
      <c r="AG50" s="89">
        <v>1249489</v>
      </c>
      <c r="AH50" s="89">
        <v>1186620</v>
      </c>
      <c r="AI50" s="89">
        <v>1207007</v>
      </c>
      <c r="AJ50" s="89">
        <v>1266454</v>
      </c>
      <c r="AK50" s="89">
        <v>1266454</v>
      </c>
      <c r="AL50" s="89">
        <v>1260116</v>
      </c>
      <c r="AM50" s="89">
        <v>1286298</v>
      </c>
      <c r="AN50" s="89">
        <v>1297642</v>
      </c>
      <c r="AO50" s="89">
        <v>749830.00000000012</v>
      </c>
      <c r="AP50" s="89">
        <v>749830.00000000012</v>
      </c>
      <c r="AQ50" s="89">
        <v>827852.19596367318</v>
      </c>
      <c r="AR50" s="89">
        <v>930333.19940340018</v>
      </c>
      <c r="AS50" s="89">
        <v>1011860.3139701129</v>
      </c>
      <c r="AT50" s="89">
        <v>1195572.4242121622</v>
      </c>
      <c r="AU50" s="89">
        <v>1195572.4242121622</v>
      </c>
      <c r="AV50" s="89">
        <v>1113018</v>
      </c>
      <c r="AW50" s="89">
        <v>1125862</v>
      </c>
      <c r="AX50" s="89">
        <v>1122956</v>
      </c>
      <c r="AY50" s="89">
        <v>950242</v>
      </c>
      <c r="AZ50" s="89">
        <v>950242</v>
      </c>
      <c r="BA50" s="89">
        <v>941136</v>
      </c>
      <c r="BB50" s="89">
        <v>688375</v>
      </c>
      <c r="BC50" s="89">
        <v>705553</v>
      </c>
      <c r="BD50" s="89">
        <v>769283</v>
      </c>
      <c r="BE50" s="89">
        <v>769283</v>
      </c>
      <c r="BF50" s="89">
        <v>772149</v>
      </c>
      <c r="BG50" s="89">
        <v>783632.59007079992</v>
      </c>
      <c r="BH50" s="89">
        <v>780043.36734416801</v>
      </c>
      <c r="BI50" s="89">
        <v>768395.48416250409</v>
      </c>
      <c r="BJ50" s="89">
        <v>768395.48416250409</v>
      </c>
      <c r="BK50" s="89">
        <v>438916</v>
      </c>
      <c r="BL50" s="89">
        <v>-200811.09810755262</v>
      </c>
      <c r="BM50" s="89">
        <v>323383.01516560127</v>
      </c>
      <c r="BN50" s="89">
        <v>472719.06249217544</v>
      </c>
      <c r="BO50" s="89">
        <v>472719.06249217544</v>
      </c>
      <c r="BP50" s="89">
        <v>458488.59053745307</v>
      </c>
      <c r="BQ50" s="89">
        <f>BQ45-BQ48</f>
        <v>-48037.914885316161</v>
      </c>
    </row>
    <row r="51" spans="1:69" s="16" customFormat="1" ht="15" customHeight="1" x14ac:dyDescent="0.3">
      <c r="A51" t="s">
        <v>124</v>
      </c>
      <c r="B51" s="17" t="str">
        <f>IF('Sumário | Summary'!P1=1,"Dívida Líquida Total/EBITDA Ajustado UDM","Total Net Debt/Adjusted EBITDA LTM")</f>
        <v>Dívida Líquida Total/EBITDA Ajustado UDM</v>
      </c>
      <c r="C51" s="63"/>
      <c r="D51" s="63"/>
      <c r="E51" s="63"/>
      <c r="F51" s="91"/>
      <c r="G51" s="91"/>
      <c r="H51" s="91"/>
      <c r="I51" s="91"/>
      <c r="J51" s="91"/>
      <c r="K51" s="91"/>
      <c r="L51" s="91"/>
      <c r="M51" s="91"/>
      <c r="N51" s="91"/>
      <c r="O51" s="91"/>
      <c r="P51" s="91"/>
      <c r="Q51" s="91"/>
      <c r="R51" s="91"/>
      <c r="S51" s="91"/>
      <c r="T51" s="91"/>
      <c r="U51" s="91"/>
      <c r="V51" s="91"/>
      <c r="W51" s="91"/>
      <c r="X51" s="91"/>
      <c r="Y51" s="91"/>
      <c r="Z51" s="91"/>
      <c r="AA51" s="91"/>
      <c r="AB51" s="92"/>
      <c r="AC51" s="92"/>
      <c r="AD51" s="92"/>
      <c r="AE51" s="92">
        <v>7.2430261836092287</v>
      </c>
      <c r="AF51" s="92">
        <v>7.2430261836092287</v>
      </c>
      <c r="AG51" s="92">
        <v>7.618252994094048</v>
      </c>
      <c r="AH51" s="92">
        <v>7.9369969037466159</v>
      </c>
      <c r="AI51" s="92">
        <v>6.903429430848651</v>
      </c>
      <c r="AJ51" s="92">
        <v>7.0510735180579855</v>
      </c>
      <c r="AK51" s="92">
        <v>7.0510735180579855</v>
      </c>
      <c r="AL51" s="92">
        <v>6.6866653543688264</v>
      </c>
      <c r="AM51" s="92">
        <v>6.6288492882916445</v>
      </c>
      <c r="AN51" s="92">
        <v>6.4896481489536502</v>
      </c>
      <c r="AO51" s="92">
        <v>3.6722530725129583</v>
      </c>
      <c r="AP51" s="92">
        <v>3.6722530725129583</v>
      </c>
      <c r="AQ51" s="92">
        <v>3.9706333002478846</v>
      </c>
      <c r="AR51" s="92">
        <v>4.9219846071643421</v>
      </c>
      <c r="AS51" s="92">
        <v>5.6450394498185421</v>
      </c>
      <c r="AT51" s="92">
        <v>6.8503813856542308</v>
      </c>
      <c r="AU51" s="92">
        <v>6.8503813856542308</v>
      </c>
      <c r="AV51" s="92">
        <v>6.871044657061522</v>
      </c>
      <c r="AW51" s="92">
        <v>6.2931377590691309</v>
      </c>
      <c r="AX51" s="92">
        <v>5.6934365054284761</v>
      </c>
      <c r="AY51" s="92">
        <v>4.7711915419210156</v>
      </c>
      <c r="AZ51" s="92">
        <v>4.7711915419210156</v>
      </c>
      <c r="BA51" s="92">
        <v>4.7458918754205337</v>
      </c>
      <c r="BB51" s="92">
        <v>3.6724190782294559</v>
      </c>
      <c r="BC51" s="93">
        <v>4.2211921678544515</v>
      </c>
      <c r="BD51" s="93">
        <v>4.9380014698357249</v>
      </c>
      <c r="BE51" s="93">
        <v>4.9380014698357249</v>
      </c>
      <c r="BF51" s="93">
        <v>5.1363356302979906</v>
      </c>
      <c r="BG51" s="93">
        <v>5.489468379222707</v>
      </c>
      <c r="BH51" s="93">
        <v>5.2457170250648479</v>
      </c>
      <c r="BI51" s="93">
        <v>4.4209855462919139</v>
      </c>
      <c r="BJ51" s="93">
        <v>4.4209855462919139</v>
      </c>
      <c r="BK51" s="93">
        <v>2.4424206006549056</v>
      </c>
      <c r="BL51" s="94">
        <v>-1.1795424810170285</v>
      </c>
      <c r="BM51" s="94">
        <v>2.2236850167416042</v>
      </c>
      <c r="BN51" s="94">
        <v>3.8081838050501879</v>
      </c>
      <c r="BO51" s="94">
        <v>3.8081838050501879</v>
      </c>
      <c r="BP51" s="94">
        <v>4.6212683069107117</v>
      </c>
      <c r="BQ51" s="94">
        <f>BQ50/SUM(BQ76:BQ79)</f>
        <v>-0.55772396949622116</v>
      </c>
    </row>
    <row r="52" spans="1:69" s="16" customFormat="1" ht="15" customHeight="1" x14ac:dyDescent="0.3">
      <c r="A52"/>
      <c r="B52" s="76"/>
      <c r="C52" s="77"/>
      <c r="D52" s="77"/>
      <c r="E52" s="77"/>
      <c r="F52" s="77"/>
      <c r="G52" s="77"/>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P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row>
    <row r="53" spans="1:69" s="16" customFormat="1" ht="18.75" customHeight="1" x14ac:dyDescent="0.3">
      <c r="A53"/>
      <c r="B53" s="96" t="str">
        <f>IF('Sumário | Summary'!P1=1,"Indicadores de Performance de Edifícios","Building Performance Indicators")</f>
        <v>Indicadores de Performance de Edifícios</v>
      </c>
      <c r="C53" s="97"/>
      <c r="D53" s="96"/>
      <c r="E53" s="97"/>
      <c r="F53" s="96"/>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6"/>
      <c r="AQ53" s="97"/>
      <c r="AR53" s="97"/>
      <c r="AS53" s="97"/>
      <c r="AT53" s="97"/>
      <c r="AU53" s="96"/>
      <c r="AV53" s="96"/>
      <c r="AW53" s="96"/>
      <c r="AX53" s="96"/>
      <c r="AY53" s="96"/>
      <c r="AZ53" s="96"/>
      <c r="BA53" s="96"/>
      <c r="BB53" s="96"/>
      <c r="BC53" s="96"/>
      <c r="BD53" s="96"/>
      <c r="BE53" s="96"/>
      <c r="BF53" s="96"/>
      <c r="BG53" s="96"/>
      <c r="BH53" s="96"/>
      <c r="BI53" s="96"/>
      <c r="BJ53" s="96"/>
      <c r="BK53" s="96"/>
      <c r="BL53" s="96"/>
      <c r="BM53" s="96"/>
      <c r="BN53" s="96"/>
      <c r="BO53" s="96"/>
      <c r="BP53" s="96"/>
      <c r="BQ53" s="96"/>
    </row>
    <row r="54" spans="1:69" s="16" customFormat="1" ht="15" customHeight="1" x14ac:dyDescent="0.3">
      <c r="A54" t="s">
        <v>125</v>
      </c>
      <c r="B54" s="17" t="str">
        <f>IF('Sumário | Summary'!P1=1,"ABL SPE (m²)","SPV GLA (sqm)")</f>
        <v>ABL SPE (m²)</v>
      </c>
      <c r="C54" s="19">
        <v>91913.639999999985</v>
      </c>
      <c r="D54" s="19">
        <v>91913.639999999985</v>
      </c>
      <c r="E54" s="19">
        <v>91913.639999999985</v>
      </c>
      <c r="F54" s="19">
        <v>91913.639999999985</v>
      </c>
      <c r="G54" s="19">
        <v>91913.639999999985</v>
      </c>
      <c r="H54" s="19">
        <v>91913.639999999985</v>
      </c>
      <c r="I54" s="19">
        <v>91913.69</v>
      </c>
      <c r="J54" s="19">
        <v>102798.98999999999</v>
      </c>
      <c r="K54" s="19">
        <v>102798.98999999999</v>
      </c>
      <c r="L54" s="19">
        <v>102798.98999999999</v>
      </c>
      <c r="M54" s="19">
        <v>33982</v>
      </c>
      <c r="N54" s="19">
        <v>33982</v>
      </c>
      <c r="O54" s="19">
        <v>35297.5</v>
      </c>
      <c r="P54" s="19">
        <v>35297.5</v>
      </c>
      <c r="Q54" s="19">
        <v>35297.5</v>
      </c>
      <c r="R54" s="19">
        <v>121801.20490869999</v>
      </c>
      <c r="S54" s="19">
        <v>118957.56490870001</v>
      </c>
      <c r="T54" s="19">
        <v>118956.88</v>
      </c>
      <c r="U54" s="19">
        <v>118956.88</v>
      </c>
      <c r="V54" s="19">
        <v>118956.88</v>
      </c>
      <c r="W54" s="19">
        <v>99955.299999999988</v>
      </c>
      <c r="X54" s="19">
        <v>99955.299999999988</v>
      </c>
      <c r="Y54" s="19">
        <v>99955.06</v>
      </c>
      <c r="Z54" s="19">
        <v>99955.06</v>
      </c>
      <c r="AA54" s="19">
        <v>99955.06</v>
      </c>
      <c r="AB54" s="98">
        <v>98371.076000000001</v>
      </c>
      <c r="AC54" s="98">
        <v>114659.65599999999</v>
      </c>
      <c r="AD54" s="98">
        <v>114660.076</v>
      </c>
      <c r="AE54" s="98">
        <v>114660.076</v>
      </c>
      <c r="AF54" s="98">
        <v>114660.076</v>
      </c>
      <c r="AG54" s="98">
        <v>114660.076</v>
      </c>
      <c r="AH54" s="98">
        <v>114660.076</v>
      </c>
      <c r="AI54" s="98">
        <v>126121.55599999998</v>
      </c>
      <c r="AJ54" s="98">
        <v>126949.68599999999</v>
      </c>
      <c r="AK54" s="98">
        <v>126949.68599999999</v>
      </c>
      <c r="AL54" s="98">
        <v>115488.20599999998</v>
      </c>
      <c r="AM54" s="98">
        <v>127070.20599999998</v>
      </c>
      <c r="AN54" s="98">
        <v>127070.20600000001</v>
      </c>
      <c r="AO54" s="98">
        <v>155021.93599999999</v>
      </c>
      <c r="AP54" s="98">
        <v>155021.93599999999</v>
      </c>
      <c r="AQ54" s="98">
        <v>155021.93599999999</v>
      </c>
      <c r="AR54" s="98">
        <v>156638.62599999999</v>
      </c>
      <c r="AS54" s="98">
        <v>155054.39600000001</v>
      </c>
      <c r="AT54" s="98">
        <v>156956.45600000001</v>
      </c>
      <c r="AU54" s="98">
        <v>156956.45600000001</v>
      </c>
      <c r="AV54" s="98">
        <v>156956.45600000001</v>
      </c>
      <c r="AW54" s="98">
        <v>156956.45600000001</v>
      </c>
      <c r="AX54" s="98">
        <v>156956.45600000001</v>
      </c>
      <c r="AY54" s="98">
        <v>156956.45600000001</v>
      </c>
      <c r="AZ54" s="98">
        <v>156956.45600000001</v>
      </c>
      <c r="BA54" s="98">
        <v>156956.45600000001</v>
      </c>
      <c r="BB54" s="98">
        <v>156956.50599999999</v>
      </c>
      <c r="BC54" s="98">
        <v>156956.50599999999</v>
      </c>
      <c r="BD54" s="98">
        <v>89603.939212374142</v>
      </c>
      <c r="BE54" s="98">
        <v>89603.939212374142</v>
      </c>
      <c r="BF54" s="98">
        <v>89603.939212374142</v>
      </c>
      <c r="BG54" s="98">
        <v>89603.939212374142</v>
      </c>
      <c r="BH54" s="98">
        <v>89604.239312374149</v>
      </c>
      <c r="BI54" s="98">
        <v>85754.239312374149</v>
      </c>
      <c r="BJ54" s="98">
        <v>85754.239312374149</v>
      </c>
      <c r="BK54" s="98">
        <v>85754.239312374149</v>
      </c>
      <c r="BL54" s="98">
        <v>85754.239312374149</v>
      </c>
      <c r="BM54" s="98">
        <v>120110.31431237415</v>
      </c>
      <c r="BN54" s="98">
        <v>120283.19431237414</v>
      </c>
      <c r="BO54" s="98">
        <v>120283.19431237414</v>
      </c>
      <c r="BP54" s="98">
        <v>112971.80431237415</v>
      </c>
      <c r="BQ54" s="98">
        <v>112202.18431237416</v>
      </c>
    </row>
    <row r="55" spans="1:69" s="16" customFormat="1" ht="15" customHeight="1" x14ac:dyDescent="0.3">
      <c r="A55" t="s">
        <v>126</v>
      </c>
      <c r="B55" s="17" t="str">
        <f>IF('Sumário | Summary'!P1=1,"ABL Própria (m²)","SYN GLA (sqm)")</f>
        <v>ABL Própria (m²)</v>
      </c>
      <c r="C55" s="19">
        <v>86621.109999999986</v>
      </c>
      <c r="D55" s="19">
        <v>86621.109999999986</v>
      </c>
      <c r="E55" s="19">
        <v>86621.109999999986</v>
      </c>
      <c r="F55" s="19">
        <v>86621.109999999986</v>
      </c>
      <c r="G55" s="19">
        <v>86621.109999999986</v>
      </c>
      <c r="H55" s="19">
        <v>86621.109999999986</v>
      </c>
      <c r="I55" s="19">
        <v>109633.25518079998</v>
      </c>
      <c r="J55" s="19">
        <v>112354.65518079999</v>
      </c>
      <c r="K55" s="19">
        <v>112354.65518079999</v>
      </c>
      <c r="L55" s="19">
        <v>112354.65518079999</v>
      </c>
      <c r="M55" s="19">
        <v>112354.65518079999</v>
      </c>
      <c r="N55" s="19">
        <v>112354.65518079999</v>
      </c>
      <c r="O55" s="19">
        <v>131356.9200895</v>
      </c>
      <c r="P55" s="19">
        <v>131356.87008949998</v>
      </c>
      <c r="Q55" s="19">
        <v>131356.87008949998</v>
      </c>
      <c r="R55" s="19">
        <v>131356.87008949998</v>
      </c>
      <c r="S55" s="19">
        <v>105501.13490869998</v>
      </c>
      <c r="T55" s="19">
        <v>105500.04999999999</v>
      </c>
      <c r="U55" s="19">
        <v>105500.04999999999</v>
      </c>
      <c r="V55" s="19">
        <v>105500.04999999999</v>
      </c>
      <c r="W55" s="19">
        <v>86498.87</v>
      </c>
      <c r="X55" s="19">
        <v>86498.87</v>
      </c>
      <c r="Y55" s="19">
        <v>89342.665999999997</v>
      </c>
      <c r="Z55" s="19">
        <v>86498.665999999997</v>
      </c>
      <c r="AA55" s="19">
        <v>86498.665999999997</v>
      </c>
      <c r="AB55" s="19">
        <v>86498.794999999984</v>
      </c>
      <c r="AC55" s="19">
        <v>101203.39099999999</v>
      </c>
      <c r="AD55" s="19">
        <v>72276.859721200002</v>
      </c>
      <c r="AE55" s="19">
        <v>72277.53003319999</v>
      </c>
      <c r="AF55" s="19">
        <v>72277.53003319999</v>
      </c>
      <c r="AG55" s="19">
        <v>72277.53003319999</v>
      </c>
      <c r="AH55" s="19">
        <v>72277.53003319999</v>
      </c>
      <c r="AI55" s="19">
        <v>72277.53003319999</v>
      </c>
      <c r="AJ55" s="19">
        <v>72691.207722199993</v>
      </c>
      <c r="AK55" s="19">
        <v>72691.207722199993</v>
      </c>
      <c r="AL55" s="19">
        <v>72691.207722199993</v>
      </c>
      <c r="AM55" s="19">
        <v>84563.207722199993</v>
      </c>
      <c r="AN55" s="19">
        <v>84563.207722199993</v>
      </c>
      <c r="AO55" s="19">
        <v>92023.535302199991</v>
      </c>
      <c r="AP55" s="19">
        <v>92023.535302199991</v>
      </c>
      <c r="AQ55" s="19">
        <v>92023.535302200005</v>
      </c>
      <c r="AR55" s="19">
        <v>92884.241970200004</v>
      </c>
      <c r="AS55" s="19">
        <v>91829.62005920001</v>
      </c>
      <c r="AT55" s="19">
        <v>92728.083391199994</v>
      </c>
      <c r="AU55" s="19">
        <v>92728.083391199994</v>
      </c>
      <c r="AV55" s="19">
        <v>46019.179604712233</v>
      </c>
      <c r="AW55" s="98">
        <v>92728.083391199994</v>
      </c>
      <c r="AX55" s="19">
        <v>46019.179604712233</v>
      </c>
      <c r="AY55" s="19">
        <v>46019.179604712233</v>
      </c>
      <c r="AZ55" s="19">
        <v>46019.179604712233</v>
      </c>
      <c r="BA55" s="19">
        <v>46019.179604712248</v>
      </c>
      <c r="BB55" s="19">
        <v>46019.129604712245</v>
      </c>
      <c r="BC55" s="19">
        <v>46019.129604712245</v>
      </c>
      <c r="BD55" s="19">
        <v>46019.129604712245</v>
      </c>
      <c r="BE55" s="19">
        <v>46019.129604712245</v>
      </c>
      <c r="BF55" s="19">
        <v>46019.129604712245</v>
      </c>
      <c r="BG55" s="98">
        <v>46019.129604712231</v>
      </c>
      <c r="BH55" s="98">
        <v>46019.204634712252</v>
      </c>
      <c r="BI55" s="98">
        <v>43456.259634712245</v>
      </c>
      <c r="BJ55" s="98">
        <v>43456.259634712245</v>
      </c>
      <c r="BK55" s="98">
        <v>43456.259634712245</v>
      </c>
      <c r="BL55" s="98">
        <v>37159.839772237414</v>
      </c>
      <c r="BM55" s="98">
        <v>60261.909304282322</v>
      </c>
      <c r="BN55" s="98">
        <v>60279.206944362406</v>
      </c>
      <c r="BO55" s="98">
        <v>60279.206944362406</v>
      </c>
      <c r="BP55" s="98">
        <v>57970.346944362405</v>
      </c>
      <c r="BQ55" s="98">
        <v>58871.446346037868</v>
      </c>
    </row>
    <row r="56" spans="1:69" s="71" customFormat="1" ht="15" customHeight="1" x14ac:dyDescent="0.3">
      <c r="A56" t="s">
        <v>127</v>
      </c>
      <c r="B56" s="17" t="str">
        <f>IF('Sumário | Summary'!P1=1,"Taxa de Ocupação Física (%)","Physical Occupancy Rate")</f>
        <v>Taxa de Ocupação Física (%)</v>
      </c>
      <c r="C56" s="82">
        <v>0.98399999999999999</v>
      </c>
      <c r="D56" s="82">
        <v>1</v>
      </c>
      <c r="E56" s="82">
        <v>1</v>
      </c>
      <c r="F56" s="82">
        <v>1</v>
      </c>
      <c r="G56" s="82">
        <v>1</v>
      </c>
      <c r="H56" s="82">
        <v>0.98899999999999999</v>
      </c>
      <c r="I56" s="82">
        <v>0.97599999999999998</v>
      </c>
      <c r="J56" s="82">
        <v>0.94100000000000006</v>
      </c>
      <c r="K56" s="82">
        <v>0.92100000000000004</v>
      </c>
      <c r="L56" s="82">
        <v>0.92100000000000004</v>
      </c>
      <c r="M56" s="82">
        <v>0.91700000000000004</v>
      </c>
      <c r="N56" s="82">
        <v>0.92</v>
      </c>
      <c r="O56" s="82">
        <v>0.81499999999999995</v>
      </c>
      <c r="P56" s="82">
        <v>0.79600000000000004</v>
      </c>
      <c r="Q56" s="82">
        <v>0.79600000000000004</v>
      </c>
      <c r="R56" s="82">
        <v>0.80099999999999993</v>
      </c>
      <c r="S56" s="82">
        <v>0.82200000000000006</v>
      </c>
      <c r="T56" s="82">
        <v>0.86599999999999999</v>
      </c>
      <c r="U56" s="82">
        <v>0.88500000000000001</v>
      </c>
      <c r="V56" s="82">
        <v>0.88500000000000001</v>
      </c>
      <c r="W56" s="82">
        <v>0.89800000000000002</v>
      </c>
      <c r="X56" s="82">
        <v>0.91400000000000003</v>
      </c>
      <c r="Y56" s="82">
        <v>0.91100000000000003</v>
      </c>
      <c r="Z56" s="82">
        <v>0.89929999999999999</v>
      </c>
      <c r="AA56" s="82">
        <v>0.89929999999999999</v>
      </c>
      <c r="AB56" s="82">
        <v>0.90876908173999327</v>
      </c>
      <c r="AC56" s="82">
        <v>0.82776860802967644</v>
      </c>
      <c r="AD56" s="82">
        <v>0.80033291366132386</v>
      </c>
      <c r="AE56" s="82">
        <v>0.83905125602066288</v>
      </c>
      <c r="AF56" s="82">
        <v>0.83905125602066288</v>
      </c>
      <c r="AG56" s="82">
        <v>0.83939727392995467</v>
      </c>
      <c r="AH56" s="82">
        <v>0.82748255671272275</v>
      </c>
      <c r="AI56" s="82">
        <v>0.83737436706068347</v>
      </c>
      <c r="AJ56" s="82">
        <v>0.88179650144792332</v>
      </c>
      <c r="AK56" s="82">
        <v>0.88179650144792332</v>
      </c>
      <c r="AL56" s="82">
        <v>0.88250370768854913</v>
      </c>
      <c r="AM56" s="82">
        <v>0.77602389801460037</v>
      </c>
      <c r="AN56" s="82">
        <v>0.84437513675885389</v>
      </c>
      <c r="AO56" s="82">
        <v>0.86404176283911038</v>
      </c>
      <c r="AP56" s="82">
        <v>0.87060332129320395</v>
      </c>
      <c r="AQ56" s="82">
        <v>0.87066081476360913</v>
      </c>
      <c r="AR56" s="82">
        <v>0.85288792431874771</v>
      </c>
      <c r="AS56" s="82">
        <v>0.91514750752286611</v>
      </c>
      <c r="AT56" s="82">
        <v>0.88835944655099497</v>
      </c>
      <c r="AU56" s="82">
        <v>0.88835944655099497</v>
      </c>
      <c r="AV56" s="82">
        <v>0.84929898204586718</v>
      </c>
      <c r="AW56" s="82">
        <v>0.96990253530825976</v>
      </c>
      <c r="AX56" s="82">
        <v>0.84929898204586718</v>
      </c>
      <c r="AY56" s="82">
        <v>0.84929898204586718</v>
      </c>
      <c r="AZ56" s="82">
        <v>0.84929898204586718</v>
      </c>
      <c r="BA56" s="82">
        <v>0.84928294459046016</v>
      </c>
      <c r="BB56" s="82">
        <v>0.85054510825874063</v>
      </c>
      <c r="BC56" s="82">
        <v>0.85474212441701691</v>
      </c>
      <c r="BD56" s="82">
        <v>0.85845195126565388</v>
      </c>
      <c r="BE56" s="82">
        <v>0.85845195126565388</v>
      </c>
      <c r="BF56" s="82">
        <v>0.85850234446019669</v>
      </c>
      <c r="BG56" s="82">
        <v>0.85475674882569741</v>
      </c>
      <c r="BH56" s="82">
        <v>0.84809297451492716</v>
      </c>
      <c r="BI56" s="82">
        <v>0.8494422311941956</v>
      </c>
      <c r="BJ56" s="82">
        <v>0.8494422311941956</v>
      </c>
      <c r="BK56" s="82">
        <v>0.8564975429910513</v>
      </c>
      <c r="BL56" s="82">
        <v>0.83603820556427677</v>
      </c>
      <c r="BM56" s="82">
        <v>0.51427402186148408</v>
      </c>
      <c r="BN56" s="82">
        <v>0.51170047394132423</v>
      </c>
      <c r="BO56" s="82">
        <v>0.51170047394132423</v>
      </c>
      <c r="BP56" s="82">
        <v>0.52544258173013469</v>
      </c>
      <c r="BQ56" s="82">
        <v>0.51437122139390778</v>
      </c>
    </row>
    <row r="57" spans="1:69" s="71" customFormat="1" ht="15" customHeight="1" x14ac:dyDescent="0.3">
      <c r="A57" t="s">
        <v>128</v>
      </c>
      <c r="B57" s="17" t="str">
        <f>IF('Sumário | Summary'!P1=1,"Taxa de Ocupação Financeira (%)","Financial Occupancy Rate")</f>
        <v>Taxa de Ocupação Financeira (%)</v>
      </c>
      <c r="C57" s="82">
        <v>0.99199999999999999</v>
      </c>
      <c r="D57" s="82">
        <v>1</v>
      </c>
      <c r="E57" s="82">
        <v>1</v>
      </c>
      <c r="F57" s="82">
        <v>1</v>
      </c>
      <c r="G57" s="82">
        <v>1</v>
      </c>
      <c r="H57" s="82">
        <v>0.98499999999999999</v>
      </c>
      <c r="I57" s="82">
        <v>0.96499999999999997</v>
      </c>
      <c r="J57" s="82">
        <v>0.94100000000000006</v>
      </c>
      <c r="K57" s="82">
        <v>0.91088235486769509</v>
      </c>
      <c r="L57" s="82">
        <v>0.91088235486769509</v>
      </c>
      <c r="M57" s="82">
        <v>0.90969052422472707</v>
      </c>
      <c r="N57" s="82">
        <v>0.91428560513776114</v>
      </c>
      <c r="O57" s="82">
        <v>0.82254641845742249</v>
      </c>
      <c r="P57" s="82">
        <v>0.80904526688964085</v>
      </c>
      <c r="Q57" s="82">
        <v>0.80904526688964085</v>
      </c>
      <c r="R57" s="82">
        <v>0.81</v>
      </c>
      <c r="S57" s="82">
        <v>0.87944109203879262</v>
      </c>
      <c r="T57" s="82">
        <v>0.86099999999999999</v>
      </c>
      <c r="U57" s="82">
        <v>0.87934289526069898</v>
      </c>
      <c r="V57" s="82">
        <v>0.87934289526069898</v>
      </c>
      <c r="W57" s="82">
        <v>0.89564105499956259</v>
      </c>
      <c r="X57" s="82">
        <v>0.91094184554275848</v>
      </c>
      <c r="Y57" s="82">
        <v>0.90200000000000002</v>
      </c>
      <c r="Z57" s="82">
        <v>0.92149999999999999</v>
      </c>
      <c r="AA57" s="82">
        <v>0.92149999999999999</v>
      </c>
      <c r="AB57" s="82">
        <v>0.91104419378074708</v>
      </c>
      <c r="AC57" s="82">
        <v>0.85969312191738168</v>
      </c>
      <c r="AD57" s="82">
        <v>0.87065025654884065</v>
      </c>
      <c r="AE57" s="82">
        <v>0.90277460572626178</v>
      </c>
      <c r="AF57" s="82">
        <v>0.90277460572626178</v>
      </c>
      <c r="AG57" s="82">
        <v>0.89313285233259421</v>
      </c>
      <c r="AH57" s="82">
        <v>0.88242773974737365</v>
      </c>
      <c r="AI57" s="82">
        <v>0.89082727727221866</v>
      </c>
      <c r="AJ57" s="82">
        <v>0.92358476579175142</v>
      </c>
      <c r="AK57" s="82">
        <v>0.92358476579175142</v>
      </c>
      <c r="AL57" s="82">
        <v>0.90712999596983701</v>
      </c>
      <c r="AM57" s="82">
        <v>0.87219652454552665</v>
      </c>
      <c r="AN57" s="82">
        <v>0.91311741115774714</v>
      </c>
      <c r="AO57" s="82">
        <v>0.92075872792481162</v>
      </c>
      <c r="AP57" s="82">
        <v>0.93063829224255668</v>
      </c>
      <c r="AQ57" s="82">
        <v>0.93063829224255668</v>
      </c>
      <c r="AR57" s="82">
        <v>0.91705097793847579</v>
      </c>
      <c r="AS57" s="82">
        <v>0.91366764221318253</v>
      </c>
      <c r="AT57" s="82">
        <v>0.86652221057292278</v>
      </c>
      <c r="AU57" s="82">
        <v>0.86652221057292278</v>
      </c>
      <c r="AV57" s="82">
        <v>0.86156013035301371</v>
      </c>
      <c r="AW57" s="82">
        <v>0.89713401549690375</v>
      </c>
      <c r="AX57" s="82">
        <v>0.86156013035301371</v>
      </c>
      <c r="AY57" s="82">
        <v>0.86156013035301371</v>
      </c>
      <c r="AZ57" s="82">
        <v>0.86156013035301371</v>
      </c>
      <c r="BA57" s="82">
        <v>0.86156013035301371</v>
      </c>
      <c r="BB57" s="82">
        <v>0.87529978150719012</v>
      </c>
      <c r="BC57" s="82">
        <v>0.87606214927633375</v>
      </c>
      <c r="BD57" s="82">
        <v>0.88882676676469941</v>
      </c>
      <c r="BE57" s="82">
        <v>0.88882676676469941</v>
      </c>
      <c r="BF57" s="82">
        <v>0.88149072285063146</v>
      </c>
      <c r="BG57" s="82">
        <v>0.88178989049156087</v>
      </c>
      <c r="BH57" s="82">
        <v>0.86985253902308934</v>
      </c>
      <c r="BI57" s="82">
        <v>0.87096031270718721</v>
      </c>
      <c r="BJ57" s="82">
        <v>0.87096031270718721</v>
      </c>
      <c r="BK57" s="82">
        <v>0.8880269117162819</v>
      </c>
      <c r="BL57" s="82">
        <v>0.84403024357020107</v>
      </c>
      <c r="BM57" s="82">
        <v>0.63513133770398633</v>
      </c>
      <c r="BN57" s="82">
        <v>0.64701721285594826</v>
      </c>
      <c r="BO57" s="82">
        <v>0.64701721285594826</v>
      </c>
      <c r="BP57" s="82">
        <v>0.66607875985643938</v>
      </c>
      <c r="BQ57" s="82">
        <v>0.67395769087160895</v>
      </c>
    </row>
    <row r="58" spans="1:69" s="102" customFormat="1" ht="15" customHeight="1" x14ac:dyDescent="0.3">
      <c r="A58"/>
      <c r="B58" s="99"/>
      <c r="C58" s="100"/>
      <c r="D58" s="100"/>
      <c r="E58" s="100"/>
      <c r="F58" s="100"/>
      <c r="G58" s="100"/>
      <c r="H58" s="101"/>
      <c r="I58" s="100"/>
      <c r="J58" s="100"/>
      <c r="K58" s="100"/>
      <c r="L58" s="101"/>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P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row>
    <row r="59" spans="1:69" s="16" customFormat="1" ht="18.75" customHeight="1" x14ac:dyDescent="0.3">
      <c r="A59"/>
      <c r="B59" s="96" t="str">
        <f>IF('Sumário | Summary'!P1=1,"Indicadores de Performance de Shopping","Shopping Performance Indicators")</f>
        <v>Indicadores de Performance de Shopping</v>
      </c>
      <c r="C59" s="97"/>
      <c r="D59" s="96"/>
      <c r="E59" s="97"/>
      <c r="F59" s="96"/>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6"/>
      <c r="AQ59" s="97"/>
      <c r="AR59" s="97"/>
      <c r="AS59" s="97"/>
      <c r="AT59" s="97"/>
      <c r="AU59" s="96"/>
      <c r="AV59" s="96"/>
      <c r="AW59" s="96"/>
      <c r="AX59" s="96"/>
      <c r="AY59" s="96"/>
      <c r="AZ59" s="96"/>
      <c r="BA59" s="96"/>
      <c r="BB59" s="96"/>
      <c r="BC59" s="96"/>
      <c r="BD59" s="96"/>
      <c r="BE59" s="96"/>
      <c r="BF59" s="96"/>
      <c r="BG59" s="96"/>
      <c r="BH59" s="96"/>
      <c r="BI59" s="96"/>
      <c r="BJ59" s="96"/>
      <c r="BK59" s="96"/>
      <c r="BL59" s="96"/>
      <c r="BM59" s="96"/>
      <c r="BN59" s="96"/>
      <c r="BO59" s="96"/>
      <c r="BP59" s="96"/>
      <c r="BQ59" s="96"/>
    </row>
    <row r="60" spans="1:69" s="16" customFormat="1" ht="15" customHeight="1" x14ac:dyDescent="0.3">
      <c r="A60" t="s">
        <v>129</v>
      </c>
      <c r="B60" s="17" t="str">
        <f>IF('Sumário | Summary'!P1=1,"ABL SPE (m²)","SPV GLA (sqm)")</f>
        <v>ABL SPE (m²)</v>
      </c>
      <c r="C60" s="18">
        <v>69247</v>
      </c>
      <c r="D60" s="18">
        <v>134509</v>
      </c>
      <c r="E60" s="18">
        <v>134509</v>
      </c>
      <c r="F60" s="18">
        <v>149043</v>
      </c>
      <c r="G60" s="18">
        <v>149043</v>
      </c>
      <c r="H60" s="18">
        <v>149043</v>
      </c>
      <c r="I60" s="18">
        <v>144531</v>
      </c>
      <c r="J60" s="18">
        <v>144530.8303</v>
      </c>
      <c r="K60" s="18">
        <v>144530.8303</v>
      </c>
      <c r="L60" s="18">
        <v>144530.8303</v>
      </c>
      <c r="M60" s="18">
        <v>500161.32000000007</v>
      </c>
      <c r="N60" s="18">
        <v>554614.67000000004</v>
      </c>
      <c r="O60" s="18">
        <v>618316.12</v>
      </c>
      <c r="P60" s="18">
        <v>618316.12</v>
      </c>
      <c r="Q60" s="18">
        <v>618316.12</v>
      </c>
      <c r="R60" s="18">
        <v>224664.24381208274</v>
      </c>
      <c r="S60" s="18">
        <v>242763.72575104475</v>
      </c>
      <c r="T60" s="18">
        <v>242763.72575104475</v>
      </c>
      <c r="U60" s="18">
        <v>241910.72575104478</v>
      </c>
      <c r="V60" s="18">
        <v>241910.72575104478</v>
      </c>
      <c r="W60" s="18">
        <v>241851.59534031298</v>
      </c>
      <c r="X60" s="18">
        <v>268642.85063107818</v>
      </c>
      <c r="Y60" s="18">
        <v>268536.13427490514</v>
      </c>
      <c r="Z60" s="18">
        <v>268531.24907705461</v>
      </c>
      <c r="AA60" s="18">
        <v>268531.24907705461</v>
      </c>
      <c r="AB60" s="19">
        <v>268064.32980271138</v>
      </c>
      <c r="AC60" s="19">
        <v>268151.76999999996</v>
      </c>
      <c r="AD60" s="19">
        <v>267599.2</v>
      </c>
      <c r="AE60" s="19">
        <v>269150.40187100001</v>
      </c>
      <c r="AF60" s="19">
        <v>269150.40187100001</v>
      </c>
      <c r="AG60" s="19">
        <v>239099.29907099996</v>
      </c>
      <c r="AH60" s="19">
        <v>240488.02889199997</v>
      </c>
      <c r="AI60" s="19">
        <v>261418.69</v>
      </c>
      <c r="AJ60" s="19">
        <v>261534.68</v>
      </c>
      <c r="AK60" s="19">
        <v>261534.68</v>
      </c>
      <c r="AL60" s="19">
        <v>260952.28</v>
      </c>
      <c r="AM60" s="19">
        <v>261290.80999999997</v>
      </c>
      <c r="AN60" s="104">
        <v>240425</v>
      </c>
      <c r="AO60" s="105">
        <v>241850</v>
      </c>
      <c r="AP60" s="104">
        <v>241850</v>
      </c>
      <c r="AQ60" s="105">
        <v>241892</v>
      </c>
      <c r="AR60" s="105">
        <v>241907</v>
      </c>
      <c r="AS60" s="105">
        <v>241938</v>
      </c>
      <c r="AT60" s="105">
        <v>242185</v>
      </c>
      <c r="AU60" s="104">
        <v>242185</v>
      </c>
      <c r="AV60" s="98">
        <v>203136.83132166663</v>
      </c>
      <c r="AW60" s="104">
        <v>240663.913936</v>
      </c>
      <c r="AX60" s="98">
        <v>203136.83132166663</v>
      </c>
      <c r="AY60" s="98">
        <v>203136.83132166663</v>
      </c>
      <c r="AZ60" s="104">
        <v>203136.83132166663</v>
      </c>
      <c r="BA60" s="98">
        <v>203136.83132166663</v>
      </c>
      <c r="BB60" s="98">
        <v>203142.30132166666</v>
      </c>
      <c r="BC60" s="104">
        <v>203173.75253199998</v>
      </c>
      <c r="BD60" s="104">
        <v>176329.62119166669</v>
      </c>
      <c r="BE60" s="104">
        <v>176329.62119166669</v>
      </c>
      <c r="BF60" s="104">
        <v>176426.227766</v>
      </c>
      <c r="BG60" s="104">
        <v>176578.24286599999</v>
      </c>
      <c r="BH60" s="104">
        <v>176702.99523399997</v>
      </c>
      <c r="BI60" s="104">
        <v>176706.54063799998</v>
      </c>
      <c r="BJ60" s="104">
        <v>176706.54063799998</v>
      </c>
      <c r="BK60" s="104">
        <v>167906.32030199998</v>
      </c>
      <c r="BL60" s="104">
        <v>102124.19807800002</v>
      </c>
      <c r="BM60" s="104">
        <v>102356.37644173493</v>
      </c>
      <c r="BN60" s="104">
        <v>67118.260041666683</v>
      </c>
      <c r="BO60" s="104">
        <v>67118.260041666683</v>
      </c>
      <c r="BP60" s="104">
        <v>67098.849589000005</v>
      </c>
      <c r="BQ60" s="104">
        <v>67096.576045000023</v>
      </c>
    </row>
    <row r="61" spans="1:69" s="16" customFormat="1" ht="15" customHeight="1" x14ac:dyDescent="0.3">
      <c r="A61" t="s">
        <v>130</v>
      </c>
      <c r="B61" s="17" t="str">
        <f>IF('Sumário | Summary'!P1=1,"ABL Própria (m²)","SYN GLA (sqm)")</f>
        <v>ABL Própria (m²)</v>
      </c>
      <c r="C61" s="18">
        <v>45781</v>
      </c>
      <c r="D61" s="18">
        <v>66517</v>
      </c>
      <c r="E61" s="18">
        <v>66517</v>
      </c>
      <c r="F61" s="18">
        <v>75198</v>
      </c>
      <c r="G61" s="18">
        <v>75198</v>
      </c>
      <c r="H61" s="18">
        <v>75198</v>
      </c>
      <c r="I61" s="18">
        <v>73680</v>
      </c>
      <c r="J61" s="18">
        <v>73680.061155999996</v>
      </c>
      <c r="K61" s="18">
        <v>73680.061155999996</v>
      </c>
      <c r="L61" s="18">
        <v>73680.061155999996</v>
      </c>
      <c r="M61" s="18">
        <v>117315.061156</v>
      </c>
      <c r="N61" s="18">
        <v>117315.061156</v>
      </c>
      <c r="O61" s="18">
        <v>118006.34216500001</v>
      </c>
      <c r="P61" s="18">
        <v>118006</v>
      </c>
      <c r="Q61" s="18">
        <v>118006</v>
      </c>
      <c r="R61" s="18">
        <v>118006</v>
      </c>
      <c r="S61" s="18">
        <v>135839.62227015995</v>
      </c>
      <c r="T61" s="18">
        <v>135839.62227015995</v>
      </c>
      <c r="U61" s="18">
        <v>134884.80077015999</v>
      </c>
      <c r="V61" s="18">
        <v>134884.80077015999</v>
      </c>
      <c r="W61" s="18">
        <v>134857.59803200001</v>
      </c>
      <c r="X61" s="18">
        <v>149128.715861</v>
      </c>
      <c r="Y61" s="18">
        <v>149073</v>
      </c>
      <c r="Z61" s="18">
        <v>149070</v>
      </c>
      <c r="AA61" s="18">
        <v>149070</v>
      </c>
      <c r="AB61" s="19">
        <v>148603.1259675</v>
      </c>
      <c r="AC61" s="19">
        <v>148643</v>
      </c>
      <c r="AD61" s="19">
        <v>148505</v>
      </c>
      <c r="AE61" s="19">
        <v>149328.54668699999</v>
      </c>
      <c r="AF61" s="19">
        <v>149328.54668699999</v>
      </c>
      <c r="AG61" s="19">
        <v>140821.66738699996</v>
      </c>
      <c r="AH61" s="19">
        <v>141533.10520799999</v>
      </c>
      <c r="AI61" s="19">
        <v>141464.08938549997</v>
      </c>
      <c r="AJ61" s="19">
        <v>141515.80938549998</v>
      </c>
      <c r="AK61" s="19">
        <v>141515.80938549998</v>
      </c>
      <c r="AL61" s="19">
        <v>141165.607304</v>
      </c>
      <c r="AM61" s="19">
        <v>141292.68565433333</v>
      </c>
      <c r="AN61" s="19">
        <v>141563.92785066666</v>
      </c>
      <c r="AO61" s="19">
        <v>141556.87456199998</v>
      </c>
      <c r="AP61" s="98">
        <v>141556.87456199998</v>
      </c>
      <c r="AQ61" s="19">
        <v>141574.514024</v>
      </c>
      <c r="AR61" s="19">
        <v>141580.88878466666</v>
      </c>
      <c r="AS61" s="19">
        <v>141592.60481633333</v>
      </c>
      <c r="AT61" s="19">
        <v>141665.55497966666</v>
      </c>
      <c r="AU61" s="98">
        <v>141665.55497966666</v>
      </c>
      <c r="AV61" s="98">
        <v>126805.71719433332</v>
      </c>
      <c r="AW61" s="98">
        <v>141586.607613</v>
      </c>
      <c r="AX61" s="98">
        <v>126805.71719433332</v>
      </c>
      <c r="AY61" s="98">
        <v>126805.71719433332</v>
      </c>
      <c r="AZ61" s="98">
        <v>126805.71719433332</v>
      </c>
      <c r="BA61" s="98">
        <v>126805.71719433332</v>
      </c>
      <c r="BB61" s="98">
        <v>126825.55571099999</v>
      </c>
      <c r="BC61" s="104">
        <v>126835.752788</v>
      </c>
      <c r="BD61" s="98">
        <v>126858.04119166666</v>
      </c>
      <c r="BE61" s="98">
        <v>126858.04119166666</v>
      </c>
      <c r="BF61" s="98">
        <v>126954.64776600001</v>
      </c>
      <c r="BG61" s="98">
        <v>127038.572241</v>
      </c>
      <c r="BH61" s="98">
        <v>127163.324609</v>
      </c>
      <c r="BI61" s="98">
        <v>127166.87001300001</v>
      </c>
      <c r="BJ61" s="98">
        <v>127166.87001300001</v>
      </c>
      <c r="BK61" s="98">
        <v>127173.64967700001</v>
      </c>
      <c r="BL61" s="98">
        <v>29270.962478000001</v>
      </c>
      <c r="BM61" s="98">
        <v>29308.965119287903</v>
      </c>
      <c r="BN61" s="98">
        <v>29380.791875000006</v>
      </c>
      <c r="BO61" s="98">
        <v>29380.791875000006</v>
      </c>
      <c r="BP61" s="98">
        <v>29373.827489000003</v>
      </c>
      <c r="BQ61" s="98">
        <v>29371.553945000003</v>
      </c>
    </row>
    <row r="62" spans="1:69" s="12" customFormat="1" ht="15" customHeight="1" x14ac:dyDescent="0.3">
      <c r="A62" t="s">
        <v>131</v>
      </c>
      <c r="B62" s="17" t="str">
        <f>IF('Sumário | Summary'!P1=1,"Vendas Totais (R mil)","Total Sales (R 000')")</f>
        <v>Vendas Totais (R mil)</v>
      </c>
      <c r="C62" s="87">
        <v>166149.55100000001</v>
      </c>
      <c r="D62" s="87">
        <v>223893.54080000005</v>
      </c>
      <c r="E62" s="87">
        <v>274554.83798700001</v>
      </c>
      <c r="F62" s="87">
        <v>445285.66801000002</v>
      </c>
      <c r="G62" s="87">
        <v>1109883.5977970001</v>
      </c>
      <c r="H62" s="87">
        <v>319809.86275999999</v>
      </c>
      <c r="I62" s="87">
        <v>357702.80884000007</v>
      </c>
      <c r="J62" s="87">
        <v>375634.81006500003</v>
      </c>
      <c r="K62" s="87">
        <v>551687.73405999993</v>
      </c>
      <c r="L62" s="87">
        <v>1604835.215725</v>
      </c>
      <c r="M62" s="87">
        <v>435200.00000000006</v>
      </c>
      <c r="N62" s="87">
        <v>508515.78940566676</v>
      </c>
      <c r="O62" s="87">
        <v>535288.53099999996</v>
      </c>
      <c r="P62" s="87">
        <v>778436.19913499989</v>
      </c>
      <c r="Q62" s="87">
        <v>2257440.5195406666</v>
      </c>
      <c r="R62" s="87">
        <v>533276.00576585717</v>
      </c>
      <c r="S62" s="87">
        <v>620219.6320000001</v>
      </c>
      <c r="T62" s="87">
        <v>629753.53299999994</v>
      </c>
      <c r="U62" s="87">
        <v>883740</v>
      </c>
      <c r="V62" s="87">
        <v>2666989.1707658572</v>
      </c>
      <c r="W62" s="87">
        <v>626700</v>
      </c>
      <c r="X62" s="87">
        <v>689900</v>
      </c>
      <c r="Y62" s="87">
        <v>690700</v>
      </c>
      <c r="Z62" s="87">
        <v>919700</v>
      </c>
      <c r="AA62" s="87">
        <v>2927000</v>
      </c>
      <c r="AB62" s="87">
        <v>683800</v>
      </c>
      <c r="AC62" s="87">
        <v>762000</v>
      </c>
      <c r="AD62" s="87">
        <v>752091</v>
      </c>
      <c r="AE62" s="87">
        <v>995000</v>
      </c>
      <c r="AF62" s="87">
        <v>3192891</v>
      </c>
      <c r="AG62" s="87">
        <v>736066.83379599999</v>
      </c>
      <c r="AH62" s="87">
        <v>731517.0160399999</v>
      </c>
      <c r="AI62" s="87">
        <v>747121.27310999995</v>
      </c>
      <c r="AJ62" s="87">
        <v>984134.69001999986</v>
      </c>
      <c r="AK62" s="87">
        <v>3198839.8129659994</v>
      </c>
      <c r="AL62" s="87">
        <v>744676.07632998005</v>
      </c>
      <c r="AM62" s="87">
        <v>812015.86888345005</v>
      </c>
      <c r="AN62" s="87">
        <v>798107.74325009005</v>
      </c>
      <c r="AO62" s="87">
        <v>1046887.93336</v>
      </c>
      <c r="AP62" s="65">
        <v>3331441.7920399602</v>
      </c>
      <c r="AQ62" s="87">
        <v>658716.14348999993</v>
      </c>
      <c r="AR62" s="87">
        <v>90440.676300099978</v>
      </c>
      <c r="AS62" s="87">
        <v>429342.35996298998</v>
      </c>
      <c r="AT62" s="87">
        <v>770918.8370800002</v>
      </c>
      <c r="AU62" s="65">
        <v>1949418.01683309</v>
      </c>
      <c r="AV62" s="65">
        <v>398319.81358000002</v>
      </c>
      <c r="AW62" s="65">
        <v>440742.43374999997</v>
      </c>
      <c r="AX62" s="65">
        <v>658282.20578999992</v>
      </c>
      <c r="AY62" s="106">
        <v>839898.19920999999</v>
      </c>
      <c r="AZ62" s="65">
        <v>2337242.65233</v>
      </c>
      <c r="BA62" s="106">
        <v>565323.97085999988</v>
      </c>
      <c r="BB62" s="65">
        <v>699185.04259999993</v>
      </c>
      <c r="BC62" s="65">
        <v>673166.13684999989</v>
      </c>
      <c r="BD62" s="65">
        <v>872849.08773999999</v>
      </c>
      <c r="BE62" s="65">
        <v>2810524.2380499998</v>
      </c>
      <c r="BF62" s="65">
        <v>649100.12115999998</v>
      </c>
      <c r="BG62" s="65">
        <v>749887.38326000003</v>
      </c>
      <c r="BH62" s="65">
        <v>737711.15636999987</v>
      </c>
      <c r="BI62" s="65">
        <v>941903.20854000014</v>
      </c>
      <c r="BJ62" s="65">
        <v>3078601.8693300001</v>
      </c>
      <c r="BK62" s="65">
        <v>679449.75390999997</v>
      </c>
      <c r="BL62" s="65">
        <v>721474.54223999998</v>
      </c>
      <c r="BM62" s="65">
        <v>724234.40635000006</v>
      </c>
      <c r="BN62" s="65">
        <v>954640.50294000003</v>
      </c>
      <c r="BO62" s="65">
        <v>3079799.2054399997</v>
      </c>
      <c r="BP62" s="65">
        <v>696699.03376999998</v>
      </c>
      <c r="BQ62" s="65">
        <v>788846.56171999988</v>
      </c>
    </row>
    <row r="63" spans="1:69" s="109" customFormat="1" ht="15" customHeight="1" x14ac:dyDescent="0.3">
      <c r="A63" t="s">
        <v>132</v>
      </c>
      <c r="B63" s="17" t="str">
        <f>IF('Sumário | Summary'!P1=1,"Vendas mesmas lojas (SSS)","Same Store Sales (SSS)")</f>
        <v>Vendas mesmas lojas (SSS)</v>
      </c>
      <c r="C63" s="107" t="s">
        <v>73</v>
      </c>
      <c r="D63" s="107" t="s">
        <v>73</v>
      </c>
      <c r="E63" s="107" t="s">
        <v>73</v>
      </c>
      <c r="F63" s="107" t="s">
        <v>73</v>
      </c>
      <c r="G63" s="107" t="s">
        <v>73</v>
      </c>
      <c r="H63" s="82">
        <v>6.0900000000000003E-2</v>
      </c>
      <c r="I63" s="82">
        <v>3.56E-2</v>
      </c>
      <c r="J63" s="82">
        <v>7.6399999999999996E-2</v>
      </c>
      <c r="K63" s="82">
        <v>4.3900000000000002E-2</v>
      </c>
      <c r="L63" s="82">
        <v>4.3900000000000002E-2</v>
      </c>
      <c r="M63" s="82">
        <v>1.4E-2</v>
      </c>
      <c r="N63" s="82">
        <v>0.02</v>
      </c>
      <c r="O63" s="82">
        <v>-8.9999999999999993E-3</v>
      </c>
      <c r="P63" s="82">
        <v>1.7999999999999999E-2</v>
      </c>
      <c r="Q63" s="82">
        <v>1.7999999999999999E-2</v>
      </c>
      <c r="R63" s="82">
        <v>0.100959995207032</v>
      </c>
      <c r="S63" s="82">
        <v>7.52698867301511E-2</v>
      </c>
      <c r="T63" s="82">
        <v>4.2203867495185898E-2</v>
      </c>
      <c r="U63" s="82">
        <v>5.8503376048046896E-3</v>
      </c>
      <c r="V63" s="82">
        <v>5.8503376048046896E-3</v>
      </c>
      <c r="W63" s="82">
        <v>2.2207494815995377E-2</v>
      </c>
      <c r="X63" s="82">
        <v>5.3999999999999999E-2</v>
      </c>
      <c r="Y63" s="82">
        <v>6.4000000000000001E-2</v>
      </c>
      <c r="Z63" s="82">
        <v>0.03</v>
      </c>
      <c r="AA63" s="82">
        <v>0.03</v>
      </c>
      <c r="AB63" s="82">
        <v>5.6000000000000001E-2</v>
      </c>
      <c r="AC63" s="82">
        <v>7.6999999999999999E-2</v>
      </c>
      <c r="AD63" s="82">
        <v>0.06</v>
      </c>
      <c r="AE63" s="82">
        <v>4.6620390386878263E-2</v>
      </c>
      <c r="AF63" s="82">
        <v>4.6620390386878263E-2</v>
      </c>
      <c r="AG63" s="82">
        <v>4.3999999999999997E-2</v>
      </c>
      <c r="AH63" s="82">
        <v>-4.0000000000000001E-3</v>
      </c>
      <c r="AI63" s="82">
        <v>4.2278165195345219E-2</v>
      </c>
      <c r="AJ63" s="82">
        <v>4.4555454113896609E-2</v>
      </c>
      <c r="AK63" s="82">
        <v>3.1378059393820434E-2</v>
      </c>
      <c r="AL63" s="82">
        <v>4.0381464565989456E-2</v>
      </c>
      <c r="AM63" s="82">
        <v>7.0765743882198917E-2</v>
      </c>
      <c r="AN63" s="82">
        <v>3.1391354323813569E-2</v>
      </c>
      <c r="AO63" s="82">
        <v>3.5915623531437735E-2</v>
      </c>
      <c r="AP63" s="75">
        <v>4.3915868261686031E-2</v>
      </c>
      <c r="AQ63" s="82">
        <v>-0.13238745914015371</v>
      </c>
      <c r="AR63" s="82">
        <v>-0.78816788842251961</v>
      </c>
      <c r="AS63" s="82">
        <v>-0.39529069838149489</v>
      </c>
      <c r="AT63" s="82">
        <v>-0.23277609863815119</v>
      </c>
      <c r="AU63" s="75">
        <v>-0.23277609863815119</v>
      </c>
      <c r="AV63" s="75">
        <v>-0.3698093375554129</v>
      </c>
      <c r="AW63" s="75">
        <v>2.2417646735262453</v>
      </c>
      <c r="AX63" s="75">
        <v>0.42306840884913566</v>
      </c>
      <c r="AY63" s="108">
        <v>0.21232686906592901</v>
      </c>
      <c r="AZ63" s="75">
        <v>0.21232686906592901</v>
      </c>
      <c r="BA63" s="108">
        <v>0.63175635465065727</v>
      </c>
      <c r="BB63" s="75">
        <v>0.58481117355995038</v>
      </c>
      <c r="BC63" s="75">
        <v>0.19766268221681083</v>
      </c>
      <c r="BD63" s="75">
        <v>7.6510164784604928E-2</v>
      </c>
      <c r="BE63" s="75">
        <v>7.6510164784604928E-2</v>
      </c>
      <c r="BF63" s="75">
        <v>0.11988114430502628</v>
      </c>
      <c r="BG63" s="75">
        <v>3.3340414478779001E-2</v>
      </c>
      <c r="BH63" s="75">
        <v>5.934426802765369E-2</v>
      </c>
      <c r="BI63" s="75">
        <v>5.5244405348069847E-2</v>
      </c>
      <c r="BJ63" s="75">
        <v>6.3635987114478043E-2</v>
      </c>
      <c r="BK63" s="75">
        <v>7.931827904205635E-2</v>
      </c>
      <c r="BL63" s="75">
        <v>9.7108134643679733E-3</v>
      </c>
      <c r="BM63" s="75">
        <v>3.1583410522722621E-2</v>
      </c>
      <c r="BN63" s="75">
        <v>4.453361825278157E-2</v>
      </c>
      <c r="BO63" s="75">
        <v>3.9899520279528033E-2</v>
      </c>
      <c r="BP63" s="75">
        <v>4.453361825278157E-2</v>
      </c>
      <c r="BQ63" s="75">
        <v>7.0590745689980805E-2</v>
      </c>
    </row>
    <row r="64" spans="1:69" s="109" customFormat="1" ht="15" customHeight="1" x14ac:dyDescent="0.3">
      <c r="A64" t="s">
        <v>133</v>
      </c>
      <c r="B64" s="17" t="str">
        <f>IF('Sumário | Summary'!P1=1,"Aluguéis mesmas lojas (SSR)","Same Store Rent (SSR)")</f>
        <v>Aluguéis mesmas lojas (SSR)</v>
      </c>
      <c r="C64" s="107" t="s">
        <v>73</v>
      </c>
      <c r="D64" s="107" t="s">
        <v>73</v>
      </c>
      <c r="E64" s="107" t="s">
        <v>73</v>
      </c>
      <c r="F64" s="107" t="s">
        <v>73</v>
      </c>
      <c r="G64" s="107" t="s">
        <v>73</v>
      </c>
      <c r="H64" s="82">
        <v>8.0799999999999997E-2</v>
      </c>
      <c r="I64" s="82">
        <v>9.1399999999999995E-2</v>
      </c>
      <c r="J64" s="82">
        <v>8.48E-2</v>
      </c>
      <c r="K64" s="82">
        <v>8.0699999999999994E-2</v>
      </c>
      <c r="L64" s="82">
        <v>8.0699999999999994E-2</v>
      </c>
      <c r="M64" s="82">
        <v>7.3999999999999996E-2</v>
      </c>
      <c r="N64" s="82">
        <v>6.3E-2</v>
      </c>
      <c r="O64" s="82">
        <v>6.9000000000000006E-2</v>
      </c>
      <c r="P64" s="82">
        <v>7.1999999999999995E-2</v>
      </c>
      <c r="Q64" s="82">
        <v>7.1999999999999995E-2</v>
      </c>
      <c r="R64" s="82">
        <v>6.6147724267828806E-2</v>
      </c>
      <c r="S64" s="82">
        <v>5.75493812235435E-2</v>
      </c>
      <c r="T64" s="82">
        <v>4.08582860918223E-2</v>
      </c>
      <c r="U64" s="82">
        <v>4.1550765987549143E-2</v>
      </c>
      <c r="V64" s="82">
        <v>4.1550765987549143E-2</v>
      </c>
      <c r="W64" s="82">
        <v>5.9641017952214881E-2</v>
      </c>
      <c r="X64" s="82">
        <v>6.0999999999999999E-2</v>
      </c>
      <c r="Y64" s="82">
        <v>0.128</v>
      </c>
      <c r="Z64" s="82">
        <v>9.7000000000000003E-2</v>
      </c>
      <c r="AA64" s="82">
        <v>9.7000000000000003E-2</v>
      </c>
      <c r="AB64" s="82">
        <v>9.1999999999999998E-2</v>
      </c>
      <c r="AC64" s="82">
        <v>0.108</v>
      </c>
      <c r="AD64" s="82">
        <v>5.1999999999999998E-2</v>
      </c>
      <c r="AE64" s="82">
        <v>2.7E-2</v>
      </c>
      <c r="AF64" s="82">
        <v>5.6000000000000001E-2</v>
      </c>
      <c r="AG64" s="82">
        <v>4.9000000000000002E-2</v>
      </c>
      <c r="AH64" s="82">
        <v>1.9E-2</v>
      </c>
      <c r="AI64" s="82">
        <v>3.7148491879612555E-2</v>
      </c>
      <c r="AJ64" s="82">
        <v>4.1608191356610646E-2</v>
      </c>
      <c r="AK64" s="82">
        <v>3.6273325660403533E-2</v>
      </c>
      <c r="AL64" s="82">
        <v>4.6724768863937616E-2</v>
      </c>
      <c r="AM64" s="82">
        <v>9.2817662658065903E-2</v>
      </c>
      <c r="AN64" s="82">
        <v>7.3728393852621199E-2</v>
      </c>
      <c r="AO64" s="82">
        <v>7.4151463743060475E-2</v>
      </c>
      <c r="AP64" s="75">
        <v>7.2072412777032913E-2</v>
      </c>
      <c r="AQ64" s="82">
        <v>5.4756237412427966E-2</v>
      </c>
      <c r="AR64" s="82">
        <v>-4.0892686540409784E-2</v>
      </c>
      <c r="AS64" s="82">
        <v>-2.7978763216537472E-2</v>
      </c>
      <c r="AT64" s="82">
        <v>-2.4185681857092245E-2</v>
      </c>
      <c r="AU64" s="75">
        <v>-2.4185681857092245E-2</v>
      </c>
      <c r="AV64" s="75">
        <v>1.4772846126341221E-2</v>
      </c>
      <c r="AW64" s="75">
        <v>0.1932796227667315</v>
      </c>
      <c r="AX64" s="75">
        <v>0.2064169673696219</v>
      </c>
      <c r="AY64" s="108">
        <v>0.18820553838735177</v>
      </c>
      <c r="AZ64" s="75">
        <v>0.18820553838735177</v>
      </c>
      <c r="BA64" s="108">
        <v>0.16230685247236831</v>
      </c>
      <c r="BB64" s="75">
        <v>0.14625716960566804</v>
      </c>
      <c r="BC64" s="75">
        <v>0.1660630849236826</v>
      </c>
      <c r="BD64" s="75">
        <v>9.8590154258900942E-2</v>
      </c>
      <c r="BE64" s="75">
        <v>9.8590154258900942E-2</v>
      </c>
      <c r="BF64" s="75">
        <v>9.3262436261752901E-2</v>
      </c>
      <c r="BG64" s="75">
        <v>8.1605585817364323E-2</v>
      </c>
      <c r="BH64" s="75">
        <v>4.3813812946054131E-2</v>
      </c>
      <c r="BI64" s="75">
        <v>2.8642248143916138E-2</v>
      </c>
      <c r="BJ64" s="75">
        <v>5.87898792485817E-2</v>
      </c>
      <c r="BK64" s="75">
        <v>5.9020465507217512E-2</v>
      </c>
      <c r="BL64" s="75">
        <v>2.9591790631451342E-3</v>
      </c>
      <c r="BM64" s="75">
        <v>2.671941971202596E-2</v>
      </c>
      <c r="BN64" s="75">
        <v>4.220853376406164E-2</v>
      </c>
      <c r="BO64" s="75">
        <v>3.2425890565278559E-2</v>
      </c>
      <c r="BP64" s="75">
        <v>4.220853376406164E-2</v>
      </c>
      <c r="BQ64" s="75">
        <v>6.8423595139722293E-2</v>
      </c>
    </row>
    <row r="65" spans="1:69" s="109" customFormat="1" ht="15" customHeight="1" x14ac:dyDescent="0.3">
      <c r="A65" t="s">
        <v>134</v>
      </c>
      <c r="B65" s="17" t="str">
        <f>IF('Sumário | Summary'!P1=1,"Custo de Ocupação (% das vendas)","Occupancy Cost (% of sales)")</f>
        <v>Custo de Ocupação (% das vendas)</v>
      </c>
      <c r="C65" s="107" t="s">
        <v>73</v>
      </c>
      <c r="D65" s="107" t="s">
        <v>73</v>
      </c>
      <c r="E65" s="107" t="s">
        <v>73</v>
      </c>
      <c r="F65" s="107" t="s">
        <v>73</v>
      </c>
      <c r="G65" s="107" t="s">
        <v>73</v>
      </c>
      <c r="H65" s="107">
        <v>0.15441025888551688</v>
      </c>
      <c r="I65" s="107">
        <v>0.13853190157939368</v>
      </c>
      <c r="J65" s="107">
        <v>0.14013385457452601</v>
      </c>
      <c r="K65" s="107">
        <v>0.11569603768424541</v>
      </c>
      <c r="L65" s="107">
        <v>0.13459100625062237</v>
      </c>
      <c r="M65" s="107">
        <v>0.17063377944857391</v>
      </c>
      <c r="N65" s="107">
        <v>0.14987228687475279</v>
      </c>
      <c r="O65" s="107">
        <v>0.14494486918954363</v>
      </c>
      <c r="P65" s="107">
        <v>0.11663644776216654</v>
      </c>
      <c r="Q65" s="107">
        <v>0.14125127108063598</v>
      </c>
      <c r="R65" s="82">
        <v>0.14000000000000001</v>
      </c>
      <c r="S65" s="82">
        <v>0.15041614829426758</v>
      </c>
      <c r="T65" s="82">
        <v>0.15117202966282237</v>
      </c>
      <c r="U65" s="82">
        <v>0.12734047572052717</v>
      </c>
      <c r="V65" s="82">
        <v>0.12734047572052717</v>
      </c>
      <c r="W65" s="82">
        <v>0.13879717241638742</v>
      </c>
      <c r="X65" s="82">
        <v>0.12639943610649162</v>
      </c>
      <c r="Y65" s="82">
        <v>0.13090943835090901</v>
      </c>
      <c r="Z65" s="82">
        <v>0.11692840331409804</v>
      </c>
      <c r="AA65" s="82">
        <v>0.12708982126624355</v>
      </c>
      <c r="AB65" s="82">
        <v>0.1328574689168304</v>
      </c>
      <c r="AC65" s="82">
        <v>0.11799999999999999</v>
      </c>
      <c r="AD65" s="82">
        <v>0.12034326126255311</v>
      </c>
      <c r="AE65" s="82">
        <v>0.11129300484031378</v>
      </c>
      <c r="AF65" s="82">
        <v>0.11961236396662049</v>
      </c>
      <c r="AG65" s="82">
        <v>0.12843330224851937</v>
      </c>
      <c r="AH65" s="82">
        <v>0.11799999999999999</v>
      </c>
      <c r="AI65" s="82">
        <v>0.11746611525488741</v>
      </c>
      <c r="AJ65" s="82">
        <v>0.10761275964847347</v>
      </c>
      <c r="AK65" s="82">
        <v>0.1168410584522087</v>
      </c>
      <c r="AL65" s="82">
        <v>0.12226074952912679</v>
      </c>
      <c r="AM65" s="82">
        <v>0.11292251006737461</v>
      </c>
      <c r="AN65" s="82">
        <v>0.11501566126127517</v>
      </c>
      <c r="AO65" s="82">
        <v>0.10433378321205491</v>
      </c>
      <c r="AP65" s="82">
        <v>0.11089617329558167</v>
      </c>
      <c r="AQ65" s="82">
        <v>0.1324601208333763</v>
      </c>
      <c r="AR65" s="82">
        <v>0.63725634632229289</v>
      </c>
      <c r="AS65" s="82">
        <v>0.17564728263327783</v>
      </c>
      <c r="AT65" s="82">
        <v>0.12808975345408016</v>
      </c>
      <c r="AU65" s="75">
        <v>0.1641504621053024</v>
      </c>
      <c r="AV65" s="75">
        <v>0.21447006464924886</v>
      </c>
      <c r="AW65" s="75">
        <v>0.1623534162196939</v>
      </c>
      <c r="AX65" s="75">
        <v>0.13735529865366433</v>
      </c>
      <c r="AY65" s="108">
        <v>0.118632699171571</v>
      </c>
      <c r="AZ65" s="108">
        <v>0.14559974232323009</v>
      </c>
      <c r="BA65" s="108">
        <v>0.14358446212043163</v>
      </c>
      <c r="BB65" s="75">
        <v>0.11929177854394862</v>
      </c>
      <c r="BC65" s="75">
        <v>0.12656429829178881</v>
      </c>
      <c r="BD65" s="75">
        <v>0.11632656675701368</v>
      </c>
      <c r="BE65" s="75">
        <v>0.12499903348053755</v>
      </c>
      <c r="BF65" s="75">
        <v>0.13360951127404325</v>
      </c>
      <c r="BG65" s="75">
        <v>0.11875836696482331</v>
      </c>
      <c r="BH65" s="75">
        <v>0.12036851240972159</v>
      </c>
      <c r="BI65" s="75">
        <v>0.1116643556433537</v>
      </c>
      <c r="BJ65" s="75">
        <v>0.12011008701392857</v>
      </c>
      <c r="BK65" s="75">
        <v>0.12679417239761223</v>
      </c>
      <c r="BL65" s="75">
        <v>0.1177944503899315</v>
      </c>
      <c r="BM65" s="75">
        <v>0.12013567870366179</v>
      </c>
      <c r="BN65" s="75">
        <v>0.10850760896815358</v>
      </c>
      <c r="BO65" s="75">
        <v>0.11835490974218238</v>
      </c>
      <c r="BP65" s="75">
        <v>0.10850760896815358</v>
      </c>
      <c r="BQ65" s="75">
        <v>0.11570969905826847</v>
      </c>
    </row>
    <row r="66" spans="1:69" s="109" customFormat="1" ht="15" customHeight="1" x14ac:dyDescent="0.3">
      <c r="A66" t="s">
        <v>135</v>
      </c>
      <c r="B66" s="17" t="str">
        <f>IF('Sumário | Summary'!P1=1,"Taxa de Ocupação Física (%)","Physical Occupancy Rate")</f>
        <v>Taxa de Ocupação Física (%)</v>
      </c>
      <c r="C66" s="82">
        <v>0.995</v>
      </c>
      <c r="D66" s="82">
        <v>0.97</v>
      </c>
      <c r="E66" s="82">
        <v>0.98299999999999998</v>
      </c>
      <c r="F66" s="82">
        <v>0.98599999999999999</v>
      </c>
      <c r="G66" s="82">
        <v>0.98599999999999999</v>
      </c>
      <c r="H66" s="82">
        <v>0.97699999999999998</v>
      </c>
      <c r="I66" s="82">
        <v>0.96899999999999997</v>
      </c>
      <c r="J66" s="82">
        <v>0.98799999999999999</v>
      </c>
      <c r="K66" s="82">
        <v>0.97</v>
      </c>
      <c r="L66" s="82">
        <v>0.97</v>
      </c>
      <c r="M66" s="82">
        <v>0.96699999999999997</v>
      </c>
      <c r="N66" s="82">
        <v>0.95499999999999996</v>
      </c>
      <c r="O66" s="82">
        <v>0.94899999999999995</v>
      </c>
      <c r="P66" s="82">
        <v>0.95699999999999996</v>
      </c>
      <c r="Q66" s="82">
        <v>0.95699999999999996</v>
      </c>
      <c r="R66" s="82">
        <v>0.95899999999999996</v>
      </c>
      <c r="S66" s="82">
        <v>0.95799999999999996</v>
      </c>
      <c r="T66" s="82">
        <v>0.95299999999999996</v>
      </c>
      <c r="U66" s="82">
        <v>0.95699999999999996</v>
      </c>
      <c r="V66" s="82">
        <v>0.95699999999999996</v>
      </c>
      <c r="W66" s="82">
        <v>0.94199999999999995</v>
      </c>
      <c r="X66" s="82">
        <v>0.90200000000000002</v>
      </c>
      <c r="Y66" s="82">
        <v>0.90600000000000003</v>
      </c>
      <c r="Z66" s="82">
        <v>0.92700000000000005</v>
      </c>
      <c r="AA66" s="82">
        <v>0.92700000000000005</v>
      </c>
      <c r="AB66" s="82">
        <v>0.91986953121965787</v>
      </c>
      <c r="AC66" s="82">
        <v>0.91892906842225186</v>
      </c>
      <c r="AD66" s="82">
        <v>0.93297822390398621</v>
      </c>
      <c r="AE66" s="82">
        <v>0.93791265423326364</v>
      </c>
      <c r="AF66" s="82">
        <v>0.93791265423326364</v>
      </c>
      <c r="AG66" s="82">
        <v>0.92910549445800961</v>
      </c>
      <c r="AH66" s="82">
        <v>0.93557858189751786</v>
      </c>
      <c r="AI66" s="82">
        <v>0.94567067272771932</v>
      </c>
      <c r="AJ66" s="82">
        <v>0.94168489538140909</v>
      </c>
      <c r="AK66" s="82">
        <v>0.94168489538140909</v>
      </c>
      <c r="AL66" s="82">
        <v>0.94134902802254961</v>
      </c>
      <c r="AM66" s="82">
        <v>0.94746263389037877</v>
      </c>
      <c r="AN66" s="82">
        <v>0.95256433047042144</v>
      </c>
      <c r="AO66" s="82">
        <v>0.95101305187786689</v>
      </c>
      <c r="AP66" s="82">
        <v>0.95101305187786689</v>
      </c>
      <c r="AQ66" s="82">
        <v>0.9472262196906106</v>
      </c>
      <c r="AR66" s="82">
        <v>0.93751401648271648</v>
      </c>
      <c r="AS66" s="82">
        <v>0.92496308515261993</v>
      </c>
      <c r="AT66" s="82">
        <v>0.92425861585691271</v>
      </c>
      <c r="AU66" s="75">
        <v>0.92425861585691271</v>
      </c>
      <c r="AV66" s="75">
        <v>0.92303441708486722</v>
      </c>
      <c r="AW66" s="75">
        <v>0.9147285140449154</v>
      </c>
      <c r="AX66" s="75">
        <v>0.92303441708486722</v>
      </c>
      <c r="AY66" s="108">
        <v>0.92301601801800681</v>
      </c>
      <c r="AZ66" s="108">
        <v>0.92301601801800681</v>
      </c>
      <c r="BA66" s="108">
        <v>0.92303441708486722</v>
      </c>
      <c r="BB66" s="75">
        <v>0.92683516179253878</v>
      </c>
      <c r="BC66" s="75">
        <v>0.9343370773834262</v>
      </c>
      <c r="BD66" s="75">
        <v>0.95152396545461848</v>
      </c>
      <c r="BE66" s="75">
        <v>0.95152396545461848</v>
      </c>
      <c r="BF66" s="75">
        <v>0.94943171376180746</v>
      </c>
      <c r="BG66" s="75">
        <v>0.9418851385126743</v>
      </c>
      <c r="BH66" s="75">
        <v>0.95413610965321349</v>
      </c>
      <c r="BI66" s="75">
        <v>0.95766704629686172</v>
      </c>
      <c r="BJ66" s="75">
        <v>0.95766704629686172</v>
      </c>
      <c r="BK66" s="75">
        <v>0.94856361724869409</v>
      </c>
      <c r="BL66" s="75">
        <v>0.95982120181787889</v>
      </c>
      <c r="BM66" s="75">
        <v>0.93400726753251784</v>
      </c>
      <c r="BN66" s="75">
        <v>0.94822405531232812</v>
      </c>
      <c r="BO66" s="75">
        <v>0.94822405531232812</v>
      </c>
      <c r="BP66" s="75">
        <v>0.95171798221173476</v>
      </c>
      <c r="BQ66" s="75">
        <v>0.94356002772486836</v>
      </c>
    </row>
    <row r="67" spans="1:69" s="109" customFormat="1" ht="15" customHeight="1" x14ac:dyDescent="0.3">
      <c r="A67" t="s">
        <v>136</v>
      </c>
      <c r="B67" s="17" t="str">
        <f>IF('Sumário | Summary'!P1=1,"Taxa de Ocupação Financeira (%)","Financial Occupancy Rate")</f>
        <v>Taxa de Ocupação Financeira (%)</v>
      </c>
      <c r="C67" s="82">
        <v>0.99</v>
      </c>
      <c r="D67" s="82">
        <v>0.96899999999999997</v>
      </c>
      <c r="E67" s="82">
        <v>0.99</v>
      </c>
      <c r="F67" s="82">
        <v>0.98599999999999999</v>
      </c>
      <c r="G67" s="82">
        <v>0.98599999999999999</v>
      </c>
      <c r="H67" s="82">
        <v>0.97799999999999998</v>
      </c>
      <c r="I67" s="82">
        <v>0.96899999999999997</v>
      </c>
      <c r="J67" s="82">
        <v>0.98799999999999999</v>
      </c>
      <c r="K67" s="82">
        <v>0.96961996216955737</v>
      </c>
      <c r="L67" s="82">
        <v>0.96961996216955737</v>
      </c>
      <c r="M67" s="82">
        <v>0.96719590528295252</v>
      </c>
      <c r="N67" s="82">
        <v>0.95522997499864859</v>
      </c>
      <c r="O67" s="82">
        <v>0.92843237458180072</v>
      </c>
      <c r="P67" s="82">
        <v>0.94260489577256301</v>
      </c>
      <c r="Q67" s="82">
        <v>0.94260489577256301</v>
      </c>
      <c r="R67" s="82">
        <v>0.92200000000000004</v>
      </c>
      <c r="S67" s="82">
        <v>0.92200597987122968</v>
      </c>
      <c r="T67" s="82">
        <v>0.91900000000000004</v>
      </c>
      <c r="U67" s="82">
        <v>0.92659159367050858</v>
      </c>
      <c r="V67" s="82">
        <v>0.92659159367050858</v>
      </c>
      <c r="W67" s="82">
        <v>0.92659159367050858</v>
      </c>
      <c r="X67" s="82">
        <v>0.89127162596025467</v>
      </c>
      <c r="Y67" s="82">
        <v>0.89600000000000002</v>
      </c>
      <c r="Z67" s="82">
        <v>0.90539999999999998</v>
      </c>
      <c r="AA67" s="82">
        <v>0.90539999999999998</v>
      </c>
      <c r="AB67" s="82">
        <v>0.89600000000000002</v>
      </c>
      <c r="AC67" s="82">
        <v>0.9</v>
      </c>
      <c r="AD67" s="82">
        <v>0.91600000000000004</v>
      </c>
      <c r="AE67" s="82">
        <v>0.92142398159900796</v>
      </c>
      <c r="AF67" s="82">
        <v>0.92142398159900796</v>
      </c>
      <c r="AG67" s="82">
        <v>0.93500000000000005</v>
      </c>
      <c r="AH67" s="82">
        <v>0.94623576728565539</v>
      </c>
      <c r="AI67" s="82">
        <v>0.95062529582591115</v>
      </c>
      <c r="AJ67" s="82">
        <v>0.94983089971686296</v>
      </c>
      <c r="AK67" s="82">
        <v>0.94983089971686296</v>
      </c>
      <c r="AL67" s="82">
        <v>0.94044278558193872</v>
      </c>
      <c r="AM67" s="82">
        <v>0.94061205749574173</v>
      </c>
      <c r="AN67" s="82">
        <v>0.94818638997648452</v>
      </c>
      <c r="AO67" s="82">
        <v>0.94813804157935311</v>
      </c>
      <c r="AP67" s="82">
        <v>0.94813804157935311</v>
      </c>
      <c r="AQ67" s="82">
        <v>0.9508109335592454</v>
      </c>
      <c r="AR67" s="82">
        <v>0.9338653359502006</v>
      </c>
      <c r="AS67" s="82">
        <v>0.92608958654877127</v>
      </c>
      <c r="AT67" s="82">
        <v>0.9308687898684912</v>
      </c>
      <c r="AU67" s="75">
        <v>0.9308687898684912</v>
      </c>
      <c r="AV67" s="75">
        <v>0.92265355365979052</v>
      </c>
      <c r="AW67" s="75">
        <v>0.91806799164384045</v>
      </c>
      <c r="AX67" s="75">
        <v>0.92265355365979052</v>
      </c>
      <c r="AY67" s="108">
        <v>0.92468800716505251</v>
      </c>
      <c r="AZ67" s="108">
        <v>0.90662324579800169</v>
      </c>
      <c r="BA67" s="108">
        <v>0.92265355365979052</v>
      </c>
      <c r="BB67" s="75">
        <v>0.91922238337833528</v>
      </c>
      <c r="BC67" s="75">
        <v>0.92213723968746175</v>
      </c>
      <c r="BD67" s="75">
        <v>0.9445258900514274</v>
      </c>
      <c r="BE67" s="75">
        <v>0.9445258900514274</v>
      </c>
      <c r="BF67" s="75">
        <v>0.94416439621943593</v>
      </c>
      <c r="BG67" s="75">
        <v>0.93515231133278731</v>
      </c>
      <c r="BH67" s="75">
        <v>0.94243020458426507</v>
      </c>
      <c r="BI67" s="75">
        <v>0.94761914540130543</v>
      </c>
      <c r="BJ67" s="75">
        <v>0.94761914540130543</v>
      </c>
      <c r="BK67" s="75">
        <v>0.94131344742241874</v>
      </c>
      <c r="BL67" s="75">
        <v>0.95720016834812449</v>
      </c>
      <c r="BM67" s="75">
        <v>0.94965811982441983</v>
      </c>
      <c r="BN67" s="75">
        <v>0.95222459870682552</v>
      </c>
      <c r="BO67" s="75">
        <v>0.95222459870682552</v>
      </c>
      <c r="BP67" s="75">
        <v>0.94954280030727078</v>
      </c>
      <c r="BQ67" s="75">
        <v>0.95160397631104832</v>
      </c>
    </row>
    <row r="68" spans="1:69" s="109" customFormat="1" ht="15" customHeight="1" x14ac:dyDescent="0.3">
      <c r="A68" t="s">
        <v>137</v>
      </c>
      <c r="B68" s="17" t="str">
        <f>IF('Sumário | Summary'!P1=1,"Inadimplência líquida (%)","Net Default")</f>
        <v>Inadimplência líquida (%)</v>
      </c>
      <c r="C68" s="107">
        <v>6.3446944795405948E-5</v>
      </c>
      <c r="D68" s="107">
        <v>-1.8373262823806894E-3</v>
      </c>
      <c r="E68" s="107">
        <v>4.4107664777989226E-2</v>
      </c>
      <c r="F68" s="107">
        <v>1.2639856652241654E-2</v>
      </c>
      <c r="G68" s="107">
        <v>1.6717375515167929E-2</v>
      </c>
      <c r="H68" s="107">
        <v>3.064182438599922E-2</v>
      </c>
      <c r="I68" s="107">
        <v>2.3365230513745106E-2</v>
      </c>
      <c r="J68" s="107">
        <v>1.4036190002638709E-2</v>
      </c>
      <c r="K68" s="107">
        <v>1.0199457330800773E-2</v>
      </c>
      <c r="L68" s="107">
        <v>1.9813254610476349E-2</v>
      </c>
      <c r="M68" s="107">
        <v>5.0532470545629649E-2</v>
      </c>
      <c r="N68" s="107">
        <v>4.9401616377818848E-2</v>
      </c>
      <c r="O68" s="107">
        <v>2.559636851829462E-2</v>
      </c>
      <c r="P68" s="82">
        <v>1.6247780489484703E-2</v>
      </c>
      <c r="Q68" s="82">
        <v>3.5399301724702917E-2</v>
      </c>
      <c r="R68" s="82">
        <v>7.9000000000000001E-2</v>
      </c>
      <c r="S68" s="82">
        <v>5.2924527367774005E-2</v>
      </c>
      <c r="T68" s="82">
        <v>3.0840649526738262E-2</v>
      </c>
      <c r="U68" s="82">
        <v>2.2065564922835738E-2</v>
      </c>
      <c r="V68" s="82">
        <v>2.2065564922835738E-2</v>
      </c>
      <c r="W68" s="82">
        <v>5.6097789235478354E-2</v>
      </c>
      <c r="X68" s="82">
        <v>3.8203536881908272E-2</v>
      </c>
      <c r="Y68" s="82">
        <v>3.0738218168385161E-2</v>
      </c>
      <c r="Z68" s="82">
        <v>3.1318752024554697E-2</v>
      </c>
      <c r="AA68" s="82">
        <v>3.9816464205255864E-2</v>
      </c>
      <c r="AB68" s="82">
        <v>5.1549172269938048E-2</v>
      </c>
      <c r="AC68" s="82">
        <v>1.6556366698077252E-2</v>
      </c>
      <c r="AD68" s="82">
        <v>7.3359976954346928E-3</v>
      </c>
      <c r="AE68" s="82">
        <v>1.2147640477296551E-2</v>
      </c>
      <c r="AF68" s="82">
        <v>2.351953710864918E-2</v>
      </c>
      <c r="AG68" s="82">
        <v>4.7213097422773354E-2</v>
      </c>
      <c r="AH68" s="82">
        <v>2.3538702546541002E-2</v>
      </c>
      <c r="AI68" s="82">
        <v>1.4286809962313241E-2</v>
      </c>
      <c r="AJ68" s="82">
        <v>4.7608519706683339E-3</v>
      </c>
      <c r="AK68" s="82">
        <v>2.3586999165056688E-2</v>
      </c>
      <c r="AL68" s="82">
        <v>3.2312980731915616E-2</v>
      </c>
      <c r="AM68" s="82">
        <v>4.9728953161738924E-3</v>
      </c>
      <c r="AN68" s="82">
        <v>1.7416340145349339E-2</v>
      </c>
      <c r="AO68" s="82">
        <v>-1.8325421815240054E-3</v>
      </c>
      <c r="AP68" s="82">
        <v>1.4251743404439021E-2</v>
      </c>
      <c r="AQ68" s="82">
        <v>4.6192981409242606E-2</v>
      </c>
      <c r="AR68" s="82">
        <v>5.725085554970615E-3</v>
      </c>
      <c r="AS68" s="82">
        <v>0.10624361200631294</v>
      </c>
      <c r="AT68" s="82">
        <v>5.5556186066665951E-2</v>
      </c>
      <c r="AU68" s="75">
        <v>5.2759166430050408E-2</v>
      </c>
      <c r="AV68" s="75">
        <v>0.17176102211540467</v>
      </c>
      <c r="AW68" s="75">
        <v>9.7617072264351568E-2</v>
      </c>
      <c r="AX68" s="75">
        <v>-2.8447965748809922E-2</v>
      </c>
      <c r="AY68" s="108">
        <v>-1.7473669291911964E-3</v>
      </c>
      <c r="AZ68" s="108">
        <v>5.1411817978261221E-2</v>
      </c>
      <c r="BA68" s="108">
        <v>3.0466575954839703E-2</v>
      </c>
      <c r="BB68" s="75">
        <v>-1.2367937602997703E-2</v>
      </c>
      <c r="BC68" s="75">
        <v>3.423529386271329E-3</v>
      </c>
      <c r="BD68" s="75">
        <v>-5.5294695290784013E-3</v>
      </c>
      <c r="BE68" s="75">
        <v>4.8640468428989836E-3</v>
      </c>
      <c r="BF68" s="75">
        <v>3.4167910066470242E-2</v>
      </c>
      <c r="BG68" s="75">
        <v>-3.073020529259729E-3</v>
      </c>
      <c r="BH68" s="75">
        <v>1.7681544369021029E-2</v>
      </c>
      <c r="BI68" s="75">
        <v>-7.3035673428569758E-3</v>
      </c>
      <c r="BJ68" s="75">
        <v>1.1269455958643371E-2</v>
      </c>
      <c r="BK68" s="75">
        <v>3.6487381584644485E-2</v>
      </c>
      <c r="BL68" s="75">
        <v>6.2412363374059199E-3</v>
      </c>
      <c r="BM68" s="75">
        <v>1.6227661405791571E-2</v>
      </c>
      <c r="BN68" s="75">
        <v>-1.7884341144607019E-2</v>
      </c>
      <c r="BO68" s="75">
        <v>1.233641751515191E-2</v>
      </c>
      <c r="BP68" s="75">
        <v>2.9893820613604127E-2</v>
      </c>
      <c r="BQ68" s="75">
        <v>3.7159325789309916E-3</v>
      </c>
    </row>
    <row r="69" spans="1:69" s="109" customFormat="1" ht="15" customHeight="1" x14ac:dyDescent="0.3">
      <c r="A69" t="s">
        <v>138</v>
      </c>
      <c r="B69" s="17" t="s">
        <v>138</v>
      </c>
      <c r="C69" s="107" t="s">
        <v>73</v>
      </c>
      <c r="D69" s="107" t="s">
        <v>73</v>
      </c>
      <c r="E69" s="107" t="s">
        <v>73</v>
      </c>
      <c r="F69" s="107" t="s">
        <v>73</v>
      </c>
      <c r="G69" s="107" t="s">
        <v>73</v>
      </c>
      <c r="H69" s="107" t="s">
        <v>73</v>
      </c>
      <c r="I69" s="107" t="s">
        <v>73</v>
      </c>
      <c r="J69" s="107" t="s">
        <v>73</v>
      </c>
      <c r="K69" s="107" t="s">
        <v>73</v>
      </c>
      <c r="L69" s="107" t="s">
        <v>73</v>
      </c>
      <c r="M69" s="107" t="s">
        <v>73</v>
      </c>
      <c r="N69" s="107" t="s">
        <v>73</v>
      </c>
      <c r="O69" s="107" t="s">
        <v>73</v>
      </c>
      <c r="P69" s="107" t="s">
        <v>73</v>
      </c>
      <c r="Q69" s="107" t="s">
        <v>73</v>
      </c>
      <c r="R69" s="107" t="s">
        <v>73</v>
      </c>
      <c r="S69" s="107" t="s">
        <v>73</v>
      </c>
      <c r="T69" s="107" t="s">
        <v>73</v>
      </c>
      <c r="U69" s="107" t="s">
        <v>73</v>
      </c>
      <c r="V69" s="107" t="s">
        <v>73</v>
      </c>
      <c r="W69" s="107" t="s">
        <v>73</v>
      </c>
      <c r="X69" s="107" t="s">
        <v>73</v>
      </c>
      <c r="Y69" s="107" t="s">
        <v>73</v>
      </c>
      <c r="Z69" s="107" t="s">
        <v>73</v>
      </c>
      <c r="AA69" s="107" t="s">
        <v>73</v>
      </c>
      <c r="AB69" s="107" t="s">
        <v>73</v>
      </c>
      <c r="AC69" s="107" t="s">
        <v>73</v>
      </c>
      <c r="AD69" s="107" t="s">
        <v>73</v>
      </c>
      <c r="AE69" s="107" t="s">
        <v>73</v>
      </c>
      <c r="AF69" s="107" t="s">
        <v>73</v>
      </c>
      <c r="AG69" s="107" t="s">
        <v>73</v>
      </c>
      <c r="AH69" s="107" t="s">
        <v>73</v>
      </c>
      <c r="AI69" s="107" t="s">
        <v>73</v>
      </c>
      <c r="AJ69" s="107" t="s">
        <v>73</v>
      </c>
      <c r="AK69" s="107" t="s">
        <v>73</v>
      </c>
      <c r="AL69" s="82">
        <v>3.7082428145531854E-3</v>
      </c>
      <c r="AM69" s="82">
        <v>8.6108251752922624E-3</v>
      </c>
      <c r="AN69" s="82">
        <v>3.0778989053377409E-3</v>
      </c>
      <c r="AO69" s="82">
        <v>2.6559527414963323E-3</v>
      </c>
      <c r="AP69" s="82">
        <v>4.5037812132252275E-3</v>
      </c>
      <c r="AQ69" s="82">
        <v>2.2911663178862324E-3</v>
      </c>
      <c r="AR69" s="82">
        <v>2.6310715469764789E-3</v>
      </c>
      <c r="AS69" s="82">
        <v>5.3643458007781126E-3</v>
      </c>
      <c r="AT69" s="82">
        <v>7.3784405642785909E-3</v>
      </c>
      <c r="AU69" s="75">
        <v>4.3935852110093742E-3</v>
      </c>
      <c r="AV69" s="75">
        <v>9.502224226397564E-3</v>
      </c>
      <c r="AW69" s="75">
        <v>3.1113724661483225E-3</v>
      </c>
      <c r="AX69" s="75">
        <v>8.8914811077884775E-3</v>
      </c>
      <c r="AY69" s="108">
        <v>7.244859688022744E-3</v>
      </c>
      <c r="AZ69" s="108">
        <v>7.2017720273455776E-3</v>
      </c>
      <c r="BA69" s="108">
        <v>2.5483067256527651E-3</v>
      </c>
      <c r="BB69" s="75">
        <v>1.989339591633241E-2</v>
      </c>
      <c r="BC69" s="75">
        <v>7.0043002428651843E-3</v>
      </c>
      <c r="BD69" s="75">
        <v>0</v>
      </c>
      <c r="BE69" s="75">
        <v>1.0937253251250091E-2</v>
      </c>
      <c r="BF69" s="75">
        <v>6.2776359411206772E-3</v>
      </c>
      <c r="BG69" s="75">
        <v>8.9285479558861239E-3</v>
      </c>
      <c r="BH69" s="75">
        <v>6.1208019313108014E-3</v>
      </c>
      <c r="BI69" s="75">
        <v>1.3931691021221862E-3</v>
      </c>
      <c r="BJ69" s="75">
        <v>5.6615611576119607E-3</v>
      </c>
      <c r="BK69" s="75">
        <v>4.3187899007810253E-3</v>
      </c>
      <c r="BL69" s="75">
        <v>5.9803924822867238E-3</v>
      </c>
      <c r="BM69" s="75">
        <v>1.270939099957865E-2</v>
      </c>
      <c r="BN69" s="75">
        <v>9.9767854021720961E-3</v>
      </c>
      <c r="BO69" s="75">
        <v>9.4424936474685681E-3</v>
      </c>
      <c r="BP69" s="75">
        <v>7.6678879755182651E-3</v>
      </c>
      <c r="BQ69" s="75">
        <v>4.1270170097910683E-3</v>
      </c>
    </row>
    <row r="71" spans="1:69" s="39" customFormat="1" hidden="1" x14ac:dyDescent="0.3">
      <c r="A71"/>
      <c r="AB71" s="110" t="str">
        <f t="shared" ref="AB71:BH71" si="6">IF(RIGHT(LEFT(AB5,2),1)="0","4T"&amp;RIGHT(AB5,2),AB5)</f>
        <v>1T17</v>
      </c>
      <c r="AC71" s="110" t="str">
        <f t="shared" si="6"/>
        <v>2T17</v>
      </c>
      <c r="AD71" s="110" t="str">
        <f t="shared" si="6"/>
        <v>3T17</v>
      </c>
      <c r="AE71" s="110" t="str">
        <f t="shared" si="6"/>
        <v>4T17</v>
      </c>
      <c r="AF71" s="110" t="str">
        <f t="shared" si="6"/>
        <v>4T17</v>
      </c>
      <c r="AG71" s="110" t="str">
        <f t="shared" si="6"/>
        <v>1T18</v>
      </c>
      <c r="AH71" s="110" t="str">
        <f t="shared" si="6"/>
        <v>2T18</v>
      </c>
      <c r="AI71" s="110" t="str">
        <f t="shared" si="6"/>
        <v>3T18</v>
      </c>
      <c r="AJ71" s="110" t="str">
        <f t="shared" si="6"/>
        <v>4T18</v>
      </c>
      <c r="AK71" s="110" t="str">
        <f t="shared" si="6"/>
        <v>4T18</v>
      </c>
      <c r="AL71" s="110" t="str">
        <f t="shared" si="6"/>
        <v>1T19</v>
      </c>
      <c r="AM71" s="110" t="str">
        <f t="shared" si="6"/>
        <v>2T19</v>
      </c>
      <c r="AN71" s="110" t="str">
        <f t="shared" si="6"/>
        <v>3T19</v>
      </c>
      <c r="AO71" s="110" t="str">
        <f t="shared" si="6"/>
        <v>4T19</v>
      </c>
      <c r="AP71" s="110" t="str">
        <f t="shared" si="6"/>
        <v>4T19</v>
      </c>
      <c r="AQ71" s="110" t="str">
        <f t="shared" si="6"/>
        <v>1T20</v>
      </c>
      <c r="AR71" s="110" t="str">
        <f t="shared" si="6"/>
        <v>2T20</v>
      </c>
      <c r="AS71" s="110" t="str">
        <f t="shared" si="6"/>
        <v>3T20</v>
      </c>
      <c r="AT71" s="110" t="str">
        <f t="shared" si="6"/>
        <v>4T20</v>
      </c>
      <c r="AU71" s="110" t="str">
        <f t="shared" si="6"/>
        <v>4T20</v>
      </c>
      <c r="AV71" s="110" t="str">
        <f t="shared" si="6"/>
        <v>1T21</v>
      </c>
      <c r="AW71" s="110" t="str">
        <f t="shared" si="6"/>
        <v>2T21</v>
      </c>
      <c r="AX71" s="110" t="str">
        <f t="shared" si="6"/>
        <v>3T21</v>
      </c>
      <c r="AY71" s="110" t="str">
        <f t="shared" si="6"/>
        <v>4T21</v>
      </c>
      <c r="AZ71" s="110" t="str">
        <f t="shared" si="6"/>
        <v>4T21</v>
      </c>
      <c r="BA71" s="110" t="str">
        <f t="shared" si="6"/>
        <v>1T22</v>
      </c>
      <c r="BB71" s="110" t="str">
        <f t="shared" si="6"/>
        <v>2T22</v>
      </c>
      <c r="BC71" s="110" t="str">
        <f t="shared" si="6"/>
        <v>3T22</v>
      </c>
      <c r="BD71" s="110" t="str">
        <f t="shared" si="6"/>
        <v>4T22</v>
      </c>
      <c r="BE71" s="110" t="str">
        <f t="shared" si="6"/>
        <v>4T22</v>
      </c>
      <c r="BF71" s="110" t="str">
        <f t="shared" si="6"/>
        <v>1T23</v>
      </c>
      <c r="BG71" s="110" t="str">
        <f t="shared" si="6"/>
        <v>2T23</v>
      </c>
      <c r="BH71" s="110" t="str">
        <f t="shared" si="6"/>
        <v>3T23</v>
      </c>
      <c r="BI71" s="110" t="str">
        <f>IF(RIGHT(LEFT(BI5,2),1)="0","4T"&amp;RIGHT(BI5,2),BI5)</f>
        <v>4T23</v>
      </c>
      <c r="BJ71" s="110" t="str">
        <f>IF(RIGHT(LEFT(BJ5,2),1)="0","4T"&amp;RIGHT(BJ5,2),BJ5)</f>
        <v>4T23</v>
      </c>
      <c r="BK71" s="110" t="s">
        <v>52</v>
      </c>
      <c r="BL71" s="110" t="s">
        <v>53</v>
      </c>
      <c r="BM71" s="110" t="s">
        <v>54</v>
      </c>
      <c r="BN71" s="110" t="s">
        <v>55</v>
      </c>
      <c r="BO71" s="110" t="s">
        <v>55</v>
      </c>
      <c r="BP71" s="110" t="s">
        <v>56</v>
      </c>
      <c r="BQ71" s="110" t="str">
        <f>IF(RIGHT(LEFT(BQ5,2),1)="0","4T"&amp;RIGHT(BQ5,2),BQ5)</f>
        <v>2T25</v>
      </c>
    </row>
    <row r="72" spans="1:69" s="39" customFormat="1" hidden="1" x14ac:dyDescent="0.3">
      <c r="A72"/>
      <c r="AB72" s="110" t="str">
        <f t="shared" ref="AB72:BJ74" si="7">IF(LEFT(AB71,1)="1","4T"&amp;RIGHT(AB71,2)-1,LEFT(AB71,1)-1&amp;"T"&amp;RIGHT(AB71,2))</f>
        <v>4T16</v>
      </c>
      <c r="AC72" s="110" t="str">
        <f t="shared" si="7"/>
        <v>1T17</v>
      </c>
      <c r="AD72" s="110" t="str">
        <f t="shared" si="7"/>
        <v>2T17</v>
      </c>
      <c r="AE72" s="110" t="str">
        <f t="shared" si="7"/>
        <v>3T17</v>
      </c>
      <c r="AF72" s="110" t="str">
        <f t="shared" si="7"/>
        <v>3T17</v>
      </c>
      <c r="AG72" s="110" t="str">
        <f t="shared" si="7"/>
        <v>4T17</v>
      </c>
      <c r="AH72" s="110" t="str">
        <f t="shared" si="7"/>
        <v>1T18</v>
      </c>
      <c r="AI72" s="110" t="str">
        <f t="shared" si="7"/>
        <v>2T18</v>
      </c>
      <c r="AJ72" s="110" t="str">
        <f t="shared" si="7"/>
        <v>3T18</v>
      </c>
      <c r="AK72" s="110" t="str">
        <f t="shared" si="7"/>
        <v>3T18</v>
      </c>
      <c r="AL72" s="110" t="str">
        <f t="shared" si="7"/>
        <v>4T18</v>
      </c>
      <c r="AM72" s="110" t="str">
        <f t="shared" si="7"/>
        <v>1T19</v>
      </c>
      <c r="AN72" s="110" t="str">
        <f t="shared" si="7"/>
        <v>2T19</v>
      </c>
      <c r="AO72" s="110" t="str">
        <f t="shared" si="7"/>
        <v>3T19</v>
      </c>
      <c r="AP72" s="110" t="str">
        <f t="shared" si="7"/>
        <v>3T19</v>
      </c>
      <c r="AQ72" s="110" t="str">
        <f t="shared" si="7"/>
        <v>4T19</v>
      </c>
      <c r="AR72" s="110" t="str">
        <f t="shared" si="7"/>
        <v>1T20</v>
      </c>
      <c r="AS72" s="110" t="str">
        <f t="shared" si="7"/>
        <v>2T20</v>
      </c>
      <c r="AT72" s="110" t="str">
        <f t="shared" si="7"/>
        <v>3T20</v>
      </c>
      <c r="AU72" s="110" t="str">
        <f t="shared" si="7"/>
        <v>3T20</v>
      </c>
      <c r="AV72" s="110" t="str">
        <f t="shared" si="7"/>
        <v>4T20</v>
      </c>
      <c r="AW72" s="110" t="str">
        <f t="shared" si="7"/>
        <v>1T21</v>
      </c>
      <c r="AX72" s="110" t="str">
        <f t="shared" si="7"/>
        <v>2T21</v>
      </c>
      <c r="AY72" s="110" t="str">
        <f t="shared" si="7"/>
        <v>3T21</v>
      </c>
      <c r="AZ72" s="110" t="str">
        <f t="shared" si="7"/>
        <v>3T21</v>
      </c>
      <c r="BA72" s="110" t="str">
        <f t="shared" si="7"/>
        <v>4T21</v>
      </c>
      <c r="BB72" s="110" t="str">
        <f t="shared" si="7"/>
        <v>1T22</v>
      </c>
      <c r="BC72" s="110" t="str">
        <f t="shared" si="7"/>
        <v>2T22</v>
      </c>
      <c r="BD72" s="110" t="str">
        <f t="shared" si="7"/>
        <v>3T22</v>
      </c>
      <c r="BE72" s="110" t="str">
        <f t="shared" si="7"/>
        <v>3T22</v>
      </c>
      <c r="BF72" s="110" t="str">
        <f t="shared" si="7"/>
        <v>4T22</v>
      </c>
      <c r="BG72" s="110" t="str">
        <f t="shared" si="7"/>
        <v>1T23</v>
      </c>
      <c r="BH72" s="110" t="str">
        <f t="shared" si="7"/>
        <v>2T23</v>
      </c>
      <c r="BI72" s="110" t="str">
        <f t="shared" si="7"/>
        <v>3T23</v>
      </c>
      <c r="BJ72" s="110" t="str">
        <f t="shared" si="7"/>
        <v>3T23</v>
      </c>
      <c r="BK72" s="110" t="s">
        <v>50</v>
      </c>
      <c r="BL72" s="110" t="s">
        <v>52</v>
      </c>
      <c r="BM72" s="110" t="s">
        <v>53</v>
      </c>
      <c r="BN72" s="110" t="s">
        <v>54</v>
      </c>
      <c r="BO72" s="110" t="s">
        <v>54</v>
      </c>
      <c r="BP72" s="110" t="s">
        <v>55</v>
      </c>
      <c r="BQ72" s="110" t="str">
        <f t="shared" ref="BQ72:BQ74" si="8">IF(LEFT(BQ71,1)="1","4T"&amp;RIGHT(BQ71,2)-1,LEFT(BQ71,1)-1&amp;"T"&amp;RIGHT(BQ71,2))</f>
        <v>1T25</v>
      </c>
    </row>
    <row r="73" spans="1:69" s="39" customFormat="1" hidden="1" x14ac:dyDescent="0.3">
      <c r="A73"/>
      <c r="AB73" s="110" t="str">
        <f t="shared" si="7"/>
        <v>3T16</v>
      </c>
      <c r="AC73" s="110" t="str">
        <f t="shared" si="7"/>
        <v>4T16</v>
      </c>
      <c r="AD73" s="110" t="str">
        <f t="shared" si="7"/>
        <v>1T17</v>
      </c>
      <c r="AE73" s="110" t="str">
        <f t="shared" si="7"/>
        <v>2T17</v>
      </c>
      <c r="AF73" s="110" t="str">
        <f t="shared" si="7"/>
        <v>2T17</v>
      </c>
      <c r="AG73" s="110" t="str">
        <f t="shared" si="7"/>
        <v>3T17</v>
      </c>
      <c r="AH73" s="110" t="str">
        <f t="shared" si="7"/>
        <v>4T17</v>
      </c>
      <c r="AI73" s="110" t="str">
        <f t="shared" si="7"/>
        <v>1T18</v>
      </c>
      <c r="AJ73" s="110" t="str">
        <f t="shared" si="7"/>
        <v>2T18</v>
      </c>
      <c r="AK73" s="110" t="str">
        <f t="shared" si="7"/>
        <v>2T18</v>
      </c>
      <c r="AL73" s="110" t="str">
        <f t="shared" si="7"/>
        <v>3T18</v>
      </c>
      <c r="AM73" s="110" t="str">
        <f t="shared" si="7"/>
        <v>4T18</v>
      </c>
      <c r="AN73" s="110" t="str">
        <f t="shared" si="7"/>
        <v>1T19</v>
      </c>
      <c r="AO73" s="110" t="str">
        <f t="shared" si="7"/>
        <v>2T19</v>
      </c>
      <c r="AP73" s="110" t="str">
        <f t="shared" si="7"/>
        <v>2T19</v>
      </c>
      <c r="AQ73" s="110" t="str">
        <f t="shared" si="7"/>
        <v>3T19</v>
      </c>
      <c r="AR73" s="110" t="str">
        <f t="shared" si="7"/>
        <v>4T19</v>
      </c>
      <c r="AS73" s="110" t="str">
        <f t="shared" si="7"/>
        <v>1T20</v>
      </c>
      <c r="AT73" s="110" t="str">
        <f t="shared" si="7"/>
        <v>2T20</v>
      </c>
      <c r="AU73" s="110" t="str">
        <f t="shared" si="7"/>
        <v>2T20</v>
      </c>
      <c r="AV73" s="110" t="str">
        <f t="shared" si="7"/>
        <v>3T20</v>
      </c>
      <c r="AW73" s="110" t="str">
        <f t="shared" si="7"/>
        <v>4T20</v>
      </c>
      <c r="AX73" s="110" t="str">
        <f t="shared" si="7"/>
        <v>1T21</v>
      </c>
      <c r="AY73" s="110" t="str">
        <f t="shared" si="7"/>
        <v>2T21</v>
      </c>
      <c r="AZ73" s="110" t="str">
        <f t="shared" si="7"/>
        <v>2T21</v>
      </c>
      <c r="BA73" s="110" t="str">
        <f t="shared" si="7"/>
        <v>3T21</v>
      </c>
      <c r="BB73" s="110" t="str">
        <f t="shared" si="7"/>
        <v>4T21</v>
      </c>
      <c r="BC73" s="110" t="str">
        <f t="shared" si="7"/>
        <v>1T22</v>
      </c>
      <c r="BD73" s="110" t="str">
        <f t="shared" si="7"/>
        <v>2T22</v>
      </c>
      <c r="BE73" s="110" t="str">
        <f t="shared" si="7"/>
        <v>2T22</v>
      </c>
      <c r="BF73" s="110" t="str">
        <f t="shared" si="7"/>
        <v>3T22</v>
      </c>
      <c r="BG73" s="110" t="str">
        <f t="shared" si="7"/>
        <v>4T22</v>
      </c>
      <c r="BH73" s="110" t="str">
        <f t="shared" si="7"/>
        <v>1T23</v>
      </c>
      <c r="BI73" s="110" t="str">
        <f t="shared" si="7"/>
        <v>2T23</v>
      </c>
      <c r="BJ73" s="110" t="str">
        <f t="shared" si="7"/>
        <v>2T23</v>
      </c>
      <c r="BK73" s="110" t="s">
        <v>49</v>
      </c>
      <c r="BL73" s="110" t="s">
        <v>50</v>
      </c>
      <c r="BM73" s="110" t="s">
        <v>52</v>
      </c>
      <c r="BN73" s="110" t="s">
        <v>53</v>
      </c>
      <c r="BO73" s="110" t="s">
        <v>53</v>
      </c>
      <c r="BP73" s="110" t="s">
        <v>54</v>
      </c>
      <c r="BQ73" s="110" t="str">
        <f t="shared" si="8"/>
        <v>4T24</v>
      </c>
    </row>
    <row r="74" spans="1:69" s="39" customFormat="1" hidden="1" x14ac:dyDescent="0.3">
      <c r="A74"/>
      <c r="AB74" s="110" t="str">
        <f t="shared" si="7"/>
        <v>2T16</v>
      </c>
      <c r="AC74" s="110" t="str">
        <f t="shared" si="7"/>
        <v>3T16</v>
      </c>
      <c r="AD74" s="110" t="str">
        <f t="shared" si="7"/>
        <v>4T16</v>
      </c>
      <c r="AE74" s="110" t="str">
        <f t="shared" si="7"/>
        <v>1T17</v>
      </c>
      <c r="AF74" s="110" t="str">
        <f t="shared" si="7"/>
        <v>1T17</v>
      </c>
      <c r="AG74" s="110" t="str">
        <f t="shared" si="7"/>
        <v>2T17</v>
      </c>
      <c r="AH74" s="110" t="str">
        <f t="shared" si="7"/>
        <v>3T17</v>
      </c>
      <c r="AI74" s="110" t="str">
        <f t="shared" si="7"/>
        <v>4T17</v>
      </c>
      <c r="AJ74" s="110" t="str">
        <f t="shared" si="7"/>
        <v>1T18</v>
      </c>
      <c r="AK74" s="110" t="str">
        <f t="shared" si="7"/>
        <v>1T18</v>
      </c>
      <c r="AL74" s="110" t="str">
        <f t="shared" si="7"/>
        <v>2T18</v>
      </c>
      <c r="AM74" s="110" t="str">
        <f t="shared" si="7"/>
        <v>3T18</v>
      </c>
      <c r="AN74" s="110" t="str">
        <f t="shared" si="7"/>
        <v>4T18</v>
      </c>
      <c r="AO74" s="110" t="str">
        <f t="shared" si="7"/>
        <v>1T19</v>
      </c>
      <c r="AP74" s="110" t="str">
        <f t="shared" si="7"/>
        <v>1T19</v>
      </c>
      <c r="AQ74" s="110" t="str">
        <f t="shared" si="7"/>
        <v>2T19</v>
      </c>
      <c r="AR74" s="110" t="str">
        <f t="shared" si="7"/>
        <v>3T19</v>
      </c>
      <c r="AS74" s="110" t="str">
        <f t="shared" si="7"/>
        <v>4T19</v>
      </c>
      <c r="AT74" s="110" t="str">
        <f t="shared" si="7"/>
        <v>1T20</v>
      </c>
      <c r="AU74" s="110" t="str">
        <f t="shared" si="7"/>
        <v>1T20</v>
      </c>
      <c r="AV74" s="110" t="str">
        <f t="shared" si="7"/>
        <v>2T20</v>
      </c>
      <c r="AW74" s="110" t="str">
        <f t="shared" si="7"/>
        <v>3T20</v>
      </c>
      <c r="AX74" s="110" t="str">
        <f t="shared" si="7"/>
        <v>4T20</v>
      </c>
      <c r="AY74" s="110" t="str">
        <f t="shared" si="7"/>
        <v>1T21</v>
      </c>
      <c r="AZ74" s="110" t="str">
        <f t="shared" si="7"/>
        <v>1T21</v>
      </c>
      <c r="BA74" s="110" t="str">
        <f t="shared" si="7"/>
        <v>2T21</v>
      </c>
      <c r="BB74" s="110" t="str">
        <f t="shared" si="7"/>
        <v>3T21</v>
      </c>
      <c r="BC74" s="110" t="str">
        <f t="shared" si="7"/>
        <v>4T21</v>
      </c>
      <c r="BD74" s="110" t="str">
        <f t="shared" si="7"/>
        <v>1T22</v>
      </c>
      <c r="BE74" s="110" t="str">
        <f t="shared" si="7"/>
        <v>1T22</v>
      </c>
      <c r="BF74" s="110" t="str">
        <f t="shared" si="7"/>
        <v>2T22</v>
      </c>
      <c r="BG74" s="110" t="str">
        <f t="shared" si="7"/>
        <v>3T22</v>
      </c>
      <c r="BH74" s="110" t="str">
        <f t="shared" si="7"/>
        <v>4T22</v>
      </c>
      <c r="BI74" s="110" t="str">
        <f t="shared" si="7"/>
        <v>1T23</v>
      </c>
      <c r="BJ74" s="110" t="str">
        <f t="shared" si="7"/>
        <v>1T23</v>
      </c>
      <c r="BK74" s="110" t="s">
        <v>48</v>
      </c>
      <c r="BL74" s="110" t="s">
        <v>49</v>
      </c>
      <c r="BM74" s="110" t="s">
        <v>50</v>
      </c>
      <c r="BN74" s="110" t="s">
        <v>52</v>
      </c>
      <c r="BO74" s="110" t="s">
        <v>52</v>
      </c>
      <c r="BP74" s="110" t="s">
        <v>53</v>
      </c>
      <c r="BQ74" s="110" t="str">
        <f t="shared" si="8"/>
        <v>3T24</v>
      </c>
    </row>
    <row r="75" spans="1:69" hidden="1" x14ac:dyDescent="0.3"/>
    <row r="76" spans="1:69" hidden="1" x14ac:dyDescent="0.3">
      <c r="B76" t="s">
        <v>105</v>
      </c>
      <c r="AB76" s="111">
        <v>53219.814074149799</v>
      </c>
      <c r="AC76" s="111">
        <v>59205.686673179902</v>
      </c>
      <c r="AD76" s="111">
        <v>17358.519127522799</v>
      </c>
      <c r="AE76" s="111">
        <v>42693.335353689501</v>
      </c>
      <c r="AF76" s="111">
        <v>42693.335353689501</v>
      </c>
      <c r="AG76" s="111">
        <v>44754.9957052592</v>
      </c>
      <c r="AH76" s="111">
        <v>44698.058835209296</v>
      </c>
      <c r="AI76" s="111">
        <v>42695.261214256498</v>
      </c>
      <c r="AJ76" s="111">
        <v>47463.199677156103</v>
      </c>
      <c r="AK76" s="111">
        <v>47463.199677156103</v>
      </c>
      <c r="AL76" s="111">
        <v>53595.561126607201</v>
      </c>
      <c r="AM76" s="111">
        <v>50291.4214757632</v>
      </c>
      <c r="AN76" s="111">
        <v>48605.496397633098</v>
      </c>
      <c r="AO76" s="111">
        <v>51695.5181760419</v>
      </c>
      <c r="AP76" s="111">
        <v>51695.5181760419</v>
      </c>
      <c r="AQ76" s="111">
        <v>57901.306223863801</v>
      </c>
      <c r="AR76" s="111">
        <v>30813.548542894699</v>
      </c>
      <c r="AS76" s="111">
        <v>38837.322837720501</v>
      </c>
      <c r="AT76" s="111">
        <v>46974.225657663097</v>
      </c>
      <c r="AU76" s="111">
        <v>46974.225657663097</v>
      </c>
      <c r="AV76" s="111">
        <v>45361.624857951501</v>
      </c>
      <c r="AW76" s="111">
        <v>47729.949874422702</v>
      </c>
      <c r="AX76" s="111">
        <v>57171.140590915798</v>
      </c>
      <c r="AY76" s="111">
        <v>48899.693406460203</v>
      </c>
      <c r="AZ76" s="111">
        <v>48899.693406460203</v>
      </c>
      <c r="BA76" s="111">
        <v>44504.618928092503</v>
      </c>
      <c r="BB76" s="111">
        <v>36869.112995880198</v>
      </c>
      <c r="BC76" s="111">
        <v>36872.009405512501</v>
      </c>
      <c r="BD76" s="111">
        <v>37542.588159528103</v>
      </c>
      <c r="BE76" s="111">
        <v>37542.588159528103</v>
      </c>
      <c r="BF76" s="111">
        <v>39047.002923860302</v>
      </c>
      <c r="BG76" s="111">
        <v>142752</v>
      </c>
      <c r="BH76" s="111">
        <v>148701</v>
      </c>
      <c r="BI76" s="111">
        <v>49781.404763319202</v>
      </c>
      <c r="BJ76" s="111">
        <v>49781.404763319202</v>
      </c>
      <c r="BK76" s="111">
        <v>44945.955095172401</v>
      </c>
      <c r="BL76" s="111">
        <v>32696.958903945793</v>
      </c>
      <c r="BM76" s="111">
        <v>18002.309888170144</v>
      </c>
      <c r="BN76" s="111">
        <v>28487.193740580216</v>
      </c>
      <c r="BO76" s="111">
        <v>28487.193740580216</v>
      </c>
      <c r="BP76" s="111">
        <v>20026.255727315402</v>
      </c>
      <c r="BQ76" s="111">
        <v>19616.301506779535</v>
      </c>
    </row>
    <row r="77" spans="1:69" hidden="1" x14ac:dyDescent="0.3">
      <c r="AB77" s="111" t="e">
        <v>#N/A</v>
      </c>
      <c r="AC77" s="111">
        <v>53219.814074149799</v>
      </c>
      <c r="AD77" s="111">
        <v>59205.686673179902</v>
      </c>
      <c r="AE77" s="111">
        <v>17358.519127522799</v>
      </c>
      <c r="AF77" s="111">
        <v>17358.519127522799</v>
      </c>
      <c r="AG77" s="111">
        <v>42693.335353689501</v>
      </c>
      <c r="AH77" s="111">
        <v>44754.9957052592</v>
      </c>
      <c r="AI77" s="111">
        <v>44698.058835209296</v>
      </c>
      <c r="AJ77" s="111">
        <v>42695.261214256498</v>
      </c>
      <c r="AK77" s="111">
        <v>42695.261214256498</v>
      </c>
      <c r="AL77" s="111">
        <v>47463.199677156103</v>
      </c>
      <c r="AM77" s="111">
        <v>53595.561126607201</v>
      </c>
      <c r="AN77" s="111">
        <v>50291.4214757632</v>
      </c>
      <c r="AO77" s="111">
        <v>48605.496397633098</v>
      </c>
      <c r="AP77" s="111">
        <v>48605.496397633098</v>
      </c>
      <c r="AQ77" s="111">
        <v>51695.5181760419</v>
      </c>
      <c r="AR77" s="111">
        <v>57901.306223863801</v>
      </c>
      <c r="AS77" s="111">
        <v>30813.548542894699</v>
      </c>
      <c r="AT77" s="111">
        <v>38837.322837720501</v>
      </c>
      <c r="AU77" s="111">
        <v>38837.322837720501</v>
      </c>
      <c r="AV77" s="111">
        <v>46974.225657663097</v>
      </c>
      <c r="AW77" s="111">
        <v>45361.624857951501</v>
      </c>
      <c r="AX77" s="111">
        <v>47729.949874422702</v>
      </c>
      <c r="AY77" s="111">
        <v>57171.140590915798</v>
      </c>
      <c r="AZ77" s="111">
        <v>57171.140590915798</v>
      </c>
      <c r="BA77" s="111">
        <v>48899.693406460203</v>
      </c>
      <c r="BB77" s="111">
        <v>44504.618928092503</v>
      </c>
      <c r="BC77" s="111">
        <v>36869.112995880198</v>
      </c>
      <c r="BD77" s="111">
        <v>36872.009405512501</v>
      </c>
      <c r="BE77" s="111">
        <v>36872.009405512501</v>
      </c>
      <c r="BF77" s="111">
        <v>37542.588159528103</v>
      </c>
      <c r="BG77" s="111"/>
      <c r="BH77" s="111"/>
      <c r="BI77" s="111">
        <v>42820.586647335302</v>
      </c>
      <c r="BJ77" s="111">
        <v>42820.586647335302</v>
      </c>
      <c r="BK77" s="111">
        <v>49781.404763319202</v>
      </c>
      <c r="BL77" s="111">
        <v>44945.95509517238</v>
      </c>
      <c r="BM77" s="111">
        <v>32696.958903945793</v>
      </c>
      <c r="BN77" s="111">
        <v>18002.309888170144</v>
      </c>
      <c r="BO77" s="111">
        <v>18002.309888170144</v>
      </c>
      <c r="BP77" s="111">
        <v>28487.193740580216</v>
      </c>
      <c r="BQ77" s="111">
        <v>20026.255727315402</v>
      </c>
    </row>
    <row r="78" spans="1:69" hidden="1" x14ac:dyDescent="0.3">
      <c r="AB78" s="111" t="e">
        <v>#N/A</v>
      </c>
      <c r="AC78" s="111" t="e">
        <v>#N/A</v>
      </c>
      <c r="AD78" s="111">
        <v>53219.814074149799</v>
      </c>
      <c r="AE78" s="111">
        <v>59205.686673179902</v>
      </c>
      <c r="AF78" s="111">
        <v>59205.686673179902</v>
      </c>
      <c r="AG78" s="111">
        <v>17358.519127522799</v>
      </c>
      <c r="AH78" s="111">
        <v>42693.335353689501</v>
      </c>
      <c r="AI78" s="111">
        <v>44754.9957052592</v>
      </c>
      <c r="AJ78" s="111">
        <v>44698.058835209296</v>
      </c>
      <c r="AK78" s="111">
        <v>44698.058835209296</v>
      </c>
      <c r="AL78" s="111">
        <v>42695.261214256498</v>
      </c>
      <c r="AM78" s="111">
        <v>47463.199677156103</v>
      </c>
      <c r="AN78" s="111">
        <v>53595.561126607201</v>
      </c>
      <c r="AO78" s="111">
        <v>50291.4214757632</v>
      </c>
      <c r="AP78" s="111">
        <v>50291.4214757632</v>
      </c>
      <c r="AQ78" s="111">
        <v>48605.496397633098</v>
      </c>
      <c r="AR78" s="111">
        <v>51695.5181760419</v>
      </c>
      <c r="AS78" s="111">
        <v>57901.306223863801</v>
      </c>
      <c r="AT78" s="111">
        <v>30813.548542894699</v>
      </c>
      <c r="AU78" s="111">
        <v>30813.548542894699</v>
      </c>
      <c r="AV78" s="111">
        <v>38837.322837720501</v>
      </c>
      <c r="AW78" s="111">
        <v>46974.225657663097</v>
      </c>
      <c r="AX78" s="111">
        <v>45361.624857951501</v>
      </c>
      <c r="AY78" s="111">
        <v>47729.949874422702</v>
      </c>
      <c r="AZ78" s="111">
        <v>47729.949874422702</v>
      </c>
      <c r="BA78" s="111">
        <v>57171.140590915798</v>
      </c>
      <c r="BB78" s="111">
        <v>48899.693406460203</v>
      </c>
      <c r="BC78" s="111">
        <v>44504.618928092503</v>
      </c>
      <c r="BD78" s="111">
        <v>36869.112995880198</v>
      </c>
      <c r="BE78" s="111">
        <v>36869.112995880198</v>
      </c>
      <c r="BF78" s="111">
        <v>36872.009405512501</v>
      </c>
      <c r="BG78" s="111"/>
      <c r="BH78" s="111"/>
      <c r="BI78" s="111">
        <v>42157.383478005497</v>
      </c>
      <c r="BJ78" s="111">
        <v>42157.383478005497</v>
      </c>
      <c r="BK78" s="111">
        <v>42820.586647335302</v>
      </c>
      <c r="BL78" s="111">
        <v>49781.404763319239</v>
      </c>
      <c r="BM78" s="111">
        <v>44945.95509517238</v>
      </c>
      <c r="BN78" s="111">
        <v>32696.958903945793</v>
      </c>
      <c r="BO78" s="111">
        <v>32696.958903945793</v>
      </c>
      <c r="BP78" s="111">
        <v>18002.309888170144</v>
      </c>
      <c r="BQ78" s="111">
        <v>28487.193740580198</v>
      </c>
    </row>
    <row r="79" spans="1:69" hidden="1" x14ac:dyDescent="0.3">
      <c r="AB79" s="111" t="e">
        <v>#N/A</v>
      </c>
      <c r="AC79" s="111" t="e">
        <v>#N/A</v>
      </c>
      <c r="AD79" s="111" t="e">
        <v>#N/A</v>
      </c>
      <c r="AE79" s="111">
        <v>53219.814074149799</v>
      </c>
      <c r="AF79" s="111">
        <v>53219.814074149799</v>
      </c>
      <c r="AG79" s="111">
        <v>59205.686673179902</v>
      </c>
      <c r="AH79" s="111">
        <v>17358.519127522799</v>
      </c>
      <c r="AI79" s="111">
        <v>42693.335353689501</v>
      </c>
      <c r="AJ79" s="111">
        <v>44754.9957052592</v>
      </c>
      <c r="AK79" s="111">
        <v>44754.9957052592</v>
      </c>
      <c r="AL79" s="111">
        <v>44698.058835209296</v>
      </c>
      <c r="AM79" s="111">
        <v>42695.261214256498</v>
      </c>
      <c r="AN79" s="111">
        <v>47463.199677156103</v>
      </c>
      <c r="AO79" s="111">
        <v>53595.561126607201</v>
      </c>
      <c r="AP79" s="111">
        <v>53595.561126607201</v>
      </c>
      <c r="AQ79" s="111">
        <v>50291.4214757632</v>
      </c>
      <c r="AR79" s="111">
        <v>48605.496397633098</v>
      </c>
      <c r="AS79" s="111">
        <v>51695.5181760419</v>
      </c>
      <c r="AT79" s="111">
        <v>57901.306223863801</v>
      </c>
      <c r="AU79" s="111">
        <v>57901.306223863801</v>
      </c>
      <c r="AV79" s="111">
        <v>30813.548542894699</v>
      </c>
      <c r="AW79" s="111">
        <v>38837.322837720501</v>
      </c>
      <c r="AX79" s="111">
        <v>46974.225657663097</v>
      </c>
      <c r="AY79" s="111">
        <v>45361.624857951501</v>
      </c>
      <c r="AZ79" s="111">
        <v>45361.624857951501</v>
      </c>
      <c r="BA79" s="111">
        <v>47729.949874422702</v>
      </c>
      <c r="BB79" s="111">
        <v>57171.140590915798</v>
      </c>
      <c r="BC79" s="111">
        <v>48899.693406460203</v>
      </c>
      <c r="BD79" s="111">
        <v>44504.618928092503</v>
      </c>
      <c r="BE79" s="111">
        <v>44504.618928092503</v>
      </c>
      <c r="BF79" s="111">
        <v>36869.112995880198</v>
      </c>
      <c r="BG79" s="111"/>
      <c r="BH79" s="111"/>
      <c r="BI79" s="111">
        <v>39047.002923860302</v>
      </c>
      <c r="BJ79" s="111">
        <v>39047.002923860302</v>
      </c>
      <c r="BK79" s="111">
        <v>42157.383478005497</v>
      </c>
      <c r="BL79" s="111">
        <v>42820.586647335265</v>
      </c>
      <c r="BM79" s="111">
        <v>49781.404763319239</v>
      </c>
      <c r="BN79" s="111">
        <v>44945.95509517238</v>
      </c>
      <c r="BO79" s="111">
        <v>44945.95509517238</v>
      </c>
      <c r="BP79" s="111">
        <v>32696.958903945793</v>
      </c>
      <c r="BQ79" s="111">
        <v>18002.309888170101</v>
      </c>
    </row>
    <row r="82" spans="49:49" x14ac:dyDescent="0.3">
      <c r="AW82" s="40"/>
    </row>
  </sheetData>
  <dataConsolidate/>
  <conditionalFormatting sqref="C61:AO69 AQ61:AT69 AV61:AW69">
    <cfRule type="cellIs" dxfId="8" priority="6" operator="equal">
      <formula>""</formula>
    </cfRule>
  </conditionalFormatting>
  <conditionalFormatting sqref="AP62:AP69">
    <cfRule type="cellIs" dxfId="7" priority="1" operator="equal">
      <formula>""</formula>
    </cfRule>
  </conditionalFormatting>
  <conditionalFormatting sqref="AU62:AU69">
    <cfRule type="cellIs" dxfId="6" priority="2" operator="equal">
      <formula>""</formula>
    </cfRule>
  </conditionalFormatting>
  <conditionalFormatting sqref="AX62:AZ69">
    <cfRule type="cellIs" dxfId="5" priority="3" operator="equal">
      <formula>""</formula>
    </cfRule>
  </conditionalFormatting>
  <conditionalFormatting sqref="BA61:BB69">
    <cfRule type="cellIs" dxfId="4" priority="5" operator="equal">
      <formula>""</formula>
    </cfRule>
  </conditionalFormatting>
  <conditionalFormatting sqref="BC62:BC69">
    <cfRule type="cellIs" dxfId="3" priority="7" operator="equal">
      <formula>""</formula>
    </cfRule>
  </conditionalFormatting>
  <conditionalFormatting sqref="BD62:BH65">
    <cfRule type="cellIs" dxfId="2" priority="4" operator="equal">
      <formula>""</formula>
    </cfRule>
  </conditionalFormatting>
  <pageMargins left="0.25" right="0.25" top="0.75" bottom="0.75" header="0.3" footer="0.3"/>
  <pageSetup paperSize="9"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014F-22AE-4555-AF83-15BEF2ABEAB5}">
  <dimension ref="A1:BA67"/>
  <sheetViews>
    <sheetView showGridLines="0" showRowColHeaders="0" zoomScaleNormal="100" workbookViewId="0">
      <pane xSplit="2" ySplit="5" topLeftCell="AT52" activePane="bottomRight" state="frozen"/>
      <selection activeCell="D4" sqref="D4"/>
      <selection pane="topRight" activeCell="D4" sqref="D4"/>
      <selection pane="bottomLeft" activeCell="D4" sqref="D4"/>
      <selection pane="bottomRight" activeCell="D4" sqref="D4"/>
    </sheetView>
  </sheetViews>
  <sheetFormatPr defaultRowHeight="14.4" outlineLevelCol="1" x14ac:dyDescent="0.3"/>
  <cols>
    <col min="1" max="1" width="7.88671875" hidden="1" customWidth="1"/>
    <col min="2" max="2" width="58.44140625" customWidth="1"/>
    <col min="3" max="14" width="15.109375" customWidth="1" outlineLevel="1"/>
    <col min="15" max="18" width="15.109375" style="39" customWidth="1" outlineLevel="1"/>
    <col min="19" max="19" width="15.109375" customWidth="1" outlineLevel="1"/>
    <col min="20" max="22" width="15.109375" customWidth="1"/>
    <col min="23" max="24" width="15.109375" style="39" customWidth="1"/>
    <col min="25" max="28" width="17.88671875" style="39" bestFit="1" customWidth="1"/>
    <col min="29" max="30" width="17.88671875" bestFit="1" customWidth="1"/>
    <col min="31" max="31" width="17.44140625" bestFit="1" customWidth="1"/>
    <col min="32" max="53" width="17.5546875" bestFit="1" customWidth="1"/>
  </cols>
  <sheetData>
    <row r="1" spans="1:53" x14ac:dyDescent="0.3">
      <c r="B1" s="41" t="s">
        <v>0</v>
      </c>
      <c r="O1"/>
      <c r="P1"/>
      <c r="Q1"/>
      <c r="R1"/>
      <c r="W1"/>
      <c r="X1"/>
      <c r="Y1"/>
      <c r="Z1"/>
      <c r="AA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x14ac:dyDescent="0.3">
      <c r="B2" s="41" t="s">
        <v>98</v>
      </c>
      <c r="O2"/>
      <c r="P2"/>
      <c r="Q2"/>
      <c r="R2"/>
      <c r="W2"/>
      <c r="X2"/>
      <c r="Y2"/>
      <c r="Z2"/>
      <c r="AA2"/>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s="3" customFormat="1" x14ac:dyDescent="0.3">
      <c r="B3" s="42">
        <v>1</v>
      </c>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ht="3" customHeight="1" x14ac:dyDescent="0.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row>
    <row r="5" spans="1:53" s="7" customFormat="1" ht="18.75" customHeight="1" x14ac:dyDescent="0.3">
      <c r="B5" s="8" t="str">
        <f>IF('Sumário | Summary'!P1=1,"Balanço Patrimonial - IFRS (R$ MM)","Balance Sheet - IFRS (R$ million)")</f>
        <v>Balanço Patrimonial - IFRS (R$ MM)</v>
      </c>
      <c r="C5" s="9" t="s">
        <v>4</v>
      </c>
      <c r="D5" s="9" t="s">
        <v>5</v>
      </c>
      <c r="E5" s="9" t="s">
        <v>6</v>
      </c>
      <c r="F5" s="9" t="s">
        <v>7</v>
      </c>
      <c r="G5" s="9" t="s">
        <v>8</v>
      </c>
      <c r="H5" s="9" t="s">
        <v>9</v>
      </c>
      <c r="I5" s="9" t="s">
        <v>10</v>
      </c>
      <c r="J5" s="9" t="s">
        <v>11</v>
      </c>
      <c r="K5" s="9" t="s">
        <v>12</v>
      </c>
      <c r="L5" s="9" t="s">
        <v>13</v>
      </c>
      <c r="M5" s="9" t="s">
        <v>14</v>
      </c>
      <c r="N5" s="9" t="s">
        <v>15</v>
      </c>
      <c r="O5" s="9" t="s">
        <v>16</v>
      </c>
      <c r="P5" s="9" t="s">
        <v>17</v>
      </c>
      <c r="Q5" s="9" t="s">
        <v>18</v>
      </c>
      <c r="R5" s="9" t="s">
        <v>19</v>
      </c>
      <c r="S5" s="9" t="s">
        <v>20</v>
      </c>
      <c r="T5" s="9" t="s">
        <v>21</v>
      </c>
      <c r="U5" s="9" t="s">
        <v>22</v>
      </c>
      <c r="V5" s="9" t="s">
        <v>23</v>
      </c>
      <c r="W5" s="9" t="s">
        <v>24</v>
      </c>
      <c r="X5" s="9" t="s">
        <v>25</v>
      </c>
      <c r="Y5" s="9" t="s">
        <v>26</v>
      </c>
      <c r="Z5" s="9" t="s">
        <v>27</v>
      </c>
      <c r="AA5" s="9" t="s">
        <v>28</v>
      </c>
      <c r="AB5" s="9" t="s">
        <v>29</v>
      </c>
      <c r="AC5" s="9" t="s">
        <v>30</v>
      </c>
      <c r="AD5" s="9" t="s">
        <v>31</v>
      </c>
      <c r="AE5" s="9" t="s">
        <v>32</v>
      </c>
      <c r="AF5" s="9" t="s">
        <v>33</v>
      </c>
      <c r="AG5" s="9" t="s">
        <v>34</v>
      </c>
      <c r="AH5" s="9" t="s">
        <v>35</v>
      </c>
      <c r="AI5" s="9" t="s">
        <v>36</v>
      </c>
      <c r="AJ5" s="9" t="s">
        <v>38</v>
      </c>
      <c r="AK5" s="9" t="s">
        <v>39</v>
      </c>
      <c r="AL5" s="9" t="s">
        <v>40</v>
      </c>
      <c r="AM5" s="9" t="s">
        <v>41</v>
      </c>
      <c r="AN5" s="9" t="s">
        <v>42</v>
      </c>
      <c r="AO5" s="9" t="s">
        <v>43</v>
      </c>
      <c r="AP5" s="9" t="s">
        <v>44</v>
      </c>
      <c r="AQ5" s="9" t="s">
        <v>45</v>
      </c>
      <c r="AR5" s="10" t="s">
        <v>47</v>
      </c>
      <c r="AS5" s="10" t="s">
        <v>48</v>
      </c>
      <c r="AT5" s="10" t="s">
        <v>49</v>
      </c>
      <c r="AU5" s="10" t="s">
        <v>50</v>
      </c>
      <c r="AV5" s="10" t="s">
        <v>52</v>
      </c>
      <c r="AW5" s="10" t="s">
        <v>53</v>
      </c>
      <c r="AX5" s="10" t="s">
        <v>54</v>
      </c>
      <c r="AY5" s="10" t="s">
        <v>55</v>
      </c>
      <c r="AZ5" s="10" t="s">
        <v>56</v>
      </c>
      <c r="BA5" s="10" t="s">
        <v>57</v>
      </c>
    </row>
    <row r="6" spans="1:53" ht="15" customHeight="1" x14ac:dyDescent="0.3">
      <c r="A6" t="s">
        <v>139</v>
      </c>
      <c r="B6" s="112" t="str">
        <f>IF('Sumário | Summary'!P1=1,"ATIVOS","ASSETS")</f>
        <v>ATIVOS</v>
      </c>
      <c r="C6" s="113">
        <v>2143.2750000000001</v>
      </c>
      <c r="D6" s="113">
        <v>2385.2370000000001</v>
      </c>
      <c r="E6" s="113">
        <v>2455.1689999999999</v>
      </c>
      <c r="F6" s="113">
        <v>2770.3290000000002</v>
      </c>
      <c r="G6" s="113">
        <v>3123.3249999999998</v>
      </c>
      <c r="H6" s="113">
        <v>3593.3209999999999</v>
      </c>
      <c r="I6" s="113">
        <v>3755.99</v>
      </c>
      <c r="J6" s="113">
        <v>3892.1060000000002</v>
      </c>
      <c r="K6" s="113">
        <v>4353.5380000000005</v>
      </c>
      <c r="L6" s="113">
        <v>4293.8420000000006</v>
      </c>
      <c r="M6" s="113">
        <v>4310.8969999999999</v>
      </c>
      <c r="N6" s="113">
        <v>4839.5839999999998</v>
      </c>
      <c r="O6" s="113">
        <v>4856.183</v>
      </c>
      <c r="P6" s="113">
        <v>4656.232</v>
      </c>
      <c r="Q6" s="113">
        <v>4640.0110000000004</v>
      </c>
      <c r="R6" s="113">
        <v>4720.8610000000008</v>
      </c>
      <c r="S6" s="113">
        <v>4832.8989999999994</v>
      </c>
      <c r="T6" s="113">
        <f t="shared" ref="T6:AS6" si="0">T7+T18+T29</f>
        <v>4728.7190000000001</v>
      </c>
      <c r="U6" s="113">
        <f t="shared" si="0"/>
        <v>4756.2469999999994</v>
      </c>
      <c r="V6" s="113">
        <f t="shared" si="0"/>
        <v>3852.1019999999999</v>
      </c>
      <c r="W6" s="113">
        <f t="shared" si="0"/>
        <v>3639.4279999999999</v>
      </c>
      <c r="X6" s="113">
        <f t="shared" si="0"/>
        <v>3836.3679999999995</v>
      </c>
      <c r="Y6" s="113">
        <f t="shared" si="0"/>
        <v>3780.3959999999997</v>
      </c>
      <c r="Z6" s="113">
        <f t="shared" si="0"/>
        <v>3753.7060000000001</v>
      </c>
      <c r="AA6" s="113">
        <f t="shared" si="0"/>
        <v>3588.4249999999993</v>
      </c>
      <c r="AB6" s="113">
        <f t="shared" si="0"/>
        <v>3518.8719999999998</v>
      </c>
      <c r="AC6" s="113">
        <f t="shared" si="0"/>
        <v>3860.3849999999993</v>
      </c>
      <c r="AD6" s="113">
        <f t="shared" si="0"/>
        <v>3614.64</v>
      </c>
      <c r="AE6" s="113">
        <f t="shared" si="0"/>
        <v>5311.6080000000002</v>
      </c>
      <c r="AF6" s="113">
        <f t="shared" si="0"/>
        <v>5239.0839999999998</v>
      </c>
      <c r="AG6" s="113">
        <f t="shared" si="0"/>
        <v>5146.6899999999996</v>
      </c>
      <c r="AH6" s="113">
        <f t="shared" si="0"/>
        <v>5046.5360000000001</v>
      </c>
      <c r="AI6" s="113">
        <f t="shared" si="0"/>
        <v>4924.9710000000005</v>
      </c>
      <c r="AJ6" s="113">
        <f t="shared" si="0"/>
        <v>4845.8620000000001</v>
      </c>
      <c r="AK6" s="113">
        <f t="shared" si="0"/>
        <v>5154.8260000000009</v>
      </c>
      <c r="AL6" s="113">
        <f t="shared" si="0"/>
        <v>5130.0630000000001</v>
      </c>
      <c r="AM6" s="113">
        <f t="shared" si="0"/>
        <v>4892.8850000000002</v>
      </c>
      <c r="AN6" s="113">
        <f t="shared" si="0"/>
        <v>4717.1069999999991</v>
      </c>
      <c r="AO6" s="113">
        <f t="shared" si="0"/>
        <v>4437.9489999999996</v>
      </c>
      <c r="AP6" s="113">
        <f t="shared" si="0"/>
        <v>4201.393</v>
      </c>
      <c r="AQ6" s="113">
        <f t="shared" si="0"/>
        <v>4075.0766100000001</v>
      </c>
      <c r="AR6" s="113">
        <f t="shared" si="0"/>
        <v>4054.5749999999998</v>
      </c>
      <c r="AS6" s="113">
        <f t="shared" si="0"/>
        <v>4010.509</v>
      </c>
      <c r="AT6" s="113">
        <v>4027.2219999999998</v>
      </c>
      <c r="AU6" s="113">
        <v>4004.4669999999996</v>
      </c>
      <c r="AV6" s="113">
        <v>4101.7489999999998</v>
      </c>
      <c r="AW6" s="113">
        <v>4529.3879999999999</v>
      </c>
      <c r="AX6" s="113">
        <v>3795.5910000000003</v>
      </c>
      <c r="AY6" s="113">
        <v>3148.1729999999998</v>
      </c>
      <c r="AZ6" s="113">
        <v>3168.4380000000001</v>
      </c>
      <c r="BA6" s="113">
        <f>BA7+BA18+BA29</f>
        <v>674.50400000000002</v>
      </c>
    </row>
    <row r="7" spans="1:53" ht="15" customHeight="1" x14ac:dyDescent="0.3">
      <c r="A7" t="s">
        <v>140</v>
      </c>
      <c r="B7" s="24" t="str">
        <f>IF('Sumário | Summary'!P1=1,"Total Circulante","Total Current Assets")</f>
        <v>Total Circulante</v>
      </c>
      <c r="C7" s="113">
        <v>860.10600000000011</v>
      </c>
      <c r="D7" s="113">
        <v>1073.8630000000001</v>
      </c>
      <c r="E7" s="113">
        <v>1169.279</v>
      </c>
      <c r="F7" s="113">
        <v>1212.748</v>
      </c>
      <c r="G7" s="113">
        <v>588.93000000000006</v>
      </c>
      <c r="H7" s="113">
        <v>725.96800000000007</v>
      </c>
      <c r="I7" s="113">
        <v>1134.4989999999998</v>
      </c>
      <c r="J7" s="113">
        <v>630.64699999999993</v>
      </c>
      <c r="K7" s="113">
        <v>949.72199999999998</v>
      </c>
      <c r="L7" s="113">
        <v>694.5680000000001</v>
      </c>
      <c r="M7" s="113">
        <v>608.70500000000004</v>
      </c>
      <c r="N7" s="113">
        <v>1009.151</v>
      </c>
      <c r="O7" s="113">
        <v>714.27499999999998</v>
      </c>
      <c r="P7" s="113">
        <v>599.70400000000006</v>
      </c>
      <c r="Q7" s="113">
        <v>433.41</v>
      </c>
      <c r="R7" s="113">
        <v>462.35299999999995</v>
      </c>
      <c r="S7" s="113">
        <v>578.63199999999995</v>
      </c>
      <c r="T7" s="113">
        <f t="shared" ref="T7:AS7" si="1">SUM(T8:T17)</f>
        <v>445.92600000000004</v>
      </c>
      <c r="U7" s="113">
        <f t="shared" si="1"/>
        <v>1391.934</v>
      </c>
      <c r="V7" s="113">
        <f t="shared" si="1"/>
        <v>648.32100000000014</v>
      </c>
      <c r="W7" s="113">
        <f t="shared" si="1"/>
        <v>461.74200000000002</v>
      </c>
      <c r="X7" s="113">
        <f t="shared" si="1"/>
        <v>661.62599999999998</v>
      </c>
      <c r="Y7" s="113">
        <f t="shared" si="1"/>
        <v>671.35</v>
      </c>
      <c r="Z7" s="113">
        <f t="shared" si="1"/>
        <v>685.00000000000011</v>
      </c>
      <c r="AA7" s="113">
        <f t="shared" si="1"/>
        <v>508.23799999999994</v>
      </c>
      <c r="AB7" s="113">
        <f t="shared" si="1"/>
        <v>424.27499999999998</v>
      </c>
      <c r="AC7" s="113">
        <f t="shared" si="1"/>
        <v>654.78800000000001</v>
      </c>
      <c r="AD7" s="113">
        <f t="shared" si="1"/>
        <v>410.18399999999997</v>
      </c>
      <c r="AE7" s="113">
        <f t="shared" si="1"/>
        <v>1004.566</v>
      </c>
      <c r="AF7" s="113">
        <f t="shared" si="1"/>
        <v>912.37300000000005</v>
      </c>
      <c r="AG7" s="113">
        <f t="shared" si="1"/>
        <v>823.92399999999998</v>
      </c>
      <c r="AH7" s="113">
        <f t="shared" si="1"/>
        <v>736.20400000000018</v>
      </c>
      <c r="AI7" s="113">
        <f t="shared" si="1"/>
        <v>534.279</v>
      </c>
      <c r="AJ7" s="113">
        <f t="shared" si="1"/>
        <v>466.31</v>
      </c>
      <c r="AK7" s="113">
        <f t="shared" si="1"/>
        <v>777.23200000000008</v>
      </c>
      <c r="AL7" s="113">
        <f t="shared" si="1"/>
        <v>1254.0800000000002</v>
      </c>
      <c r="AM7" s="113">
        <f t="shared" si="1"/>
        <v>920.08100000000002</v>
      </c>
      <c r="AN7" s="113">
        <f t="shared" si="1"/>
        <v>858.46499999999992</v>
      </c>
      <c r="AO7" s="113">
        <f t="shared" si="1"/>
        <v>950.67500000000007</v>
      </c>
      <c r="AP7" s="113">
        <f t="shared" si="1"/>
        <v>726.09299999999996</v>
      </c>
      <c r="AQ7" s="113">
        <f t="shared" si="1"/>
        <v>457.47661000000005</v>
      </c>
      <c r="AR7" s="113">
        <f t="shared" si="1"/>
        <v>441.57800000000003</v>
      </c>
      <c r="AS7" s="113">
        <f t="shared" si="1"/>
        <v>421.20000000000005</v>
      </c>
      <c r="AT7" s="113">
        <v>432.12899999999996</v>
      </c>
      <c r="AU7" s="113">
        <v>415.30700000000007</v>
      </c>
      <c r="AV7" s="113">
        <v>653.11400000000003</v>
      </c>
      <c r="AW7" s="113">
        <v>1849.0549999999998</v>
      </c>
      <c r="AX7" s="113">
        <v>1178.241</v>
      </c>
      <c r="AY7" s="113">
        <v>609.43499999999995</v>
      </c>
      <c r="AZ7" s="113">
        <v>1194.069</v>
      </c>
      <c r="BA7" s="113">
        <f>SUM(BA8:BA17)</f>
        <v>511.983</v>
      </c>
    </row>
    <row r="8" spans="1:53" ht="15" customHeight="1" x14ac:dyDescent="0.3">
      <c r="A8" t="s">
        <v>141</v>
      </c>
      <c r="B8" s="114" t="str">
        <f>IF('Sumário | Summary'!P1=1,"Caixa e equivalentes de caixa","Cash and Cash Equivalents")</f>
        <v>Caixa e equivalentes de caixa</v>
      </c>
      <c r="C8" s="115">
        <v>92.1</v>
      </c>
      <c r="D8" s="115">
        <v>220.5</v>
      </c>
      <c r="E8" s="115">
        <v>232.67500000000001</v>
      </c>
      <c r="F8" s="115">
        <v>186.39</v>
      </c>
      <c r="G8" s="115">
        <v>149.251</v>
      </c>
      <c r="H8" s="115">
        <v>344.03100000000001</v>
      </c>
      <c r="I8" s="115">
        <v>315.17899999999997</v>
      </c>
      <c r="J8" s="115">
        <v>263.25799999999998</v>
      </c>
      <c r="K8" s="115">
        <v>572.99</v>
      </c>
      <c r="L8" s="115">
        <v>391.36500000000001</v>
      </c>
      <c r="M8" s="115">
        <v>270.70400000000001</v>
      </c>
      <c r="N8" s="115">
        <v>655.952</v>
      </c>
      <c r="O8" s="116">
        <v>566.07299999999998</v>
      </c>
      <c r="P8" s="115">
        <v>478.8</v>
      </c>
      <c r="Q8" s="115">
        <v>291.06799999999998</v>
      </c>
      <c r="R8" s="115">
        <v>238.358</v>
      </c>
      <c r="S8" s="115">
        <v>348.57799999999997</v>
      </c>
      <c r="T8" s="115">
        <v>239.11699999999999</v>
      </c>
      <c r="U8" s="117">
        <v>243.65799999999999</v>
      </c>
      <c r="V8" s="117">
        <v>266.38200000000001</v>
      </c>
      <c r="W8" s="115">
        <v>170.32400000000001</v>
      </c>
      <c r="X8" s="115">
        <v>292.26799999999997</v>
      </c>
      <c r="Y8" s="115">
        <v>293.97000000000003</v>
      </c>
      <c r="Z8" s="115">
        <v>255.55</v>
      </c>
      <c r="AA8" s="115">
        <v>215.89599999999999</v>
      </c>
      <c r="AB8" s="115">
        <v>185.84399999999999</v>
      </c>
      <c r="AC8" s="115">
        <v>407.46100000000001</v>
      </c>
      <c r="AD8" s="115">
        <v>198.88</v>
      </c>
      <c r="AE8" s="115">
        <v>401.30099999999999</v>
      </c>
      <c r="AF8" s="115">
        <v>348.47300000000001</v>
      </c>
      <c r="AG8" s="115">
        <v>360.71800000000002</v>
      </c>
      <c r="AH8" s="115">
        <v>296.8</v>
      </c>
      <c r="AI8" s="115">
        <v>156.07599999999999</v>
      </c>
      <c r="AJ8" s="115">
        <v>150.18700000000001</v>
      </c>
      <c r="AK8" s="115">
        <v>381.49</v>
      </c>
      <c r="AL8" s="115">
        <v>338.69</v>
      </c>
      <c r="AM8" s="115">
        <v>447.02100000000002</v>
      </c>
      <c r="AN8" s="115">
        <v>276.30799999999999</v>
      </c>
      <c r="AO8" s="117">
        <v>259.697</v>
      </c>
      <c r="AP8" s="115">
        <v>144.91300000000001</v>
      </c>
      <c r="AQ8" s="115">
        <v>132.39500000000001</v>
      </c>
      <c r="AR8" s="115">
        <v>155.04499999999999</v>
      </c>
      <c r="AS8" s="115">
        <v>171.339</v>
      </c>
      <c r="AT8" s="115">
        <v>162.982</v>
      </c>
      <c r="AU8" s="115">
        <v>165.346</v>
      </c>
      <c r="AV8" s="115">
        <v>437.33300000000003</v>
      </c>
      <c r="AW8" s="115">
        <v>1212.5160000000001</v>
      </c>
      <c r="AX8" s="115">
        <v>542.452</v>
      </c>
      <c r="AY8" s="115">
        <v>268.58600000000001</v>
      </c>
      <c r="AZ8" s="115">
        <v>294.57100000000003</v>
      </c>
      <c r="BA8" s="115">
        <v>511.983</v>
      </c>
    </row>
    <row r="9" spans="1:53" ht="15" customHeight="1" x14ac:dyDescent="0.3">
      <c r="A9" t="s">
        <v>142</v>
      </c>
      <c r="B9" s="114" t="str">
        <f>IF('Sumário | Summary'!P1=1,"Títulos e valores mobiliários","Securities")</f>
        <v>Títulos e valores mobiliários</v>
      </c>
      <c r="C9" s="115">
        <v>227.47800000000001</v>
      </c>
      <c r="D9" s="115">
        <v>247.93899999999999</v>
      </c>
      <c r="E9" s="115">
        <v>102.185</v>
      </c>
      <c r="F9" s="115">
        <v>33.429000000000002</v>
      </c>
      <c r="G9" s="115">
        <v>115.152</v>
      </c>
      <c r="H9" s="115">
        <v>0</v>
      </c>
      <c r="I9" s="115">
        <v>0</v>
      </c>
      <c r="J9" s="115">
        <v>0</v>
      </c>
      <c r="K9" s="115">
        <v>0</v>
      </c>
      <c r="L9" s="116">
        <v>0</v>
      </c>
      <c r="M9" s="115">
        <v>0</v>
      </c>
      <c r="N9" s="116">
        <v>0</v>
      </c>
      <c r="O9" s="116">
        <v>0</v>
      </c>
      <c r="P9" s="115">
        <v>20.033999999999999</v>
      </c>
      <c r="Q9" s="115">
        <v>12.731999999999999</v>
      </c>
      <c r="R9" s="115">
        <v>71.852999999999994</v>
      </c>
      <c r="S9" s="115">
        <v>64.861999999999995</v>
      </c>
      <c r="T9" s="115">
        <v>54.366</v>
      </c>
      <c r="U9" s="117">
        <v>85.876000000000005</v>
      </c>
      <c r="V9" s="117">
        <v>181.26400000000001</v>
      </c>
      <c r="W9" s="115">
        <v>170.90799999999999</v>
      </c>
      <c r="X9" s="115">
        <v>216.279</v>
      </c>
      <c r="Y9" s="115">
        <v>248.613</v>
      </c>
      <c r="Z9" s="115">
        <v>238.386</v>
      </c>
      <c r="AA9" s="115">
        <v>166.68700000000001</v>
      </c>
      <c r="AB9" s="115">
        <v>150.69</v>
      </c>
      <c r="AC9" s="115">
        <v>161.19399999999999</v>
      </c>
      <c r="AD9" s="115">
        <v>130.99600000000001</v>
      </c>
      <c r="AE9" s="115">
        <v>497.90800000000002</v>
      </c>
      <c r="AF9" s="115">
        <v>479.95600000000002</v>
      </c>
      <c r="AG9" s="115">
        <v>358.79599999999999</v>
      </c>
      <c r="AH9" s="115">
        <v>322.24400000000003</v>
      </c>
      <c r="AI9" s="115">
        <v>260.14100000000002</v>
      </c>
      <c r="AJ9" s="115">
        <v>202.86699999999999</v>
      </c>
      <c r="AK9" s="115">
        <v>277.91000000000003</v>
      </c>
      <c r="AL9" s="115">
        <v>294.16300000000001</v>
      </c>
      <c r="AM9" s="115">
        <v>293.28699999999998</v>
      </c>
      <c r="AN9" s="115">
        <v>300.83600000000001</v>
      </c>
      <c r="AO9" s="117">
        <v>393.73399999999998</v>
      </c>
      <c r="AP9" s="115">
        <v>287.19400000000002</v>
      </c>
      <c r="AQ9" s="115">
        <v>196.81100000000001</v>
      </c>
      <c r="AR9" s="115">
        <v>196.19900000000001</v>
      </c>
      <c r="AS9" s="115">
        <v>141.15100000000001</v>
      </c>
      <c r="AT9" s="115">
        <v>168.202</v>
      </c>
      <c r="AU9" s="115">
        <v>148.119</v>
      </c>
      <c r="AV9" s="115">
        <v>143.15600000000001</v>
      </c>
      <c r="AW9" s="115">
        <v>155.589</v>
      </c>
      <c r="AX9" s="115">
        <v>138.08099999999999</v>
      </c>
      <c r="AY9" s="115">
        <v>139.15100000000001</v>
      </c>
      <c r="AZ9" s="115">
        <v>143.89400000000001</v>
      </c>
      <c r="BA9" s="115">
        <v>0</v>
      </c>
    </row>
    <row r="10" spans="1:53" ht="15" customHeight="1" x14ac:dyDescent="0.3">
      <c r="A10" t="s">
        <v>143</v>
      </c>
      <c r="B10" s="114" t="str">
        <f>IF('Sumário | Summary'!P1=1,"Contas a receber","Accounts Receivable")</f>
        <v>Contas a receber</v>
      </c>
      <c r="C10" s="115">
        <v>51.305999999999997</v>
      </c>
      <c r="D10" s="115">
        <v>41.264000000000003</v>
      </c>
      <c r="E10" s="115">
        <v>52.936</v>
      </c>
      <c r="F10" s="115">
        <v>71.765000000000001</v>
      </c>
      <c r="G10" s="115">
        <v>75.671000000000006</v>
      </c>
      <c r="H10" s="115">
        <v>86.73</v>
      </c>
      <c r="I10" s="115">
        <v>87.317999999999998</v>
      </c>
      <c r="J10" s="115">
        <v>83.674000000000007</v>
      </c>
      <c r="K10" s="115">
        <v>80.021000000000001</v>
      </c>
      <c r="L10" s="115">
        <v>64.180000000000007</v>
      </c>
      <c r="M10" s="115">
        <v>85.772999999999996</v>
      </c>
      <c r="N10" s="115">
        <v>85.2</v>
      </c>
      <c r="O10" s="116">
        <v>99.891000000000005</v>
      </c>
      <c r="P10" s="115">
        <v>87.201999999999998</v>
      </c>
      <c r="Q10" s="115">
        <v>91.465000000000003</v>
      </c>
      <c r="R10" s="115">
        <v>123.871</v>
      </c>
      <c r="S10" s="115">
        <v>97.316000000000003</v>
      </c>
      <c r="T10" s="115">
        <v>87.760999999999996</v>
      </c>
      <c r="U10" s="117">
        <v>94.111000000000004</v>
      </c>
      <c r="V10" s="117">
        <v>92.766000000000005</v>
      </c>
      <c r="W10" s="115">
        <v>100.65300000000001</v>
      </c>
      <c r="X10" s="115">
        <v>91.894000000000005</v>
      </c>
      <c r="Y10" s="115">
        <v>109.48399999999999</v>
      </c>
      <c r="Z10" s="115">
        <v>111.873</v>
      </c>
      <c r="AA10" s="115">
        <v>80.793999999999997</v>
      </c>
      <c r="AB10" s="115">
        <v>46.735999999999997</v>
      </c>
      <c r="AC10" s="115">
        <v>50.293999999999997</v>
      </c>
      <c r="AD10" s="115">
        <v>50.073</v>
      </c>
      <c r="AE10" s="115">
        <v>75.19</v>
      </c>
      <c r="AF10" s="115">
        <v>55.066000000000003</v>
      </c>
      <c r="AG10" s="115">
        <v>74.805999999999997</v>
      </c>
      <c r="AH10" s="115">
        <v>81.950999999999993</v>
      </c>
      <c r="AI10" s="115">
        <v>88.302000000000007</v>
      </c>
      <c r="AJ10" s="115">
        <v>81.302000000000007</v>
      </c>
      <c r="AK10" s="115">
        <v>90.347999999999999</v>
      </c>
      <c r="AL10" s="115">
        <v>95.331000000000003</v>
      </c>
      <c r="AM10" s="115">
        <v>89.477000000000004</v>
      </c>
      <c r="AN10" s="115">
        <v>82.968000000000004</v>
      </c>
      <c r="AO10" s="117">
        <v>79.271000000000001</v>
      </c>
      <c r="AP10" s="115">
        <v>80.11</v>
      </c>
      <c r="AQ10" s="115">
        <v>72.593609999999998</v>
      </c>
      <c r="AR10" s="115">
        <v>57.201999999999998</v>
      </c>
      <c r="AS10" s="115">
        <v>60.668999999999997</v>
      </c>
      <c r="AT10" s="115">
        <v>62.088999999999999</v>
      </c>
      <c r="AU10" s="115">
        <v>67.680999999999997</v>
      </c>
      <c r="AV10" s="115">
        <v>39.546999999999997</v>
      </c>
      <c r="AW10" s="115">
        <v>189.09</v>
      </c>
      <c r="AX10" s="115">
        <v>197.482</v>
      </c>
      <c r="AY10" s="115">
        <v>59.447000000000003</v>
      </c>
      <c r="AZ10" s="115">
        <v>616.80899999999997</v>
      </c>
      <c r="BA10" s="115">
        <v>0</v>
      </c>
    </row>
    <row r="11" spans="1:53" ht="15" customHeight="1" x14ac:dyDescent="0.3">
      <c r="A11" t="s">
        <v>144</v>
      </c>
      <c r="B11" s="114" t="str">
        <f>IF('Sumário | Summary'!P1=1,"Estoques","Inventory")</f>
        <v>Estoques</v>
      </c>
      <c r="C11" s="115">
        <v>456.53800000000001</v>
      </c>
      <c r="D11" s="115">
        <v>546.11099999999999</v>
      </c>
      <c r="E11" s="115">
        <v>763.25300000000004</v>
      </c>
      <c r="F11" s="115">
        <v>902.13900000000001</v>
      </c>
      <c r="G11" s="115">
        <v>208.518</v>
      </c>
      <c r="H11" s="115">
        <v>230.804</v>
      </c>
      <c r="I11" s="115">
        <v>701.02599999999995</v>
      </c>
      <c r="J11" s="115">
        <v>249.56299999999999</v>
      </c>
      <c r="K11" s="115">
        <v>261.54000000000002</v>
      </c>
      <c r="L11" s="115">
        <v>191.833</v>
      </c>
      <c r="M11" s="115">
        <v>199.96</v>
      </c>
      <c r="N11" s="115">
        <v>204.3</v>
      </c>
      <c r="O11" s="116">
        <v>25.54</v>
      </c>
      <c r="P11" s="115">
        <v>2.9000000000000001E-2</v>
      </c>
      <c r="Q11" s="115">
        <v>22.047999999999998</v>
      </c>
      <c r="R11" s="115">
        <v>14.093999999999999</v>
      </c>
      <c r="S11" s="115">
        <v>5.6529999999999996</v>
      </c>
      <c r="T11" s="115">
        <v>5.6459999999999999</v>
      </c>
      <c r="U11" s="117">
        <v>22.87</v>
      </c>
      <c r="V11" s="117">
        <v>4.2389999999999999</v>
      </c>
      <c r="W11" s="115">
        <v>4.4279999999999999</v>
      </c>
      <c r="X11" s="115">
        <v>45.445</v>
      </c>
      <c r="Y11" s="115">
        <v>4.4279999999999999</v>
      </c>
      <c r="Z11" s="115">
        <v>0.94399999999999995</v>
      </c>
      <c r="AA11" s="115">
        <v>0.94399999999999995</v>
      </c>
      <c r="AB11" s="115">
        <v>0.94399999999999995</v>
      </c>
      <c r="AC11" s="115">
        <v>0.94399999999999995</v>
      </c>
      <c r="AD11" s="115">
        <v>0.94399999999999995</v>
      </c>
      <c r="AE11" s="115">
        <v>0.94399999999999995</v>
      </c>
      <c r="AF11" s="115">
        <v>0.94399999999999995</v>
      </c>
      <c r="AG11" s="115">
        <v>0.94399999999999995</v>
      </c>
      <c r="AH11" s="115">
        <v>0.94399999999999995</v>
      </c>
      <c r="AI11" s="115">
        <v>0.94399999999999995</v>
      </c>
      <c r="AJ11" s="115">
        <v>0.94399999999999995</v>
      </c>
      <c r="AK11" s="115">
        <v>0.94399999999999995</v>
      </c>
      <c r="AL11" s="115">
        <v>0.94399999999999995</v>
      </c>
      <c r="AM11" s="115">
        <v>1.0660000000000001</v>
      </c>
      <c r="AN11" s="115">
        <v>151.32499999999999</v>
      </c>
      <c r="AO11" s="117">
        <v>1.0660000000000001</v>
      </c>
      <c r="AP11" s="115">
        <v>1.0660000000000001</v>
      </c>
      <c r="AQ11" s="115">
        <v>1.0660000000000001</v>
      </c>
      <c r="AR11" s="115">
        <v>1.0660000000000001</v>
      </c>
      <c r="AS11" s="115">
        <v>0.46300000000000002</v>
      </c>
      <c r="AT11" s="115">
        <v>0.46300000000000002</v>
      </c>
      <c r="AU11" s="115">
        <v>0.46300000000000002</v>
      </c>
      <c r="AV11" s="115">
        <v>0.46300000000000002</v>
      </c>
      <c r="AW11" s="115">
        <v>0.46300000000000002</v>
      </c>
      <c r="AX11" s="115">
        <v>0.46300000000000002</v>
      </c>
      <c r="AY11" s="115">
        <v>0.46300000000000002</v>
      </c>
      <c r="AZ11" s="115">
        <v>0.46300000000000002</v>
      </c>
      <c r="BA11" s="115">
        <v>0</v>
      </c>
    </row>
    <row r="12" spans="1:53" ht="15" customHeight="1" x14ac:dyDescent="0.3">
      <c r="A12" t="s">
        <v>145</v>
      </c>
      <c r="B12" s="114" t="str">
        <f>IF('Sumário | Summary'!P1=1,"Impostos a compensar","Tax to be Compensated")</f>
        <v>Impostos a compensar</v>
      </c>
      <c r="C12" s="115">
        <v>3.427</v>
      </c>
      <c r="D12" s="115">
        <v>3.63</v>
      </c>
      <c r="E12" s="115">
        <v>2.9140000000000001</v>
      </c>
      <c r="F12" s="115">
        <v>3.8730000000000002</v>
      </c>
      <c r="G12" s="115">
        <v>4.3650000000000002</v>
      </c>
      <c r="H12" s="115">
        <v>3.202</v>
      </c>
      <c r="I12" s="115">
        <v>2.7829999999999999</v>
      </c>
      <c r="J12" s="115">
        <v>3.4140000000000001</v>
      </c>
      <c r="K12" s="115">
        <v>3.6720000000000002</v>
      </c>
      <c r="L12" s="115">
        <v>3.6720000000000002</v>
      </c>
      <c r="M12" s="115">
        <v>3.6230000000000002</v>
      </c>
      <c r="N12" s="115">
        <v>3.6</v>
      </c>
      <c r="O12" s="116">
        <v>5.2720000000000002</v>
      </c>
      <c r="P12" s="116">
        <v>0</v>
      </c>
      <c r="Q12" s="116">
        <v>0</v>
      </c>
      <c r="R12" s="116">
        <v>0</v>
      </c>
      <c r="S12" s="116">
        <v>44.155999999999999</v>
      </c>
      <c r="T12" s="116">
        <v>44.155999999999999</v>
      </c>
      <c r="U12" s="118">
        <v>44.155999999999999</v>
      </c>
      <c r="V12" s="118">
        <v>91.655000000000001</v>
      </c>
      <c r="W12" s="116">
        <v>4.8220000000000001</v>
      </c>
      <c r="X12" s="116">
        <v>5.5069999999999997</v>
      </c>
      <c r="Y12" s="116">
        <v>4.9390000000000001</v>
      </c>
      <c r="Z12" s="115">
        <v>6.3780000000000001</v>
      </c>
      <c r="AA12" s="115">
        <v>6.7830000000000004</v>
      </c>
      <c r="AB12" s="115">
        <v>7.8710000000000004</v>
      </c>
      <c r="AC12" s="115">
        <v>10.11</v>
      </c>
      <c r="AD12" s="115">
        <v>11.358000000000001</v>
      </c>
      <c r="AE12" s="115">
        <v>13.131</v>
      </c>
      <c r="AF12" s="115">
        <v>13.742000000000001</v>
      </c>
      <c r="AG12" s="115">
        <v>16.38</v>
      </c>
      <c r="AH12" s="115">
        <v>10.420999999999999</v>
      </c>
      <c r="AI12" s="115">
        <v>8.5370000000000008</v>
      </c>
      <c r="AJ12" s="115">
        <v>7.6559999999999997</v>
      </c>
      <c r="AK12" s="115">
        <v>9.2479999999999993</v>
      </c>
      <c r="AL12" s="115">
        <v>7.9459999999999997</v>
      </c>
      <c r="AM12" s="115">
        <v>9.7650000000000006</v>
      </c>
      <c r="AN12" s="115">
        <v>9.7650000000000006</v>
      </c>
      <c r="AO12" s="117">
        <v>19.263000000000002</v>
      </c>
      <c r="AP12" s="115">
        <v>20.212</v>
      </c>
      <c r="AQ12" s="115">
        <v>14.308</v>
      </c>
      <c r="AR12" s="115">
        <v>14.308</v>
      </c>
      <c r="AS12" s="115">
        <v>13.625</v>
      </c>
      <c r="AT12" s="115">
        <v>12.705</v>
      </c>
      <c r="AU12" s="115">
        <v>8.66</v>
      </c>
      <c r="AV12" s="115">
        <v>12.15</v>
      </c>
      <c r="AW12" s="115">
        <v>14.917999999999999</v>
      </c>
      <c r="AX12" s="115">
        <v>14.917999999999999</v>
      </c>
      <c r="AY12" s="115">
        <v>18.78</v>
      </c>
      <c r="AZ12" s="115">
        <v>16.57</v>
      </c>
      <c r="BA12" s="115">
        <v>0</v>
      </c>
    </row>
    <row r="13" spans="1:53" ht="15" customHeight="1" x14ac:dyDescent="0.3">
      <c r="A13" t="s">
        <v>146</v>
      </c>
      <c r="B13" s="114" t="str">
        <f>IF('Sumário | Summary'!P1=1,"Adiantamento a fornecedores","Advancements from Suppliers")</f>
        <v>Adiantamento a fornecedores</v>
      </c>
      <c r="C13" s="115">
        <v>9.734</v>
      </c>
      <c r="D13" s="115">
        <v>13.115</v>
      </c>
      <c r="E13" s="115">
        <v>14.212</v>
      </c>
      <c r="F13" s="115">
        <v>14.426</v>
      </c>
      <c r="G13" s="115">
        <v>17.748999999999999</v>
      </c>
      <c r="H13" s="115">
        <v>12.71</v>
      </c>
      <c r="I13" s="115">
        <v>11.372999999999999</v>
      </c>
      <c r="J13" s="115">
        <v>7.3620000000000001</v>
      </c>
      <c r="K13" s="115">
        <v>6.2220000000000004</v>
      </c>
      <c r="L13" s="115">
        <v>6.1929999999999996</v>
      </c>
      <c r="M13" s="115">
        <v>6.6150000000000002</v>
      </c>
      <c r="N13" s="115">
        <v>6.6989999999999998</v>
      </c>
      <c r="O13" s="116">
        <v>7.1520000000000001</v>
      </c>
      <c r="P13" s="115">
        <v>7.6050000000000004</v>
      </c>
      <c r="Q13" s="115">
        <v>8.0579999999999998</v>
      </c>
      <c r="R13" s="115">
        <v>8.3610000000000007</v>
      </c>
      <c r="S13" s="115">
        <v>8.5120000000000005</v>
      </c>
      <c r="T13" s="115">
        <v>4.8070000000000004</v>
      </c>
      <c r="U13" s="117">
        <v>4.7969999999999997</v>
      </c>
      <c r="V13" s="117">
        <v>4.984</v>
      </c>
      <c r="W13" s="115">
        <v>2.0449999999999999</v>
      </c>
      <c r="X13" s="115">
        <v>2.0640000000000001</v>
      </c>
      <c r="Y13" s="115">
        <v>2.0640000000000001</v>
      </c>
      <c r="Z13" s="115">
        <v>1.988</v>
      </c>
      <c r="AA13" s="115">
        <v>1.988</v>
      </c>
      <c r="AB13" s="115">
        <v>1.988</v>
      </c>
      <c r="AC13" s="115">
        <v>1.988</v>
      </c>
      <c r="AD13" s="115">
        <v>1.988</v>
      </c>
      <c r="AE13" s="115">
        <v>1.988</v>
      </c>
      <c r="AF13" s="115">
        <v>1.988</v>
      </c>
      <c r="AG13" s="115">
        <v>1.988</v>
      </c>
      <c r="AH13" s="115">
        <v>1.988</v>
      </c>
      <c r="AI13" s="115">
        <v>1.988</v>
      </c>
      <c r="AJ13" s="115">
        <v>1.988</v>
      </c>
      <c r="AK13" s="115">
        <v>1.988</v>
      </c>
      <c r="AL13" s="115">
        <v>1.988</v>
      </c>
      <c r="AM13" s="115">
        <v>14.863</v>
      </c>
      <c r="AN13" s="115">
        <v>2.077</v>
      </c>
      <c r="AO13" s="117">
        <v>1.988</v>
      </c>
      <c r="AP13" s="115">
        <v>2.2320000000000002</v>
      </c>
      <c r="AQ13" s="115">
        <v>3.153</v>
      </c>
      <c r="AR13" s="115">
        <v>2.11</v>
      </c>
      <c r="AS13" s="115">
        <v>2.5859999999999999</v>
      </c>
      <c r="AT13" s="115">
        <v>0.56799999999999995</v>
      </c>
      <c r="AU13" s="115">
        <v>0.438</v>
      </c>
      <c r="AV13" s="115">
        <v>0.20100000000000001</v>
      </c>
      <c r="AW13" s="115">
        <v>6.0000000000000001E-3</v>
      </c>
      <c r="AX13" s="115">
        <v>5.0000000000000001E-3</v>
      </c>
      <c r="AY13" s="115">
        <v>0.08</v>
      </c>
      <c r="AZ13" s="115">
        <v>5.0000000000000001E-3</v>
      </c>
      <c r="BA13" s="115">
        <v>0</v>
      </c>
    </row>
    <row r="14" spans="1:53" ht="15" customHeight="1" x14ac:dyDescent="0.3">
      <c r="A14" t="s">
        <v>147</v>
      </c>
      <c r="B14" s="114" t="str">
        <f>IF('Sumário | Summary'!P1=1,"Dividendos a receber","Dividends receivable")</f>
        <v>Dividendos a receber</v>
      </c>
      <c r="C14" s="115">
        <v>0</v>
      </c>
      <c r="D14" s="115">
        <v>0</v>
      </c>
      <c r="E14" s="115">
        <v>0</v>
      </c>
      <c r="F14" s="115">
        <v>0</v>
      </c>
      <c r="G14" s="115">
        <v>0</v>
      </c>
      <c r="H14" s="115">
        <v>0</v>
      </c>
      <c r="I14" s="115">
        <v>0</v>
      </c>
      <c r="J14" s="115">
        <v>0</v>
      </c>
      <c r="K14" s="115">
        <v>0</v>
      </c>
      <c r="L14" s="116">
        <v>0</v>
      </c>
      <c r="M14" s="115">
        <v>0</v>
      </c>
      <c r="N14" s="116">
        <v>2.8</v>
      </c>
      <c r="O14" s="116">
        <v>0</v>
      </c>
      <c r="P14" s="115">
        <v>0</v>
      </c>
      <c r="Q14" s="116">
        <v>0.189</v>
      </c>
      <c r="R14" s="116">
        <v>0.183</v>
      </c>
      <c r="S14" s="116">
        <v>7.9000000000000001E-2</v>
      </c>
      <c r="T14" s="116">
        <v>0</v>
      </c>
      <c r="U14" s="118">
        <v>3.9E-2</v>
      </c>
      <c r="V14" s="118">
        <v>0.153</v>
      </c>
      <c r="W14" s="116">
        <v>0.1</v>
      </c>
      <c r="X14" s="116">
        <v>0</v>
      </c>
      <c r="Y14" s="116">
        <v>2E-3</v>
      </c>
      <c r="Z14" s="115">
        <v>2E-3</v>
      </c>
      <c r="AA14" s="115">
        <v>0.251</v>
      </c>
      <c r="AB14" s="115">
        <v>2E-3</v>
      </c>
      <c r="AC14" s="115">
        <v>7.8E-2</v>
      </c>
      <c r="AD14" s="115">
        <v>1E-3</v>
      </c>
      <c r="AE14" s="115">
        <v>2E-3</v>
      </c>
      <c r="AF14" s="115">
        <v>2E-3</v>
      </c>
      <c r="AG14" s="115">
        <v>8.4000000000000005E-2</v>
      </c>
      <c r="AH14" s="115">
        <v>1.8560000000000001</v>
      </c>
      <c r="AI14" s="115">
        <v>3.5059999999999998</v>
      </c>
      <c r="AJ14" s="115">
        <v>2E-3</v>
      </c>
      <c r="AK14" s="115">
        <v>6.9000000000000006E-2</v>
      </c>
      <c r="AL14" s="115">
        <v>2E-3</v>
      </c>
      <c r="AM14" s="115">
        <v>2E-3</v>
      </c>
      <c r="AN14" s="115">
        <v>5.58</v>
      </c>
      <c r="AO14" s="117">
        <v>2E-3</v>
      </c>
      <c r="AP14" s="115">
        <v>2E-3</v>
      </c>
      <c r="AQ14" s="115">
        <v>2E-3</v>
      </c>
      <c r="AR14" s="115">
        <v>2E-3</v>
      </c>
      <c r="AS14" s="115">
        <v>0</v>
      </c>
      <c r="AT14" s="115">
        <v>0.27</v>
      </c>
      <c r="AU14" s="115">
        <v>0</v>
      </c>
      <c r="AV14" s="115">
        <v>0</v>
      </c>
      <c r="AW14" s="115">
        <v>0</v>
      </c>
      <c r="AX14" s="115">
        <v>0</v>
      </c>
      <c r="AY14" s="115">
        <v>0</v>
      </c>
      <c r="AZ14" s="115">
        <v>0</v>
      </c>
      <c r="BA14" s="115">
        <v>0</v>
      </c>
    </row>
    <row r="15" spans="1:53" ht="15" customHeight="1" x14ac:dyDescent="0.3">
      <c r="A15" t="s">
        <v>148</v>
      </c>
      <c r="B15" s="114" t="str">
        <f>IF('Sumário | Summary'!P1=1,"Ativo circulante mantido para venda",
"Current assets held for sale")</f>
        <v>Ativo circulante mantido para venda</v>
      </c>
      <c r="C15" s="116">
        <v>0</v>
      </c>
      <c r="D15" s="116">
        <v>0</v>
      </c>
      <c r="E15" s="116">
        <v>0</v>
      </c>
      <c r="F15" s="116">
        <v>0</v>
      </c>
      <c r="G15" s="116">
        <v>0</v>
      </c>
      <c r="H15" s="116">
        <v>0</v>
      </c>
      <c r="I15" s="116">
        <v>0</v>
      </c>
      <c r="J15" s="116">
        <v>0</v>
      </c>
      <c r="K15" s="116">
        <v>0</v>
      </c>
      <c r="L15" s="116">
        <v>0</v>
      </c>
      <c r="M15" s="116">
        <v>0</v>
      </c>
      <c r="N15" s="116">
        <v>0</v>
      </c>
      <c r="O15" s="116">
        <v>0</v>
      </c>
      <c r="P15" s="116">
        <v>0</v>
      </c>
      <c r="Q15" s="116">
        <v>0</v>
      </c>
      <c r="R15" s="116">
        <v>0</v>
      </c>
      <c r="S15" s="116">
        <v>0</v>
      </c>
      <c r="T15" s="116">
        <v>0</v>
      </c>
      <c r="U15" s="116">
        <v>885.47799999999995</v>
      </c>
      <c r="V15" s="116">
        <v>0</v>
      </c>
      <c r="W15" s="116">
        <v>0</v>
      </c>
      <c r="X15" s="116">
        <v>0</v>
      </c>
      <c r="Y15" s="116">
        <v>0</v>
      </c>
      <c r="Z15" s="116">
        <v>0</v>
      </c>
      <c r="AA15" s="116">
        <v>0</v>
      </c>
      <c r="AB15" s="115">
        <v>0</v>
      </c>
      <c r="AC15" s="115">
        <v>0</v>
      </c>
      <c r="AD15" s="115">
        <v>0</v>
      </c>
      <c r="AE15" s="115">
        <v>0</v>
      </c>
      <c r="AF15" s="115">
        <v>0</v>
      </c>
      <c r="AG15" s="115">
        <v>0</v>
      </c>
      <c r="AH15" s="115">
        <v>0</v>
      </c>
      <c r="AI15" s="115">
        <v>0</v>
      </c>
      <c r="AJ15" s="115">
        <v>0</v>
      </c>
      <c r="AK15" s="115">
        <v>0</v>
      </c>
      <c r="AL15" s="115">
        <v>495.35300000000001</v>
      </c>
      <c r="AM15" s="115">
        <v>0</v>
      </c>
      <c r="AN15" s="115">
        <v>0</v>
      </c>
      <c r="AO15" s="117">
        <v>151.23400000000001</v>
      </c>
      <c r="AP15" s="115">
        <v>153.714</v>
      </c>
      <c r="AQ15" s="115">
        <v>0</v>
      </c>
      <c r="AR15" s="115">
        <v>0</v>
      </c>
      <c r="AS15" s="115">
        <v>0</v>
      </c>
      <c r="AT15" s="115">
        <v>0</v>
      </c>
      <c r="AU15" s="115">
        <v>0</v>
      </c>
      <c r="AV15" s="115">
        <v>0</v>
      </c>
      <c r="AW15" s="115">
        <v>0</v>
      </c>
      <c r="AX15" s="115">
        <v>0</v>
      </c>
      <c r="AY15" s="115">
        <v>3.6669999999999998</v>
      </c>
      <c r="AZ15" s="115">
        <v>2.0790000000000002</v>
      </c>
      <c r="BA15" s="115">
        <v>0</v>
      </c>
    </row>
    <row r="16" spans="1:53" ht="15" customHeight="1" x14ac:dyDescent="0.3">
      <c r="A16" t="s">
        <v>149</v>
      </c>
      <c r="B16" s="114" t="s">
        <v>150</v>
      </c>
      <c r="C16" s="116"/>
      <c r="D16" s="116"/>
      <c r="E16" s="116"/>
      <c r="F16" s="116"/>
      <c r="G16" s="116"/>
      <c r="H16" s="116"/>
      <c r="I16" s="116"/>
      <c r="J16" s="116"/>
      <c r="K16" s="116"/>
      <c r="L16" s="116"/>
      <c r="M16" s="116"/>
      <c r="N16" s="116"/>
      <c r="O16" s="116"/>
      <c r="P16" s="116"/>
      <c r="Q16" s="116"/>
      <c r="R16" s="116"/>
      <c r="S16" s="116"/>
      <c r="T16" s="116">
        <v>0</v>
      </c>
      <c r="U16" s="116">
        <v>0</v>
      </c>
      <c r="V16" s="116">
        <v>0</v>
      </c>
      <c r="W16" s="116">
        <v>0</v>
      </c>
      <c r="X16" s="116">
        <v>0</v>
      </c>
      <c r="Y16" s="116">
        <v>0</v>
      </c>
      <c r="Z16" s="116">
        <v>0</v>
      </c>
      <c r="AA16" s="116">
        <v>0</v>
      </c>
      <c r="AB16" s="116">
        <v>0</v>
      </c>
      <c r="AC16" s="116">
        <v>0</v>
      </c>
      <c r="AD16" s="116">
        <v>0</v>
      </c>
      <c r="AE16" s="116">
        <v>0</v>
      </c>
      <c r="AF16" s="116">
        <v>0</v>
      </c>
      <c r="AG16" s="116">
        <v>0</v>
      </c>
      <c r="AH16" s="116">
        <v>0</v>
      </c>
      <c r="AI16" s="116">
        <v>0</v>
      </c>
      <c r="AJ16" s="116">
        <v>0</v>
      </c>
      <c r="AK16" s="116">
        <v>0</v>
      </c>
      <c r="AL16" s="116">
        <v>0</v>
      </c>
      <c r="AM16" s="116">
        <v>0</v>
      </c>
      <c r="AN16" s="116">
        <v>0</v>
      </c>
      <c r="AO16" s="118">
        <v>0</v>
      </c>
      <c r="AP16" s="115">
        <v>0</v>
      </c>
      <c r="AQ16" s="115">
        <v>0</v>
      </c>
      <c r="AR16" s="115">
        <v>0</v>
      </c>
      <c r="AS16" s="115">
        <v>0</v>
      </c>
      <c r="AT16" s="115">
        <v>0</v>
      </c>
      <c r="AU16" s="115">
        <v>0</v>
      </c>
      <c r="AV16" s="115">
        <v>0</v>
      </c>
      <c r="AW16" s="115">
        <v>0</v>
      </c>
      <c r="AX16" s="115">
        <v>0</v>
      </c>
      <c r="AY16" s="115">
        <v>0</v>
      </c>
      <c r="AZ16" s="115">
        <v>0</v>
      </c>
      <c r="BA16" s="115">
        <v>0</v>
      </c>
    </row>
    <row r="17" spans="1:53" ht="15" customHeight="1" x14ac:dyDescent="0.3">
      <c r="A17" t="s">
        <v>151</v>
      </c>
      <c r="B17" s="114" t="str">
        <f>IF('Sumário | Summary'!P1=1,"Demais contas a receber","Other receivables")</f>
        <v>Demais contas a receber</v>
      </c>
      <c r="C17" s="115">
        <v>19.523</v>
      </c>
      <c r="D17" s="115">
        <v>1.304</v>
      </c>
      <c r="E17" s="115">
        <v>1.1040000000000001</v>
      </c>
      <c r="F17" s="115">
        <v>0.72599999999999998</v>
      </c>
      <c r="G17" s="115">
        <v>18.224</v>
      </c>
      <c r="H17" s="115">
        <v>48.491</v>
      </c>
      <c r="I17" s="115">
        <v>16.82</v>
      </c>
      <c r="J17" s="115">
        <v>23.376000000000001</v>
      </c>
      <c r="K17" s="115">
        <v>25.277000000000001</v>
      </c>
      <c r="L17" s="115">
        <v>37.325000000000003</v>
      </c>
      <c r="M17" s="115">
        <v>42.03</v>
      </c>
      <c r="N17" s="115">
        <v>50.6</v>
      </c>
      <c r="O17" s="116">
        <v>10.347</v>
      </c>
      <c r="P17" s="115">
        <v>6.0339999999999998</v>
      </c>
      <c r="Q17" s="115">
        <v>7.85</v>
      </c>
      <c r="R17" s="115">
        <v>5.633</v>
      </c>
      <c r="S17" s="115">
        <v>9.4760000000000009</v>
      </c>
      <c r="T17" s="115">
        <v>10.073</v>
      </c>
      <c r="U17" s="117">
        <v>10.949</v>
      </c>
      <c r="V17" s="117">
        <v>6.8780000000000001</v>
      </c>
      <c r="W17" s="115">
        <v>8.4619999999999997</v>
      </c>
      <c r="X17" s="115">
        <v>8.1690000000000005</v>
      </c>
      <c r="Y17" s="115">
        <v>7.85</v>
      </c>
      <c r="Z17" s="115">
        <v>69.879000000000005</v>
      </c>
      <c r="AA17" s="115">
        <v>34.895000000000003</v>
      </c>
      <c r="AB17" s="115">
        <v>30.2</v>
      </c>
      <c r="AC17" s="115">
        <v>22.719000000000001</v>
      </c>
      <c r="AD17" s="115">
        <v>15.944000000000001</v>
      </c>
      <c r="AE17" s="115">
        <v>14.102</v>
      </c>
      <c r="AF17" s="115">
        <v>12.202</v>
      </c>
      <c r="AG17" s="115">
        <v>10.208</v>
      </c>
      <c r="AH17" s="115">
        <v>20</v>
      </c>
      <c r="AI17" s="115">
        <v>14.785</v>
      </c>
      <c r="AJ17" s="115">
        <v>21.364000000000001</v>
      </c>
      <c r="AK17" s="115">
        <v>15.234999999999999</v>
      </c>
      <c r="AL17" s="115">
        <v>19.663</v>
      </c>
      <c r="AM17" s="115">
        <v>64.599999999999994</v>
      </c>
      <c r="AN17" s="115">
        <v>29.606000000000002</v>
      </c>
      <c r="AO17" s="117">
        <v>44.42</v>
      </c>
      <c r="AP17" s="115">
        <v>36.65</v>
      </c>
      <c r="AQ17" s="115">
        <v>37.148000000000003</v>
      </c>
      <c r="AR17" s="115">
        <v>15.646000000000001</v>
      </c>
      <c r="AS17" s="115">
        <v>31.367000000000001</v>
      </c>
      <c r="AT17" s="115">
        <v>24.85</v>
      </c>
      <c r="AU17" s="115">
        <v>24.6</v>
      </c>
      <c r="AV17" s="115">
        <v>20.263999999999999</v>
      </c>
      <c r="AW17" s="115">
        <v>276.47300000000001</v>
      </c>
      <c r="AX17" s="115">
        <v>284.83999999999997</v>
      </c>
      <c r="AY17" s="115">
        <v>119.261</v>
      </c>
      <c r="AZ17" s="115">
        <v>119.678</v>
      </c>
      <c r="BA17" s="115">
        <v>0</v>
      </c>
    </row>
    <row r="18" spans="1:53" ht="15" customHeight="1" x14ac:dyDescent="0.3">
      <c r="A18" t="s">
        <v>152</v>
      </c>
      <c r="B18" s="24" t="str">
        <f>IF('Sumário | Summary'!P1=1,"Realizável a longo prazo","Long term")</f>
        <v>Realizável a longo prazo</v>
      </c>
      <c r="C18" s="113">
        <v>166.83</v>
      </c>
      <c r="D18" s="113">
        <v>182.04400000000001</v>
      </c>
      <c r="E18" s="113">
        <v>174.1</v>
      </c>
      <c r="F18" s="113">
        <v>376.36500000000001</v>
      </c>
      <c r="G18" s="113">
        <v>1304.9929999999999</v>
      </c>
      <c r="H18" s="113">
        <v>546.5</v>
      </c>
      <c r="I18" s="113">
        <v>1294.7149999999999</v>
      </c>
      <c r="J18" s="113">
        <v>1878.7979999999995</v>
      </c>
      <c r="K18" s="113">
        <v>2011.1589999999999</v>
      </c>
      <c r="L18" s="113">
        <v>1085.1819999999998</v>
      </c>
      <c r="M18" s="113">
        <v>1167.7090000000001</v>
      </c>
      <c r="N18" s="113">
        <v>1225.665</v>
      </c>
      <c r="O18" s="113">
        <v>1419.6950000000002</v>
      </c>
      <c r="P18" s="113">
        <v>1276.7739999999999</v>
      </c>
      <c r="Q18" s="113">
        <v>1412.462</v>
      </c>
      <c r="R18" s="113">
        <v>833.27700000000004</v>
      </c>
      <c r="S18" s="113">
        <v>822.20499999999993</v>
      </c>
      <c r="T18" s="113">
        <f t="shared" ref="T18:AS18" si="2">SUM(T19:T28)</f>
        <v>851.73599999999999</v>
      </c>
      <c r="U18" s="113">
        <f t="shared" si="2"/>
        <v>558.84299999999996</v>
      </c>
      <c r="V18" s="113">
        <f t="shared" si="2"/>
        <v>426.56200000000001</v>
      </c>
      <c r="W18" s="113">
        <f t="shared" si="2"/>
        <v>152.017</v>
      </c>
      <c r="X18" s="113">
        <f t="shared" si="2"/>
        <v>161.041</v>
      </c>
      <c r="Y18" s="113">
        <f t="shared" si="2"/>
        <v>120.45700000000001</v>
      </c>
      <c r="Z18" s="113">
        <f t="shared" si="2"/>
        <v>123.465</v>
      </c>
      <c r="AA18" s="113">
        <f t="shared" si="2"/>
        <v>125.93</v>
      </c>
      <c r="AB18" s="113">
        <f t="shared" si="2"/>
        <v>149.696</v>
      </c>
      <c r="AC18" s="113">
        <f t="shared" si="2"/>
        <v>155.79200000000003</v>
      </c>
      <c r="AD18" s="113">
        <f t="shared" si="2"/>
        <v>166.87600000000003</v>
      </c>
      <c r="AE18" s="113">
        <f t="shared" si="2"/>
        <v>171.19499999999999</v>
      </c>
      <c r="AF18" s="113">
        <f t="shared" si="2"/>
        <v>158.62799999999999</v>
      </c>
      <c r="AG18" s="113">
        <f t="shared" si="2"/>
        <v>169.1</v>
      </c>
      <c r="AH18" s="113">
        <f t="shared" si="2"/>
        <v>175.90499999999997</v>
      </c>
      <c r="AI18" s="113">
        <f t="shared" si="2"/>
        <v>185.56200000000001</v>
      </c>
      <c r="AJ18" s="113">
        <f t="shared" si="2"/>
        <v>188.82099999999997</v>
      </c>
      <c r="AK18" s="113">
        <f t="shared" si="2"/>
        <v>206.85000000000002</v>
      </c>
      <c r="AL18" s="113">
        <f t="shared" si="2"/>
        <v>212.05600000000004</v>
      </c>
      <c r="AM18" s="113">
        <f t="shared" si="2"/>
        <v>279.827</v>
      </c>
      <c r="AN18" s="113">
        <f t="shared" si="2"/>
        <v>273.06</v>
      </c>
      <c r="AO18" s="113">
        <f t="shared" si="2"/>
        <v>231.79499999999999</v>
      </c>
      <c r="AP18" s="113">
        <f t="shared" si="2"/>
        <v>228.67500000000001</v>
      </c>
      <c r="AQ18" s="113">
        <f t="shared" si="2"/>
        <v>251.495</v>
      </c>
      <c r="AR18" s="113">
        <f t="shared" si="2"/>
        <v>247.19299999999998</v>
      </c>
      <c r="AS18" s="113">
        <f t="shared" si="2"/>
        <v>225.32600000000002</v>
      </c>
      <c r="AT18" s="113">
        <v>227.91499999999999</v>
      </c>
      <c r="AU18" s="113">
        <f>SUM(AU19:AU28)</f>
        <v>232.10500000000002</v>
      </c>
      <c r="AV18" s="113">
        <v>1860.3369999999998</v>
      </c>
      <c r="AW18" s="113">
        <v>797.904</v>
      </c>
      <c r="AX18" s="113">
        <v>742.20399999999995</v>
      </c>
      <c r="AY18" s="113">
        <v>722.85399999999993</v>
      </c>
      <c r="AZ18" s="113">
        <v>160.87400000000002</v>
      </c>
      <c r="BA18" s="113">
        <f>SUM(BA19:BA28)</f>
        <v>0</v>
      </c>
    </row>
    <row r="19" spans="1:53" ht="15" customHeight="1" x14ac:dyDescent="0.3">
      <c r="A19" t="s">
        <v>153</v>
      </c>
      <c r="B19" s="114" t="str">
        <f>IF('Sumário | Summary'!P1=1,"Contas a receber ","Accounts Receivable")</f>
        <v xml:space="preserve">Contas a receber </v>
      </c>
      <c r="C19" s="115">
        <v>20.462</v>
      </c>
      <c r="D19" s="115">
        <v>22.702000000000002</v>
      </c>
      <c r="E19" s="115">
        <v>19.806999999999999</v>
      </c>
      <c r="F19" s="115">
        <v>9.0350000000000001</v>
      </c>
      <c r="G19" s="115">
        <v>9.8670000000000009</v>
      </c>
      <c r="H19" s="115">
        <v>20.829000000000001</v>
      </c>
      <c r="I19" s="115">
        <v>18.806999999999999</v>
      </c>
      <c r="J19" s="115">
        <v>17.754000000000001</v>
      </c>
      <c r="K19" s="115">
        <v>16.423999999999999</v>
      </c>
      <c r="L19" s="115">
        <v>4.7430000000000003</v>
      </c>
      <c r="M19" s="115">
        <v>4.7649999999999997</v>
      </c>
      <c r="N19" s="115">
        <v>4.766</v>
      </c>
      <c r="O19" s="116">
        <v>0.68400000000000005</v>
      </c>
      <c r="P19" s="115">
        <v>0.434</v>
      </c>
      <c r="Q19" s="116" t="s">
        <v>73</v>
      </c>
      <c r="R19" s="116">
        <v>0</v>
      </c>
      <c r="S19" s="116">
        <v>12.082000000000001</v>
      </c>
      <c r="T19" s="116">
        <v>14.808999999999999</v>
      </c>
      <c r="V19" s="118">
        <v>5.95</v>
      </c>
      <c r="W19" s="116">
        <v>4.5679999999999996</v>
      </c>
      <c r="X19" s="116">
        <v>4.4109999999999996</v>
      </c>
      <c r="Y19" s="116">
        <v>4.6029999999999998</v>
      </c>
      <c r="Z19" s="116">
        <v>3.6680000000000001</v>
      </c>
      <c r="AA19" s="116">
        <v>3.226</v>
      </c>
      <c r="AB19" s="116">
        <v>30.390999999999998</v>
      </c>
      <c r="AC19" s="116">
        <v>33.567999999999998</v>
      </c>
      <c r="AD19" s="116">
        <v>36.706000000000003</v>
      </c>
      <c r="AE19" s="116">
        <v>33.479999999999997</v>
      </c>
      <c r="AF19" s="116">
        <v>34.975999999999999</v>
      </c>
      <c r="AG19" s="116">
        <v>47.427999999999997</v>
      </c>
      <c r="AH19" s="116">
        <v>51.368000000000002</v>
      </c>
      <c r="AI19" s="116">
        <v>55.091999999999999</v>
      </c>
      <c r="AJ19" s="116">
        <v>60.280999999999999</v>
      </c>
      <c r="AK19" s="115">
        <v>69.984999999999999</v>
      </c>
      <c r="AL19" s="115">
        <v>69.766000000000005</v>
      </c>
      <c r="AM19" s="115">
        <v>46.795000000000002</v>
      </c>
      <c r="AN19" s="115">
        <v>46.795000000000002</v>
      </c>
      <c r="AO19" s="117">
        <v>44.613</v>
      </c>
      <c r="AP19" s="115">
        <v>40.226999999999997</v>
      </c>
      <c r="AQ19" s="115">
        <v>34.872999999999998</v>
      </c>
      <c r="AR19" s="115">
        <v>34.872999999999998</v>
      </c>
      <c r="AS19" s="115">
        <v>27.687000000000001</v>
      </c>
      <c r="AT19" s="115">
        <v>29.311</v>
      </c>
      <c r="AU19" s="115">
        <v>27.187000000000001</v>
      </c>
      <c r="AV19" s="115">
        <v>22.408999999999999</v>
      </c>
      <c r="AW19" s="115">
        <v>554.99099999999999</v>
      </c>
      <c r="AX19" s="115">
        <v>554.99099999999999</v>
      </c>
      <c r="AY19" s="115">
        <v>552.92999999999995</v>
      </c>
      <c r="AZ19" s="115">
        <v>13.256</v>
      </c>
      <c r="BA19" s="115">
        <v>0</v>
      </c>
    </row>
    <row r="20" spans="1:53" ht="15" customHeight="1" x14ac:dyDescent="0.3">
      <c r="A20" t="s">
        <v>154</v>
      </c>
      <c r="B20" s="114" t="str">
        <f>IF('Sumário | Summary'!P1=1,"Estoques","Inventory")</f>
        <v>Estoques</v>
      </c>
      <c r="C20" s="115">
        <v>94.316000000000003</v>
      </c>
      <c r="D20" s="115">
        <v>105.01900000000001</v>
      </c>
      <c r="E20" s="115">
        <v>103.89400000000001</v>
      </c>
      <c r="F20" s="115">
        <v>315.51299999999998</v>
      </c>
      <c r="G20" s="115">
        <v>1236.288</v>
      </c>
      <c r="H20" s="115">
        <v>455.22199999999998</v>
      </c>
      <c r="I20" s="115">
        <v>1216.5530000000001</v>
      </c>
      <c r="J20" s="115">
        <v>1797.8679999999999</v>
      </c>
      <c r="K20" s="115">
        <v>1926.307</v>
      </c>
      <c r="L20" s="115">
        <v>995.12099999999998</v>
      </c>
      <c r="M20" s="115">
        <v>1070.31</v>
      </c>
      <c r="N20" s="115">
        <v>1123.94</v>
      </c>
      <c r="O20" s="116">
        <v>1269.579</v>
      </c>
      <c r="P20" s="115">
        <v>1118.0540000000001</v>
      </c>
      <c r="Q20" s="115">
        <v>1238.07</v>
      </c>
      <c r="R20" s="115">
        <v>658.476</v>
      </c>
      <c r="S20" s="115">
        <v>674.87</v>
      </c>
      <c r="T20" s="115">
        <v>690.505</v>
      </c>
      <c r="U20" s="117">
        <v>406.23099999999999</v>
      </c>
      <c r="V20" s="117">
        <v>308.62799999999999</v>
      </c>
      <c r="W20" s="115">
        <v>41.857999999999997</v>
      </c>
      <c r="X20" s="115">
        <v>42.192999999999998</v>
      </c>
      <c r="Y20" s="115">
        <v>42.197000000000003</v>
      </c>
      <c r="Z20" s="116">
        <v>42.197000000000003</v>
      </c>
      <c r="AA20" s="116">
        <v>42.2</v>
      </c>
      <c r="AB20" s="116">
        <v>42.618000000000002</v>
      </c>
      <c r="AC20" s="116">
        <v>42.618000000000002</v>
      </c>
      <c r="AD20" s="116">
        <v>42.618000000000002</v>
      </c>
      <c r="AE20" s="116">
        <v>42.618000000000002</v>
      </c>
      <c r="AF20" s="116">
        <v>42.618000000000002</v>
      </c>
      <c r="AG20" s="116">
        <v>42.618000000000002</v>
      </c>
      <c r="AH20" s="116">
        <v>42.618000000000002</v>
      </c>
      <c r="AI20" s="116">
        <v>42.618000000000002</v>
      </c>
      <c r="AJ20" s="116">
        <v>42.618000000000002</v>
      </c>
      <c r="AK20" s="115">
        <v>42.618000000000002</v>
      </c>
      <c r="AL20" s="115">
        <v>42.618000000000002</v>
      </c>
      <c r="AM20" s="115">
        <v>42.618000000000002</v>
      </c>
      <c r="AN20" s="115">
        <v>42.618000000000002</v>
      </c>
      <c r="AO20" s="117">
        <v>42.618000000000002</v>
      </c>
      <c r="AP20" s="115">
        <v>42.618000000000002</v>
      </c>
      <c r="AQ20" s="115">
        <v>51.783000000000001</v>
      </c>
      <c r="AR20" s="115">
        <v>51.957000000000001</v>
      </c>
      <c r="AS20" s="115">
        <v>52.189</v>
      </c>
      <c r="AT20" s="115">
        <v>52.366999999999997</v>
      </c>
      <c r="AU20" s="115">
        <v>52.533000000000001</v>
      </c>
      <c r="AV20" s="115">
        <v>52.835000000000001</v>
      </c>
      <c r="AW20" s="115">
        <v>53.058999999999997</v>
      </c>
      <c r="AX20" s="115">
        <v>53.274000000000001</v>
      </c>
      <c r="AY20" s="115">
        <v>53.533000000000001</v>
      </c>
      <c r="AZ20" s="115">
        <v>53.637999999999998</v>
      </c>
      <c r="BA20" s="115">
        <v>0</v>
      </c>
    </row>
    <row r="21" spans="1:53" ht="15" customHeight="1" x14ac:dyDescent="0.3">
      <c r="A21" t="s">
        <v>155</v>
      </c>
      <c r="B21" s="114" t="str">
        <f>IF('Sumário | Summary'!P1=1,"Ativo não circulante mantido para venda",
"Non-current assets held for sale")</f>
        <v>Ativo não circulante mantido para venda</v>
      </c>
      <c r="C21" s="115"/>
      <c r="D21" s="115"/>
      <c r="E21" s="115"/>
      <c r="F21" s="115"/>
      <c r="G21" s="115"/>
      <c r="H21" s="115"/>
      <c r="I21" s="115"/>
      <c r="J21" s="115"/>
      <c r="K21" s="115"/>
      <c r="L21" s="115"/>
      <c r="M21" s="115"/>
      <c r="N21" s="115"/>
      <c r="O21" s="116"/>
      <c r="P21" s="115"/>
      <c r="Q21" s="115"/>
      <c r="R21" s="115"/>
      <c r="S21" s="115"/>
      <c r="T21" s="115"/>
      <c r="U21" s="117"/>
      <c r="V21" s="117"/>
      <c r="W21" s="115"/>
      <c r="X21" s="115"/>
      <c r="Y21" s="115"/>
      <c r="Z21" s="116"/>
      <c r="AA21" s="116"/>
      <c r="AB21" s="116"/>
      <c r="AC21" s="116"/>
      <c r="AD21" s="116"/>
      <c r="AE21" s="116"/>
      <c r="AF21" s="116"/>
      <c r="AG21" s="116"/>
      <c r="AH21" s="116"/>
      <c r="AI21" s="116"/>
      <c r="AJ21" s="116"/>
      <c r="AK21" s="115"/>
      <c r="AL21" s="115"/>
      <c r="AM21" s="115"/>
      <c r="AN21" s="115"/>
      <c r="AO21" s="117"/>
      <c r="AP21" s="115"/>
      <c r="AQ21" s="115"/>
      <c r="AR21" s="115"/>
      <c r="AS21" s="115"/>
      <c r="AT21" s="115"/>
      <c r="AU21" s="115"/>
      <c r="AV21" s="115">
        <v>1681.6189999999999</v>
      </c>
      <c r="AW21" s="115">
        <v>0</v>
      </c>
      <c r="AX21" s="115">
        <v>0</v>
      </c>
      <c r="AY21" s="115">
        <v>0</v>
      </c>
      <c r="AZ21" s="115">
        <v>0</v>
      </c>
      <c r="BA21" s="115">
        <v>0</v>
      </c>
    </row>
    <row r="22" spans="1:53" ht="15" customHeight="1" x14ac:dyDescent="0.3">
      <c r="A22" t="s">
        <v>156</v>
      </c>
      <c r="B22" s="114" t="str">
        <f>IF('Sumário | Summary'!P1=1,"Adiantamento para futuro aumento de capital","Advance for future capital increase")</f>
        <v>Adiantamento para futuro aumento de capital</v>
      </c>
      <c r="C22" s="115">
        <v>3.5219999999999998</v>
      </c>
      <c r="D22" s="115">
        <v>3.512</v>
      </c>
      <c r="E22" s="115">
        <v>3.512</v>
      </c>
      <c r="F22" s="115">
        <v>3.512</v>
      </c>
      <c r="G22" s="115">
        <v>3.512</v>
      </c>
      <c r="H22" s="115">
        <v>3.512</v>
      </c>
      <c r="I22" s="115">
        <v>3.512</v>
      </c>
      <c r="J22" s="115">
        <v>3.512</v>
      </c>
      <c r="K22" s="115">
        <v>3.5</v>
      </c>
      <c r="L22" s="115">
        <v>3.512</v>
      </c>
      <c r="M22" s="115">
        <v>3.512</v>
      </c>
      <c r="N22" s="115">
        <v>3.512</v>
      </c>
      <c r="O22" s="116">
        <v>33.597000000000001</v>
      </c>
      <c r="P22" s="115">
        <v>31.216000000000001</v>
      </c>
      <c r="Q22" s="115">
        <v>33.555</v>
      </c>
      <c r="R22" s="115">
        <v>35.253</v>
      </c>
      <c r="S22" s="115">
        <v>36.933</v>
      </c>
      <c r="T22" s="115">
        <v>37.234999999999999</v>
      </c>
      <c r="U22" s="117">
        <v>38.527000000000001</v>
      </c>
      <c r="V22" s="117">
        <v>39.322000000000003</v>
      </c>
      <c r="W22" s="115">
        <v>38.927999999999997</v>
      </c>
      <c r="X22" s="115">
        <v>39.786000000000001</v>
      </c>
      <c r="Y22" s="115">
        <v>4.5999999999999999E-2</v>
      </c>
      <c r="Z22" s="116">
        <v>4.5999999999999999E-2</v>
      </c>
      <c r="AA22" s="116">
        <v>4.5999999999999999E-2</v>
      </c>
      <c r="AB22" s="116">
        <v>4.5999999999999999E-2</v>
      </c>
      <c r="AC22" s="116">
        <v>4.5999999999999999E-2</v>
      </c>
      <c r="AD22" s="116">
        <v>0.84899999999999998</v>
      </c>
      <c r="AE22" s="116">
        <v>1.1870000000000001</v>
      </c>
      <c r="AF22" s="116">
        <v>1.26</v>
      </c>
      <c r="AG22" s="116">
        <v>0.84199999999999997</v>
      </c>
      <c r="AH22" s="116">
        <v>0.85899999999999999</v>
      </c>
      <c r="AI22" s="116">
        <v>0.88800000000000001</v>
      </c>
      <c r="AJ22" s="116">
        <v>0.877</v>
      </c>
      <c r="AK22" s="115">
        <v>0.88200000000000001</v>
      </c>
      <c r="AL22" s="115">
        <v>0.88500000000000001</v>
      </c>
      <c r="AM22" s="115">
        <v>4.6459999999999999</v>
      </c>
      <c r="AN22" s="115">
        <v>1.476</v>
      </c>
      <c r="AO22" s="117">
        <v>1.026</v>
      </c>
      <c r="AP22" s="115">
        <v>1.032</v>
      </c>
      <c r="AQ22" s="115">
        <v>1.702</v>
      </c>
      <c r="AR22" s="115">
        <v>1.589</v>
      </c>
      <c r="AS22" s="115">
        <v>1.625</v>
      </c>
      <c r="AT22" s="115">
        <v>2.734</v>
      </c>
      <c r="AU22" s="115">
        <v>1.0960000000000001</v>
      </c>
      <c r="AV22" s="115">
        <v>1.153</v>
      </c>
      <c r="AW22" s="115">
        <v>0.27400000000000002</v>
      </c>
      <c r="AX22" s="115">
        <v>0.27</v>
      </c>
      <c r="AY22" s="115">
        <v>0.215</v>
      </c>
      <c r="AZ22" s="115">
        <v>0.28699999999999998</v>
      </c>
      <c r="BA22" s="115">
        <v>0</v>
      </c>
    </row>
    <row r="23" spans="1:53" ht="15" customHeight="1" x14ac:dyDescent="0.3">
      <c r="A23" t="s">
        <v>157</v>
      </c>
      <c r="B23" s="114" t="str">
        <f>IF('Sumário | Summary'!P1=1,"Contas-correntes com parceiros nos empreendimentos","Current accounts with partners in projects ")</f>
        <v>Contas-correntes com parceiros nos empreendimentos</v>
      </c>
      <c r="C23" s="115">
        <v>5.1059999999999999</v>
      </c>
      <c r="D23" s="115">
        <v>6.6929999999999996</v>
      </c>
      <c r="E23" s="115">
        <v>0</v>
      </c>
      <c r="F23" s="115">
        <v>0</v>
      </c>
      <c r="G23" s="115">
        <v>4.1319999999999997</v>
      </c>
      <c r="H23" s="115">
        <v>13.214</v>
      </c>
      <c r="I23" s="115">
        <v>0</v>
      </c>
      <c r="J23" s="115">
        <v>1.9259999999999999</v>
      </c>
      <c r="K23" s="115">
        <v>0</v>
      </c>
      <c r="L23" s="115">
        <v>14.058999999999999</v>
      </c>
      <c r="M23" s="115">
        <v>16.975000000000001</v>
      </c>
      <c r="N23" s="115">
        <v>17.175999999999998</v>
      </c>
      <c r="O23" s="116">
        <v>0</v>
      </c>
      <c r="P23" s="115">
        <v>0</v>
      </c>
      <c r="Q23" s="115">
        <v>0</v>
      </c>
      <c r="R23" s="115">
        <v>0.109</v>
      </c>
      <c r="S23" s="115">
        <v>0</v>
      </c>
      <c r="T23" s="115">
        <v>0</v>
      </c>
      <c r="U23" s="117">
        <v>0</v>
      </c>
      <c r="V23" s="117">
        <v>0</v>
      </c>
      <c r="W23" s="115">
        <v>0</v>
      </c>
      <c r="X23" s="115">
        <v>0</v>
      </c>
      <c r="Y23" s="115">
        <v>0</v>
      </c>
      <c r="Z23" s="115">
        <v>0</v>
      </c>
      <c r="AA23" s="115">
        <v>0</v>
      </c>
      <c r="AB23" s="116">
        <v>0</v>
      </c>
      <c r="AC23" s="116">
        <v>0</v>
      </c>
      <c r="AD23" s="116">
        <v>0.309</v>
      </c>
      <c r="AE23" s="116">
        <v>0.32500000000000001</v>
      </c>
      <c r="AF23" s="116">
        <v>0.34100000000000003</v>
      </c>
      <c r="AG23" s="116">
        <v>0.35699999999999998</v>
      </c>
      <c r="AH23" s="116">
        <v>0.372</v>
      </c>
      <c r="AI23" s="116">
        <v>0.38700000000000001</v>
      </c>
      <c r="AJ23" s="116">
        <v>0.40600000000000003</v>
      </c>
      <c r="AK23" s="115">
        <v>0</v>
      </c>
      <c r="AL23" s="115">
        <v>0</v>
      </c>
      <c r="AM23" s="115">
        <v>0</v>
      </c>
      <c r="AN23" s="115">
        <v>0.249</v>
      </c>
      <c r="AO23" s="117">
        <v>0</v>
      </c>
      <c r="AP23" s="115">
        <v>0</v>
      </c>
      <c r="AQ23" s="115">
        <v>0</v>
      </c>
      <c r="AR23" s="115">
        <v>0</v>
      </c>
      <c r="AS23" s="115">
        <v>0</v>
      </c>
      <c r="AT23" s="115">
        <v>0</v>
      </c>
      <c r="AU23" s="115">
        <v>0</v>
      </c>
      <c r="AV23" s="115">
        <v>0</v>
      </c>
      <c r="AW23" s="115">
        <v>0</v>
      </c>
      <c r="AX23" s="115">
        <v>0</v>
      </c>
      <c r="AY23" s="115">
        <v>0</v>
      </c>
      <c r="AZ23" s="115">
        <v>0</v>
      </c>
      <c r="BA23" s="115">
        <v>0</v>
      </c>
    </row>
    <row r="24" spans="1:53" ht="15" customHeight="1" x14ac:dyDescent="0.3">
      <c r="A24" t="s">
        <v>158</v>
      </c>
      <c r="B24" s="114" t="str">
        <f>IF('Sumário | Summary'!P1=1,"Mútuo a receber","Loan receivables")</f>
        <v>Mútuo a receber</v>
      </c>
      <c r="C24" s="115"/>
      <c r="D24" s="115"/>
      <c r="E24" s="115">
        <v>0</v>
      </c>
      <c r="F24" s="115">
        <v>0</v>
      </c>
      <c r="G24" s="115">
        <v>0</v>
      </c>
      <c r="H24" s="115">
        <v>0</v>
      </c>
      <c r="I24" s="115">
        <v>0</v>
      </c>
      <c r="J24" s="115">
        <v>0</v>
      </c>
      <c r="K24" s="115">
        <v>0</v>
      </c>
      <c r="L24" s="115">
        <v>0</v>
      </c>
      <c r="M24" s="115">
        <v>0</v>
      </c>
      <c r="N24" s="115">
        <v>0</v>
      </c>
      <c r="O24" s="115">
        <v>15.643000000000001</v>
      </c>
      <c r="P24" s="115">
        <v>6.8760000000000003</v>
      </c>
      <c r="Q24" s="115">
        <v>7.9690000000000003</v>
      </c>
      <c r="R24" s="115">
        <v>7.5579999999999998</v>
      </c>
      <c r="S24" s="115">
        <v>8.3130000000000006</v>
      </c>
      <c r="T24" s="115">
        <v>8.8070000000000004</v>
      </c>
      <c r="U24" s="117">
        <v>8.3680000000000003</v>
      </c>
      <c r="V24" s="117">
        <v>7.6360000000000001</v>
      </c>
      <c r="W24" s="115">
        <v>0</v>
      </c>
      <c r="X24" s="115">
        <v>0</v>
      </c>
      <c r="Y24" s="115">
        <v>0</v>
      </c>
      <c r="Z24" s="115">
        <v>0</v>
      </c>
      <c r="AA24" s="115">
        <v>0</v>
      </c>
      <c r="AB24" s="116">
        <v>0</v>
      </c>
      <c r="AC24" s="116">
        <v>0</v>
      </c>
      <c r="AD24" s="116">
        <v>0</v>
      </c>
      <c r="AE24" s="116">
        <v>0</v>
      </c>
      <c r="AF24" s="116">
        <v>0</v>
      </c>
      <c r="AG24" s="116">
        <v>0</v>
      </c>
      <c r="AH24" s="116">
        <v>0</v>
      </c>
      <c r="AI24" s="116">
        <v>0</v>
      </c>
      <c r="AJ24" s="116">
        <v>0</v>
      </c>
      <c r="AK24" s="115">
        <v>0</v>
      </c>
      <c r="AL24" s="115">
        <v>0</v>
      </c>
      <c r="AM24" s="115">
        <v>0</v>
      </c>
      <c r="AN24" s="115">
        <v>0</v>
      </c>
      <c r="AO24" s="117">
        <v>0</v>
      </c>
      <c r="AP24" s="115">
        <v>0</v>
      </c>
      <c r="AQ24" s="115">
        <v>0</v>
      </c>
      <c r="AR24" s="115">
        <v>0</v>
      </c>
      <c r="AS24" s="115">
        <v>0</v>
      </c>
      <c r="AT24" s="115">
        <v>0</v>
      </c>
      <c r="AU24" s="115">
        <v>0</v>
      </c>
      <c r="AV24" s="115">
        <v>0</v>
      </c>
      <c r="AW24" s="115">
        <v>0</v>
      </c>
      <c r="AX24" s="115">
        <v>0</v>
      </c>
      <c r="AY24" s="115">
        <v>0</v>
      </c>
      <c r="AZ24" s="115">
        <v>0</v>
      </c>
      <c r="BA24" s="115">
        <v>0</v>
      </c>
    </row>
    <row r="25" spans="1:53" ht="15" customHeight="1" x14ac:dyDescent="0.3">
      <c r="A25" t="s">
        <v>159</v>
      </c>
      <c r="B25" s="114" t="str">
        <f>IF('Sumário | Summary'!P1=1,"Impostos a compensar","Tax to be Compensated")</f>
        <v>Impostos a compensar</v>
      </c>
      <c r="C25" s="115">
        <v>42.741</v>
      </c>
      <c r="D25" s="115">
        <v>43.436999999999998</v>
      </c>
      <c r="E25" s="115">
        <v>46.231000000000002</v>
      </c>
      <c r="F25" s="115">
        <v>47.58</v>
      </c>
      <c r="G25" s="115">
        <v>50.118000000000002</v>
      </c>
      <c r="H25" s="115">
        <v>52.622999999999998</v>
      </c>
      <c r="I25" s="115">
        <v>54.743000000000002</v>
      </c>
      <c r="J25" s="115">
        <v>57.552</v>
      </c>
      <c r="K25" s="115">
        <v>64.835999999999999</v>
      </c>
      <c r="L25" s="115">
        <v>67.436999999999998</v>
      </c>
      <c r="M25" s="115">
        <v>71.841999999999999</v>
      </c>
      <c r="N25" s="115">
        <v>75.959999999999994</v>
      </c>
      <c r="O25" s="116">
        <v>79.400000000000006</v>
      </c>
      <c r="P25" s="116">
        <v>89.533000000000001</v>
      </c>
      <c r="Q25" s="116">
        <v>94.748000000000005</v>
      </c>
      <c r="R25" s="116">
        <v>97.295000000000002</v>
      </c>
      <c r="S25" s="116">
        <v>60.131</v>
      </c>
      <c r="T25" s="116">
        <v>68.135999999999996</v>
      </c>
      <c r="U25" s="118">
        <v>72.433000000000007</v>
      </c>
      <c r="V25" s="118">
        <v>31.628</v>
      </c>
      <c r="W25" s="116">
        <v>34.119999999999997</v>
      </c>
      <c r="X25" s="116">
        <v>31.844000000000001</v>
      </c>
      <c r="Y25" s="116">
        <v>33.694000000000003</v>
      </c>
      <c r="Z25" s="116">
        <v>34.213999999999999</v>
      </c>
      <c r="AA25" s="116">
        <v>36.959000000000003</v>
      </c>
      <c r="AB25" s="116">
        <v>39.152999999999999</v>
      </c>
      <c r="AC25" s="116">
        <v>41.643000000000001</v>
      </c>
      <c r="AD25" s="116">
        <v>47.302</v>
      </c>
      <c r="AE25" s="116">
        <v>52.503999999999998</v>
      </c>
      <c r="AF25" s="116">
        <v>36.561</v>
      </c>
      <c r="AG25" s="116">
        <v>33.549999999999997</v>
      </c>
      <c r="AH25" s="116">
        <v>40.482999999999997</v>
      </c>
      <c r="AI25" s="116">
        <v>45.079000000000001</v>
      </c>
      <c r="AJ25" s="116">
        <v>46.526000000000003</v>
      </c>
      <c r="AK25" s="115">
        <v>46.219000000000001</v>
      </c>
      <c r="AL25" s="115">
        <v>50.401000000000003</v>
      </c>
      <c r="AM25" s="115">
        <v>54.793999999999997</v>
      </c>
      <c r="AN25" s="115">
        <v>57.500999999999998</v>
      </c>
      <c r="AO25" s="117">
        <v>45.295000000000002</v>
      </c>
      <c r="AP25" s="115">
        <v>47.338999999999999</v>
      </c>
      <c r="AQ25" s="115">
        <v>62.683</v>
      </c>
      <c r="AR25" s="115">
        <v>57.609000000000002</v>
      </c>
      <c r="AS25" s="115">
        <v>60.686</v>
      </c>
      <c r="AT25" s="115">
        <v>64.358000000000004</v>
      </c>
      <c r="AU25" s="115">
        <v>71.430000000000007</v>
      </c>
      <c r="AV25" s="115">
        <v>62.384999999999998</v>
      </c>
      <c r="AW25" s="115">
        <v>58.744</v>
      </c>
      <c r="AX25" s="115">
        <v>2.36</v>
      </c>
      <c r="AY25" s="115">
        <v>2.3620000000000001</v>
      </c>
      <c r="AZ25" s="115">
        <v>0.79700000000000004</v>
      </c>
      <c r="BA25" s="115">
        <v>0</v>
      </c>
    </row>
    <row r="26" spans="1:53" ht="15" customHeight="1" x14ac:dyDescent="0.3">
      <c r="A26" t="s">
        <v>160</v>
      </c>
      <c r="B26" s="114" t="str">
        <f>IF('Sumário | Summary'!P1=1,"Depósitos judiciais","Judicial Deposits")</f>
        <v>Depósitos judiciais</v>
      </c>
      <c r="C26" s="115">
        <v>0.68300000000000005</v>
      </c>
      <c r="D26" s="115">
        <v>0.68100000000000005</v>
      </c>
      <c r="E26" s="115">
        <v>0.69499999999999995</v>
      </c>
      <c r="F26" s="115">
        <v>0.71</v>
      </c>
      <c r="G26" s="115">
        <v>0.97599999999999998</v>
      </c>
      <c r="H26" s="115">
        <v>1</v>
      </c>
      <c r="I26" s="115">
        <v>1</v>
      </c>
      <c r="J26" s="115">
        <v>0.17599999999999999</v>
      </c>
      <c r="K26" s="115">
        <v>9.0999999999999998E-2</v>
      </c>
      <c r="L26" s="115">
        <v>0.3</v>
      </c>
      <c r="M26" s="115">
        <v>0.30499999999999999</v>
      </c>
      <c r="N26" s="115">
        <v>0.311</v>
      </c>
      <c r="O26" s="116">
        <v>0.33500000000000002</v>
      </c>
      <c r="P26" s="115">
        <v>0</v>
      </c>
      <c r="Q26" s="115">
        <v>0.33800000000000002</v>
      </c>
      <c r="R26" s="115">
        <v>0.34300000000000003</v>
      </c>
      <c r="S26" s="115">
        <v>0.35</v>
      </c>
      <c r="T26" s="115">
        <v>0.35599999999999998</v>
      </c>
      <c r="U26" s="117">
        <v>0.34</v>
      </c>
      <c r="V26" s="118">
        <v>0</v>
      </c>
      <c r="W26" s="115">
        <v>0</v>
      </c>
      <c r="X26" s="115">
        <v>0</v>
      </c>
      <c r="Y26" s="115">
        <v>0</v>
      </c>
      <c r="Z26" s="115">
        <v>0</v>
      </c>
      <c r="AA26" s="115">
        <v>0.191</v>
      </c>
      <c r="AB26" s="116">
        <v>0.191</v>
      </c>
      <c r="AC26" s="116">
        <v>0.17599999999999999</v>
      </c>
      <c r="AD26" s="116">
        <v>0.17599999999999999</v>
      </c>
      <c r="AE26" s="116">
        <v>0.17599999999999999</v>
      </c>
      <c r="AF26" s="116">
        <v>0.17599999999999999</v>
      </c>
      <c r="AG26" s="116">
        <v>0.17599999999999999</v>
      </c>
      <c r="AH26" s="116">
        <v>0.17599999999999999</v>
      </c>
      <c r="AI26" s="116">
        <v>0.17599999999999999</v>
      </c>
      <c r="AJ26" s="116">
        <v>0.17599999999999999</v>
      </c>
      <c r="AK26" s="115">
        <v>3.3889999999999998</v>
      </c>
      <c r="AL26" s="115">
        <v>3.3889999999999998</v>
      </c>
      <c r="AM26" s="115">
        <v>3.3889999999999998</v>
      </c>
      <c r="AN26" s="115">
        <v>3.3889999999999998</v>
      </c>
      <c r="AO26" s="117">
        <v>3.423</v>
      </c>
      <c r="AP26" s="115">
        <v>3.48</v>
      </c>
      <c r="AQ26" s="115">
        <v>3.4660000000000002</v>
      </c>
      <c r="AR26" s="115">
        <v>3.4660000000000002</v>
      </c>
      <c r="AS26" s="115">
        <v>3.4660000000000002</v>
      </c>
      <c r="AT26" s="115">
        <v>3.4660000000000002</v>
      </c>
      <c r="AU26" s="115">
        <v>3.4660000000000002</v>
      </c>
      <c r="AV26" s="115">
        <v>3.4660000000000002</v>
      </c>
      <c r="AW26" s="115">
        <v>3.4660000000000002</v>
      </c>
      <c r="AX26" s="115">
        <v>3.617</v>
      </c>
      <c r="AY26" s="115">
        <v>3.617</v>
      </c>
      <c r="AZ26" s="115">
        <v>3.617</v>
      </c>
      <c r="BA26" s="115">
        <v>0</v>
      </c>
    </row>
    <row r="27" spans="1:53" ht="15" customHeight="1" x14ac:dyDescent="0.3">
      <c r="A27" t="s">
        <v>161</v>
      </c>
      <c r="B27" s="114" t="str">
        <f>IF('Sumário | Summary'!P1=1,"Demais contas a receber","Other receivables")</f>
        <v>Demais contas a receber</v>
      </c>
      <c r="C27" s="115">
        <v>0</v>
      </c>
      <c r="D27" s="115">
        <v>0</v>
      </c>
      <c r="E27" s="115">
        <v>0</v>
      </c>
      <c r="F27" s="115">
        <v>0</v>
      </c>
      <c r="G27" s="115">
        <v>0</v>
      </c>
      <c r="H27" s="115">
        <v>0</v>
      </c>
      <c r="I27" s="115">
        <v>0</v>
      </c>
      <c r="J27" s="115">
        <v>0</v>
      </c>
      <c r="K27" s="115">
        <v>0</v>
      </c>
      <c r="L27" s="115">
        <v>0</v>
      </c>
      <c r="M27" s="115">
        <v>0</v>
      </c>
      <c r="N27" s="115">
        <v>0</v>
      </c>
      <c r="O27" s="116">
        <v>20.457000000000001</v>
      </c>
      <c r="P27" s="115">
        <v>30.661000000000001</v>
      </c>
      <c r="Q27" s="115">
        <v>37.781999999999996</v>
      </c>
      <c r="R27" s="115">
        <v>34.243000000000002</v>
      </c>
      <c r="S27" s="115">
        <v>29.526</v>
      </c>
      <c r="T27" s="115">
        <v>31.888000000000002</v>
      </c>
      <c r="U27" s="117">
        <v>32.944000000000003</v>
      </c>
      <c r="V27" s="117">
        <v>33.398000000000003</v>
      </c>
      <c r="W27" s="115">
        <v>32.542999999999999</v>
      </c>
      <c r="X27" s="115">
        <v>42.807000000000002</v>
      </c>
      <c r="Y27" s="115">
        <v>39.917000000000002</v>
      </c>
      <c r="Z27" s="115">
        <v>43.34</v>
      </c>
      <c r="AA27" s="115">
        <v>43.308</v>
      </c>
      <c r="AB27" s="116">
        <v>37.296999999999997</v>
      </c>
      <c r="AC27" s="116">
        <v>37.741</v>
      </c>
      <c r="AD27" s="116">
        <v>38.915999999999997</v>
      </c>
      <c r="AE27" s="116">
        <v>40.905000000000001</v>
      </c>
      <c r="AF27" s="116">
        <v>42.695999999999998</v>
      </c>
      <c r="AG27" s="116">
        <v>44.128999999999998</v>
      </c>
      <c r="AH27" s="116">
        <v>40.029000000000003</v>
      </c>
      <c r="AI27" s="116">
        <v>41.322000000000003</v>
      </c>
      <c r="AJ27" s="116">
        <v>37.936999999999998</v>
      </c>
      <c r="AK27" s="115">
        <v>43.756999999999998</v>
      </c>
      <c r="AL27" s="115">
        <v>44.997</v>
      </c>
      <c r="AM27" s="115">
        <v>127.58499999999999</v>
      </c>
      <c r="AN27" s="115">
        <v>121.032</v>
      </c>
      <c r="AO27" s="117">
        <v>94.82</v>
      </c>
      <c r="AP27" s="115">
        <v>93.978999999999999</v>
      </c>
      <c r="AQ27" s="115">
        <v>96.988</v>
      </c>
      <c r="AR27" s="115">
        <v>97.698999999999998</v>
      </c>
      <c r="AS27" s="115">
        <v>79.673000000000002</v>
      </c>
      <c r="AT27" s="115">
        <v>75.679000000000002</v>
      </c>
      <c r="AU27" s="115">
        <v>76.393000000000001</v>
      </c>
      <c r="AV27" s="115">
        <v>36.47</v>
      </c>
      <c r="AW27" s="115">
        <v>127.37</v>
      </c>
      <c r="AX27" s="115">
        <v>127.69199999999999</v>
      </c>
      <c r="AY27" s="115">
        <v>37.774000000000001</v>
      </c>
      <c r="AZ27" s="115">
        <v>6.8789999999999996</v>
      </c>
      <c r="BA27" s="115">
        <v>0</v>
      </c>
    </row>
    <row r="28" spans="1:53" ht="15" customHeight="1" x14ac:dyDescent="0.3">
      <c r="A28" t="s">
        <v>162</v>
      </c>
      <c r="B28" s="114" t="str">
        <f>IF('Sumário | Summary'!P1=1,"Títulos e valores mobiliários","Securities")</f>
        <v>Títulos e valores mobiliários</v>
      </c>
      <c r="C28" s="115">
        <v>0</v>
      </c>
      <c r="D28" s="115">
        <v>0</v>
      </c>
      <c r="E28" s="115">
        <v>0</v>
      </c>
      <c r="F28" s="115">
        <v>0</v>
      </c>
      <c r="G28" s="115">
        <v>0.1</v>
      </c>
      <c r="H28" s="115">
        <v>0.1</v>
      </c>
      <c r="I28" s="115">
        <v>0.1</v>
      </c>
      <c r="J28" s="115">
        <v>0.01</v>
      </c>
      <c r="K28" s="115">
        <v>1E-3</v>
      </c>
      <c r="L28" s="115">
        <v>0.01</v>
      </c>
      <c r="M28" s="115">
        <v>0</v>
      </c>
      <c r="N28" s="115">
        <v>0</v>
      </c>
      <c r="O28" s="116">
        <v>0</v>
      </c>
      <c r="P28" s="115">
        <v>0</v>
      </c>
      <c r="Q28" s="115">
        <v>0</v>
      </c>
      <c r="R28" s="115">
        <v>0</v>
      </c>
      <c r="S28" s="115">
        <v>0</v>
      </c>
      <c r="T28" s="115">
        <v>0</v>
      </c>
      <c r="U28" s="117">
        <v>0</v>
      </c>
      <c r="V28" s="117">
        <v>0</v>
      </c>
      <c r="W28" s="115">
        <v>0</v>
      </c>
      <c r="X28" s="115">
        <v>0</v>
      </c>
      <c r="Y28" s="115">
        <v>0</v>
      </c>
      <c r="Z28" s="115">
        <v>0</v>
      </c>
      <c r="AA28" s="115">
        <v>0</v>
      </c>
      <c r="AB28" s="116">
        <v>0</v>
      </c>
      <c r="AC28" s="116">
        <v>0</v>
      </c>
      <c r="AD28" s="116">
        <v>0</v>
      </c>
      <c r="AE28" s="116">
        <v>0</v>
      </c>
      <c r="AF28" s="116">
        <v>0</v>
      </c>
      <c r="AG28" s="116">
        <v>0</v>
      </c>
      <c r="AH28" s="116">
        <v>0</v>
      </c>
      <c r="AI28" s="116">
        <v>0</v>
      </c>
      <c r="AJ28" s="116">
        <v>0</v>
      </c>
      <c r="AK28" s="115">
        <v>0</v>
      </c>
      <c r="AL28" s="115">
        <v>0</v>
      </c>
      <c r="AM28" s="115">
        <v>0</v>
      </c>
      <c r="AN28" s="115">
        <v>0</v>
      </c>
      <c r="AO28" s="117">
        <v>0</v>
      </c>
      <c r="AP28" s="115">
        <v>0</v>
      </c>
      <c r="AQ28" s="115">
        <v>0</v>
      </c>
      <c r="AR28" s="115">
        <v>0</v>
      </c>
      <c r="AS28" s="115">
        <v>0</v>
      </c>
      <c r="AT28" s="115">
        <v>0</v>
      </c>
      <c r="AU28" s="115">
        <v>0</v>
      </c>
      <c r="AV28" s="115">
        <v>0</v>
      </c>
      <c r="AW28" s="115">
        <v>0</v>
      </c>
      <c r="AX28" s="115">
        <v>0</v>
      </c>
      <c r="AY28" s="115">
        <v>72.423000000000002</v>
      </c>
      <c r="AZ28" s="115">
        <v>82.4</v>
      </c>
      <c r="BA28" s="115">
        <v>0</v>
      </c>
    </row>
    <row r="29" spans="1:53" ht="15" customHeight="1" x14ac:dyDescent="0.3">
      <c r="B29" s="24" t="str">
        <f>IF('Sumário | Summary'!P1=1,"Ativo Permanente","Permanent assets " )</f>
        <v>Ativo Permanente</v>
      </c>
      <c r="C29" s="113">
        <v>1116.318</v>
      </c>
      <c r="D29" s="113">
        <v>1129.3219999999999</v>
      </c>
      <c r="E29" s="113">
        <v>1285.8900000000001</v>
      </c>
      <c r="F29" s="113">
        <v>1557.5809999999999</v>
      </c>
      <c r="G29" s="113">
        <v>1229.4920000000002</v>
      </c>
      <c r="H29" s="113">
        <v>2321.33</v>
      </c>
      <c r="I29" s="113">
        <v>1325.3910000000001</v>
      </c>
      <c r="J29" s="113">
        <v>1382.6210000000001</v>
      </c>
      <c r="K29" s="113">
        <v>1392.6570000000002</v>
      </c>
      <c r="L29" s="113">
        <v>2514.0920000000001</v>
      </c>
      <c r="M29" s="113">
        <v>2534.4829999999997</v>
      </c>
      <c r="N29" s="113">
        <v>2604.768</v>
      </c>
      <c r="O29" s="113">
        <v>2722.2129999999997</v>
      </c>
      <c r="P29" s="113">
        <v>2779.7539999999999</v>
      </c>
      <c r="Q29" s="113">
        <v>2794.1390000000001</v>
      </c>
      <c r="R29" s="113">
        <v>3425.2310000000002</v>
      </c>
      <c r="S29" s="113">
        <v>3432.0619999999999</v>
      </c>
      <c r="T29" s="113">
        <f t="shared" ref="T29:AS29" si="3">SUM(T30:T34)</f>
        <v>3431.0569999999998</v>
      </c>
      <c r="U29" s="113">
        <f t="shared" si="3"/>
        <v>2805.47</v>
      </c>
      <c r="V29" s="113">
        <f t="shared" si="3"/>
        <v>2777.2189999999996</v>
      </c>
      <c r="W29" s="113">
        <f t="shared" si="3"/>
        <v>3025.6689999999999</v>
      </c>
      <c r="X29" s="113">
        <f t="shared" si="3"/>
        <v>3013.7009999999996</v>
      </c>
      <c r="Y29" s="113">
        <f t="shared" si="3"/>
        <v>2988.5889999999999</v>
      </c>
      <c r="Z29" s="113">
        <f t="shared" si="3"/>
        <v>2945.241</v>
      </c>
      <c r="AA29" s="113">
        <f t="shared" si="3"/>
        <v>2954.2569999999996</v>
      </c>
      <c r="AB29" s="113">
        <f t="shared" si="3"/>
        <v>2944.9009999999998</v>
      </c>
      <c r="AC29" s="113">
        <f t="shared" si="3"/>
        <v>3049.8049999999994</v>
      </c>
      <c r="AD29" s="113">
        <f t="shared" si="3"/>
        <v>3037.58</v>
      </c>
      <c r="AE29" s="113">
        <f t="shared" si="3"/>
        <v>4135.8469999999998</v>
      </c>
      <c r="AF29" s="113">
        <f t="shared" si="3"/>
        <v>4168.0829999999996</v>
      </c>
      <c r="AG29" s="113">
        <f t="shared" si="3"/>
        <v>4153.6659999999993</v>
      </c>
      <c r="AH29" s="113">
        <f t="shared" si="3"/>
        <v>4134.4269999999997</v>
      </c>
      <c r="AI29" s="113">
        <f t="shared" si="3"/>
        <v>4205.13</v>
      </c>
      <c r="AJ29" s="113">
        <f t="shared" si="3"/>
        <v>4190.7309999999998</v>
      </c>
      <c r="AK29" s="113">
        <f t="shared" si="3"/>
        <v>4170.7440000000006</v>
      </c>
      <c r="AL29" s="113">
        <f t="shared" si="3"/>
        <v>3663.9270000000001</v>
      </c>
      <c r="AM29" s="113">
        <f t="shared" si="3"/>
        <v>3692.9769999999999</v>
      </c>
      <c r="AN29" s="113">
        <f t="shared" si="3"/>
        <v>3585.5819999999994</v>
      </c>
      <c r="AO29" s="113">
        <f t="shared" si="3"/>
        <v>3255.4789999999998</v>
      </c>
      <c r="AP29" s="113">
        <f t="shared" si="3"/>
        <v>3246.625</v>
      </c>
      <c r="AQ29" s="113">
        <f t="shared" si="3"/>
        <v>3366.105</v>
      </c>
      <c r="AR29" s="113">
        <f t="shared" si="3"/>
        <v>3365.8040000000001</v>
      </c>
      <c r="AS29" s="113">
        <f t="shared" si="3"/>
        <v>3363.9829999999997</v>
      </c>
      <c r="AT29" s="113">
        <v>3367.1779999999999</v>
      </c>
      <c r="AU29" s="113">
        <v>3357.0549999999998</v>
      </c>
      <c r="AV29" s="113">
        <v>1588.298</v>
      </c>
      <c r="AW29" s="113">
        <v>1882.4289999999999</v>
      </c>
      <c r="AX29" s="113">
        <v>1875.1460000000002</v>
      </c>
      <c r="AY29" s="113">
        <v>1815.884</v>
      </c>
      <c r="AZ29" s="113">
        <v>1813.4950000000001</v>
      </c>
      <c r="BA29" s="113">
        <f>SUM(BA30:BA34)</f>
        <v>162.52099999999999</v>
      </c>
    </row>
    <row r="30" spans="1:53" ht="15" customHeight="1" x14ac:dyDescent="0.3">
      <c r="A30" t="s">
        <v>163</v>
      </c>
      <c r="B30" s="114" t="str">
        <f>IF('Sumário | Summary'!P1=1,"Investimentos","Investments")</f>
        <v>Investimentos</v>
      </c>
      <c r="C30" s="115">
        <v>502.70299999999997</v>
      </c>
      <c r="D30" s="115">
        <v>509.71199999999999</v>
      </c>
      <c r="E30" s="115">
        <v>488.52699999999999</v>
      </c>
      <c r="F30" s="115">
        <v>546.95699999999999</v>
      </c>
      <c r="G30" s="115">
        <v>608.90700000000004</v>
      </c>
      <c r="H30" s="115">
        <v>694.72799999999995</v>
      </c>
      <c r="I30" s="115">
        <v>705.49699999999996</v>
      </c>
      <c r="J30" s="115">
        <v>763.86699999999996</v>
      </c>
      <c r="K30" s="115">
        <v>774.5</v>
      </c>
      <c r="L30" s="115">
        <v>793.01300000000003</v>
      </c>
      <c r="M30" s="115">
        <v>818.78399999999999</v>
      </c>
      <c r="N30" s="115">
        <v>892.4</v>
      </c>
      <c r="O30" s="116">
        <v>927.947</v>
      </c>
      <c r="P30" s="115">
        <v>991.15800000000002</v>
      </c>
      <c r="Q30" s="115">
        <v>1026.3620000000001</v>
      </c>
      <c r="R30" s="115">
        <v>1067.5719999999999</v>
      </c>
      <c r="S30" s="115">
        <v>1081.873</v>
      </c>
      <c r="T30" s="115">
        <v>1089.1679999999999</v>
      </c>
      <c r="U30" s="117">
        <v>196.68100000000001</v>
      </c>
      <c r="V30" s="117">
        <v>173.374</v>
      </c>
      <c r="W30" s="115">
        <v>174.62200000000001</v>
      </c>
      <c r="X30" s="115">
        <v>209.22900000000001</v>
      </c>
      <c r="Y30" s="115">
        <v>161.37899999999999</v>
      </c>
      <c r="Z30" s="115">
        <v>162.38999999999999</v>
      </c>
      <c r="AA30" s="115">
        <v>159.673</v>
      </c>
      <c r="AB30" s="115">
        <v>161.58099999999999</v>
      </c>
      <c r="AC30" s="115">
        <v>181.36500000000001</v>
      </c>
      <c r="AD30" s="115">
        <v>180.82900000000001</v>
      </c>
      <c r="AE30" s="115">
        <v>227.55600000000001</v>
      </c>
      <c r="AF30" s="115">
        <v>227.84299999999999</v>
      </c>
      <c r="AG30" s="115">
        <v>228.899</v>
      </c>
      <c r="AH30" s="115">
        <v>227.232</v>
      </c>
      <c r="AI30" s="115">
        <v>231.583</v>
      </c>
      <c r="AJ30" s="115">
        <v>233.34700000000001</v>
      </c>
      <c r="AK30" s="115">
        <v>229.78200000000001</v>
      </c>
      <c r="AL30" s="115">
        <v>233.505</v>
      </c>
      <c r="AM30" s="115">
        <v>437.35500000000002</v>
      </c>
      <c r="AN30" s="115">
        <v>440.589</v>
      </c>
      <c r="AO30" s="117">
        <v>123.499</v>
      </c>
      <c r="AP30" s="115">
        <v>129.38</v>
      </c>
      <c r="AQ30" s="115">
        <v>172.691</v>
      </c>
      <c r="AR30" s="115">
        <v>179.1</v>
      </c>
      <c r="AS30" s="115">
        <v>182.42400000000001</v>
      </c>
      <c r="AT30" s="115">
        <v>186.346</v>
      </c>
      <c r="AU30" s="115">
        <v>197.76499999999999</v>
      </c>
      <c r="AV30" s="115">
        <v>200.404</v>
      </c>
      <c r="AW30" s="115">
        <v>202.386</v>
      </c>
      <c r="AX30" s="115">
        <v>203.80699999999999</v>
      </c>
      <c r="AY30" s="115">
        <v>152.63</v>
      </c>
      <c r="AZ30" s="115">
        <v>157.25</v>
      </c>
      <c r="BA30" s="115">
        <v>162.52099999999999</v>
      </c>
    </row>
    <row r="31" spans="1:53" ht="15" customHeight="1" x14ac:dyDescent="0.3">
      <c r="A31" t="s">
        <v>164</v>
      </c>
      <c r="B31" s="114" t="str">
        <f>IF('Sumário | Summary'!P1=1,"Propriedades para investimento","Investment properties")</f>
        <v>Propriedades para investimento</v>
      </c>
      <c r="C31" s="115">
        <v>609.55999999999995</v>
      </c>
      <c r="D31" s="115">
        <v>615.524</v>
      </c>
      <c r="E31" s="115">
        <v>619.73299999999995</v>
      </c>
      <c r="F31" s="115">
        <v>630.03</v>
      </c>
      <c r="G31" s="115">
        <v>618.54100000000005</v>
      </c>
      <c r="H31" s="115">
        <v>1623.5650000000001</v>
      </c>
      <c r="I31" s="115">
        <v>616.84500000000003</v>
      </c>
      <c r="J31" s="115">
        <v>616.41</v>
      </c>
      <c r="K31" s="115">
        <v>615.71500000000003</v>
      </c>
      <c r="L31" s="115">
        <v>1718.663</v>
      </c>
      <c r="M31" s="115">
        <v>1712.999</v>
      </c>
      <c r="N31" s="115">
        <v>1708.3430000000001</v>
      </c>
      <c r="O31" s="116">
        <v>1790.2619999999999</v>
      </c>
      <c r="P31" s="115">
        <v>1785.384</v>
      </c>
      <c r="Q31" s="115">
        <v>1764.5619999999999</v>
      </c>
      <c r="R31" s="115">
        <v>2354.366</v>
      </c>
      <c r="S31" s="115">
        <v>2346.415</v>
      </c>
      <c r="T31" s="115">
        <v>2337.8580000000002</v>
      </c>
      <c r="U31" s="117">
        <v>2600.846</v>
      </c>
      <c r="V31" s="117">
        <v>2594.0709999999999</v>
      </c>
      <c r="W31" s="115">
        <v>2849.7860000000001</v>
      </c>
      <c r="X31" s="115">
        <v>2802.9989999999998</v>
      </c>
      <c r="Y31" s="115">
        <v>2826.364</v>
      </c>
      <c r="Z31" s="115">
        <v>2778.5160000000001</v>
      </c>
      <c r="AA31" s="115">
        <v>2789.8829999999998</v>
      </c>
      <c r="AB31" s="115">
        <v>2778.6439999999998</v>
      </c>
      <c r="AC31" s="115">
        <v>2862.3209999999999</v>
      </c>
      <c r="AD31" s="115">
        <v>2853.8040000000001</v>
      </c>
      <c r="AE31" s="115">
        <v>3898.1869999999999</v>
      </c>
      <c r="AF31" s="115">
        <v>3931.0889999999999</v>
      </c>
      <c r="AG31" s="115">
        <v>3915.4879999999998</v>
      </c>
      <c r="AH31" s="115">
        <v>3896.7420000000002</v>
      </c>
      <c r="AI31" s="115">
        <v>3961.5749999999998</v>
      </c>
      <c r="AJ31" s="115">
        <v>3944.6289999999999</v>
      </c>
      <c r="AK31" s="115">
        <v>3927.71</v>
      </c>
      <c r="AL31" s="115">
        <v>3417.328</v>
      </c>
      <c r="AM31" s="115">
        <v>3242.8440000000001</v>
      </c>
      <c r="AN31" s="115">
        <v>3132.0659999999998</v>
      </c>
      <c r="AO31" s="117">
        <v>3119.038</v>
      </c>
      <c r="AP31" s="115">
        <v>3104.3389999999999</v>
      </c>
      <c r="AQ31" s="115">
        <v>3179.567</v>
      </c>
      <c r="AR31" s="115">
        <v>3173.2150000000001</v>
      </c>
      <c r="AS31" s="115">
        <v>3168.3939999999998</v>
      </c>
      <c r="AT31" s="115">
        <v>3166.165</v>
      </c>
      <c r="AU31" s="115">
        <v>3147.6610000000001</v>
      </c>
      <c r="AV31" s="115">
        <v>1382.193</v>
      </c>
      <c r="AW31" s="115">
        <v>1670.473</v>
      </c>
      <c r="AX31" s="115">
        <v>1662.6880000000001</v>
      </c>
      <c r="AY31" s="115">
        <v>1654.808</v>
      </c>
      <c r="AZ31" s="115">
        <v>1647.8720000000001</v>
      </c>
      <c r="BA31" s="115">
        <v>0</v>
      </c>
    </row>
    <row r="32" spans="1:53" ht="15" customHeight="1" x14ac:dyDescent="0.3">
      <c r="A32" t="s">
        <v>165</v>
      </c>
      <c r="B32" s="114" t="str">
        <f>IF('Sumário | Summary'!P1=1,"Imobilizado","Fixed Assets")</f>
        <v>Imobilizado</v>
      </c>
      <c r="C32" s="115">
        <v>1.84</v>
      </c>
      <c r="D32" s="115">
        <v>1.871</v>
      </c>
      <c r="E32" s="115">
        <v>1.8919999999999999</v>
      </c>
      <c r="F32" s="115">
        <v>2.0249999999999999</v>
      </c>
      <c r="G32" s="115">
        <v>2.044</v>
      </c>
      <c r="H32" s="115">
        <v>2.6070000000000002</v>
      </c>
      <c r="I32" s="115">
        <v>2.6190000000000002</v>
      </c>
      <c r="J32" s="115">
        <v>2.2709999999999999</v>
      </c>
      <c r="K32" s="115">
        <v>2.3660000000000001</v>
      </c>
      <c r="L32" s="115">
        <v>2.3439999999999999</v>
      </c>
      <c r="M32" s="115">
        <v>2.5150000000000001</v>
      </c>
      <c r="N32" s="115">
        <v>3.85</v>
      </c>
      <c r="O32" s="116">
        <v>3.8340000000000001</v>
      </c>
      <c r="P32" s="115">
        <v>3.0760000000000001</v>
      </c>
      <c r="Q32" s="115">
        <v>3.0830000000000002</v>
      </c>
      <c r="R32" s="115">
        <v>3.1640000000000001</v>
      </c>
      <c r="S32" s="115">
        <v>3.6429999999999998</v>
      </c>
      <c r="T32" s="115">
        <v>3.915</v>
      </c>
      <c r="U32" s="117">
        <v>7.7939999999999996</v>
      </c>
      <c r="V32" s="117">
        <v>9.2690000000000001</v>
      </c>
      <c r="W32" s="115">
        <v>0.78200000000000003</v>
      </c>
      <c r="X32" s="115">
        <v>0.94499999999999995</v>
      </c>
      <c r="Y32" s="115">
        <v>0.377</v>
      </c>
      <c r="Z32" s="115">
        <v>0.38500000000000001</v>
      </c>
      <c r="AA32" s="115">
        <v>0.70199999999999996</v>
      </c>
      <c r="AB32" s="115">
        <v>0.65900000000000003</v>
      </c>
      <c r="AC32" s="115">
        <v>2.1150000000000002</v>
      </c>
      <c r="AD32" s="115">
        <v>2.468</v>
      </c>
      <c r="AE32" s="115">
        <v>8.9420000000000002</v>
      </c>
      <c r="AF32" s="115">
        <v>8.7530000000000001</v>
      </c>
      <c r="AG32" s="115">
        <v>8.4589999999999996</v>
      </c>
      <c r="AH32" s="115">
        <v>8.173</v>
      </c>
      <c r="AI32" s="115">
        <v>7.899</v>
      </c>
      <c r="AJ32" s="115">
        <v>7.6</v>
      </c>
      <c r="AK32" s="115">
        <v>7.3040000000000003</v>
      </c>
      <c r="AL32" s="115">
        <v>6.3860000000000001</v>
      </c>
      <c r="AM32" s="115">
        <v>5.7110000000000003</v>
      </c>
      <c r="AN32" s="115">
        <v>5.4409999999999998</v>
      </c>
      <c r="AO32" s="117">
        <v>5.1829999999999998</v>
      </c>
      <c r="AP32" s="115">
        <v>4.9329999999999998</v>
      </c>
      <c r="AQ32" s="115">
        <v>4.6829999999999998</v>
      </c>
      <c r="AR32" s="115">
        <v>4.4359999999999999</v>
      </c>
      <c r="AS32" s="115">
        <v>4.1859999999999999</v>
      </c>
      <c r="AT32" s="115">
        <v>4.6689999999999996</v>
      </c>
      <c r="AU32" s="115">
        <v>4.4329999999999998</v>
      </c>
      <c r="AV32" s="115">
        <v>4.0730000000000004</v>
      </c>
      <c r="AW32" s="115">
        <v>4.1390000000000002</v>
      </c>
      <c r="AX32" s="115">
        <v>3.5110000000000001</v>
      </c>
      <c r="AY32" s="115">
        <v>3.2589999999999999</v>
      </c>
      <c r="AZ32" s="115">
        <v>3.0070000000000001</v>
      </c>
      <c r="BA32" s="115">
        <v>0</v>
      </c>
    </row>
    <row r="33" spans="1:53" ht="15" customHeight="1" x14ac:dyDescent="0.3">
      <c r="A33" t="s">
        <v>166</v>
      </c>
      <c r="B33" s="114" t="str">
        <f>IF('Sumário | Summary'!P1=1,"Intangíveis","Intangible")</f>
        <v>Intangíveis</v>
      </c>
      <c r="C33" s="115">
        <v>1E-3</v>
      </c>
      <c r="D33" s="115">
        <v>1E-3</v>
      </c>
      <c r="E33" s="115">
        <v>1</v>
      </c>
      <c r="F33" s="115">
        <v>0</v>
      </c>
      <c r="G33" s="115">
        <v>0</v>
      </c>
      <c r="H33" s="115">
        <v>0.43</v>
      </c>
      <c r="I33" s="115">
        <v>0.43</v>
      </c>
      <c r="J33" s="115">
        <v>7.2999999999999995E-2</v>
      </c>
      <c r="K33" s="115">
        <v>7.5999999999999998E-2</v>
      </c>
      <c r="L33" s="115">
        <v>7.1999999999999995E-2</v>
      </c>
      <c r="M33" s="115">
        <v>0.185</v>
      </c>
      <c r="N33" s="115">
        <v>0.17499999999999999</v>
      </c>
      <c r="O33" s="116">
        <v>0.17</v>
      </c>
      <c r="P33" s="115">
        <v>0.13600000000000001</v>
      </c>
      <c r="Q33" s="115">
        <v>0.13200000000000001</v>
      </c>
      <c r="R33" s="115">
        <v>0.129</v>
      </c>
      <c r="S33" s="115">
        <v>0.13100000000000001</v>
      </c>
      <c r="T33" s="115">
        <v>0.11600000000000001</v>
      </c>
      <c r="U33" s="117">
        <v>0.14899999999999999</v>
      </c>
      <c r="V33" s="117">
        <v>0.505</v>
      </c>
      <c r="W33" s="115">
        <v>0.47899999999999998</v>
      </c>
      <c r="X33" s="115">
        <v>0.52800000000000002</v>
      </c>
      <c r="Y33" s="115">
        <v>0.46899999999999997</v>
      </c>
      <c r="Z33" s="115">
        <v>3.95</v>
      </c>
      <c r="AA33" s="115">
        <v>3.9990000000000001</v>
      </c>
      <c r="AB33" s="115">
        <v>4.0170000000000003</v>
      </c>
      <c r="AC33" s="115">
        <v>4.0039999999999996</v>
      </c>
      <c r="AD33" s="115">
        <v>0.47899999999999998</v>
      </c>
      <c r="AE33" s="115">
        <v>1.1619999999999999</v>
      </c>
      <c r="AF33" s="115">
        <v>0.39800000000000002</v>
      </c>
      <c r="AG33" s="115">
        <v>0.82</v>
      </c>
      <c r="AH33" s="115">
        <v>2.2799999999999998</v>
      </c>
      <c r="AI33" s="115">
        <v>4.0730000000000004</v>
      </c>
      <c r="AJ33" s="115">
        <v>5.1550000000000002</v>
      </c>
      <c r="AK33" s="115">
        <v>5.9480000000000004</v>
      </c>
      <c r="AL33" s="115">
        <v>6.7080000000000002</v>
      </c>
      <c r="AM33" s="115">
        <v>7.0670000000000002</v>
      </c>
      <c r="AN33" s="115">
        <v>7.4859999999999998</v>
      </c>
      <c r="AO33" s="117">
        <v>7.7590000000000003</v>
      </c>
      <c r="AP33" s="115">
        <v>7.9729999999999999</v>
      </c>
      <c r="AQ33" s="115">
        <v>9.1639999999999997</v>
      </c>
      <c r="AR33" s="115">
        <v>9.0530000000000008</v>
      </c>
      <c r="AS33" s="115">
        <v>8.9789999999999992</v>
      </c>
      <c r="AT33" s="115">
        <v>9.9979999999999993</v>
      </c>
      <c r="AU33" s="115">
        <v>7.1959999999999997</v>
      </c>
      <c r="AV33" s="115">
        <v>1.6279999999999999</v>
      </c>
      <c r="AW33" s="115">
        <v>5.431</v>
      </c>
      <c r="AX33" s="115">
        <v>5.14</v>
      </c>
      <c r="AY33" s="115">
        <v>5.1870000000000003</v>
      </c>
      <c r="AZ33" s="115">
        <v>5.3659999999999997</v>
      </c>
      <c r="BA33" s="115">
        <v>0</v>
      </c>
    </row>
    <row r="34" spans="1:53" ht="15" customHeight="1" x14ac:dyDescent="0.3">
      <c r="A34" t="s">
        <v>167</v>
      </c>
      <c r="B34" s="114" t="str">
        <f>IF('Sumário | Summary'!P1=1,"Outros Investimentos","Other Investments")</f>
        <v>Outros Investimentos</v>
      </c>
      <c r="C34" s="115">
        <v>0</v>
      </c>
      <c r="D34" s="115">
        <v>0</v>
      </c>
      <c r="E34" s="115">
        <v>0</v>
      </c>
      <c r="F34" s="115">
        <v>0</v>
      </c>
      <c r="G34" s="115">
        <v>0</v>
      </c>
      <c r="H34" s="115">
        <v>0</v>
      </c>
      <c r="I34" s="115">
        <v>0</v>
      </c>
      <c r="J34" s="115">
        <v>0</v>
      </c>
      <c r="K34" s="115">
        <v>0</v>
      </c>
      <c r="L34" s="115"/>
      <c r="M34" s="115">
        <v>0</v>
      </c>
      <c r="N34" s="115">
        <v>0</v>
      </c>
      <c r="O34" s="116">
        <v>0</v>
      </c>
      <c r="P34" s="115">
        <v>0</v>
      </c>
      <c r="Q34" s="115">
        <v>0</v>
      </c>
      <c r="R34" s="115">
        <v>0</v>
      </c>
      <c r="S34" s="115">
        <v>0</v>
      </c>
      <c r="T34" s="115">
        <v>0</v>
      </c>
      <c r="U34" s="115">
        <v>0</v>
      </c>
      <c r="V34" s="115">
        <v>0</v>
      </c>
      <c r="W34" s="115">
        <v>0</v>
      </c>
      <c r="X34" s="115">
        <v>0</v>
      </c>
      <c r="Y34" s="115">
        <v>0</v>
      </c>
      <c r="Z34" s="115">
        <v>0</v>
      </c>
      <c r="AA34" s="115">
        <v>0</v>
      </c>
      <c r="AB34" s="115">
        <v>0</v>
      </c>
      <c r="AC34" s="115">
        <v>0</v>
      </c>
      <c r="AD34" s="115">
        <v>0</v>
      </c>
      <c r="AE34" s="115">
        <v>0</v>
      </c>
      <c r="AF34" s="115">
        <v>0</v>
      </c>
      <c r="AG34" s="115">
        <v>0</v>
      </c>
      <c r="AH34" s="115">
        <v>0</v>
      </c>
      <c r="AI34" s="115">
        <v>0</v>
      </c>
      <c r="AJ34" s="115">
        <v>0</v>
      </c>
      <c r="AK34" s="115">
        <v>0</v>
      </c>
      <c r="AL34" s="115">
        <v>0</v>
      </c>
      <c r="AM34" s="115">
        <v>0</v>
      </c>
      <c r="AN34" s="115">
        <v>0</v>
      </c>
      <c r="AO34" s="117">
        <v>0</v>
      </c>
      <c r="AP34" s="115">
        <v>0</v>
      </c>
      <c r="AQ34" s="115">
        <v>0</v>
      </c>
      <c r="AR34" s="115">
        <v>0</v>
      </c>
      <c r="AS34" s="115">
        <v>0</v>
      </c>
      <c r="AT34" s="115">
        <v>0</v>
      </c>
      <c r="AU34" s="115">
        <v>0</v>
      </c>
      <c r="AV34" s="115">
        <v>0</v>
      </c>
      <c r="AW34" s="115">
        <v>0</v>
      </c>
      <c r="AX34" s="115">
        <v>0</v>
      </c>
      <c r="AY34" s="115">
        <v>0</v>
      </c>
      <c r="AZ34" s="115">
        <v>0</v>
      </c>
      <c r="BA34" s="115">
        <v>0</v>
      </c>
    </row>
    <row r="35" spans="1:53" ht="14.25" customHeight="1" x14ac:dyDescent="0.3">
      <c r="A35" t="s">
        <v>168</v>
      </c>
      <c r="B35" s="119" t="str">
        <f>IF('Sumário | Summary'!P1=1,"PASSIVO","Liabilities")</f>
        <v>PASSIVO</v>
      </c>
      <c r="C35" s="113">
        <v>2143.2750000000001</v>
      </c>
      <c r="D35" s="113">
        <v>2385.2370000000001</v>
      </c>
      <c r="E35" s="113">
        <v>2459.165</v>
      </c>
      <c r="F35" s="113">
        <v>2762.8703000000005</v>
      </c>
      <c r="G35" s="113">
        <v>3123.3249999999998</v>
      </c>
      <c r="H35" s="113">
        <v>3593.3210000000004</v>
      </c>
      <c r="I35" s="113">
        <v>3756.0350000000003</v>
      </c>
      <c r="J35" s="113">
        <v>3892.1059999999998</v>
      </c>
      <c r="K35" s="113">
        <v>4353.4920000000002</v>
      </c>
      <c r="L35" s="113">
        <v>4293.8330000000005</v>
      </c>
      <c r="M35" s="113">
        <v>4310.936999999999</v>
      </c>
      <c r="N35" s="113">
        <v>4839.7110000000002</v>
      </c>
      <c r="O35" s="113">
        <v>4856.1530000000002</v>
      </c>
      <c r="P35" s="113">
        <v>4656.2620000000006</v>
      </c>
      <c r="Q35" s="113">
        <v>4640.3810000000003</v>
      </c>
      <c r="R35" s="113">
        <v>4720.8609999999999</v>
      </c>
      <c r="S35" s="113">
        <v>4832.8990000000003</v>
      </c>
      <c r="T35" s="113">
        <f t="shared" ref="T35:AS35" si="4">T36+T53</f>
        <v>2636.91</v>
      </c>
      <c r="U35" s="113">
        <f t="shared" si="4"/>
        <v>2681.4789999999998</v>
      </c>
      <c r="V35" s="113">
        <f t="shared" si="4"/>
        <v>1976.1290000000001</v>
      </c>
      <c r="W35" s="113">
        <f t="shared" si="4"/>
        <v>1760.9649999999999</v>
      </c>
      <c r="X35" s="113">
        <f t="shared" si="4"/>
        <v>1947.8450000000003</v>
      </c>
      <c r="Y35" s="113">
        <f t="shared" si="4"/>
        <v>1866.0049999999999</v>
      </c>
      <c r="Z35" s="113">
        <f t="shared" si="4"/>
        <v>1842.1949999999997</v>
      </c>
      <c r="AA35" s="113">
        <f t="shared" si="4"/>
        <v>1813.9070000000002</v>
      </c>
      <c r="AB35" s="113">
        <f t="shared" si="4"/>
        <v>1737.778</v>
      </c>
      <c r="AC35" s="113">
        <f t="shared" si="4"/>
        <v>2093.3980000000001</v>
      </c>
      <c r="AD35" s="113">
        <f t="shared" si="4"/>
        <v>1834.0809999999999</v>
      </c>
      <c r="AE35" s="113">
        <f t="shared" si="4"/>
        <v>2148.8109999999997</v>
      </c>
      <c r="AF35" s="113">
        <f t="shared" si="4"/>
        <v>2046.433</v>
      </c>
      <c r="AG35" s="113">
        <f t="shared" si="4"/>
        <v>2034.6490000000001</v>
      </c>
      <c r="AH35" s="113">
        <f t="shared" si="4"/>
        <v>1971.6940000000004</v>
      </c>
      <c r="AI35" s="113">
        <f t="shared" si="4"/>
        <v>1984.7279999999998</v>
      </c>
      <c r="AJ35" s="113">
        <f t="shared" si="4"/>
        <v>1891.38</v>
      </c>
      <c r="AK35" s="113">
        <f t="shared" si="4"/>
        <v>2200.3119999999999</v>
      </c>
      <c r="AL35" s="113">
        <f t="shared" si="4"/>
        <v>2154.2239999999997</v>
      </c>
      <c r="AM35" s="113">
        <f t="shared" si="4"/>
        <v>2118.3890000000001</v>
      </c>
      <c r="AN35" s="113">
        <f t="shared" si="4"/>
        <v>1916.3680000000002</v>
      </c>
      <c r="AO35" s="113">
        <f t="shared" si="4"/>
        <v>1755.5079999999998</v>
      </c>
      <c r="AP35" s="113">
        <f t="shared" si="4"/>
        <v>1512.4639999999997</v>
      </c>
      <c r="AQ35" s="113">
        <f t="shared" si="4"/>
        <v>1500.6030000000001</v>
      </c>
      <c r="AR35" s="113">
        <f t="shared" si="4"/>
        <v>1492.9369999999999</v>
      </c>
      <c r="AS35" s="113">
        <f t="shared" si="4"/>
        <v>1461.2550000000001</v>
      </c>
      <c r="AT35" s="113">
        <v>1466.8850000000002</v>
      </c>
      <c r="AU35" s="113">
        <v>1439.0910000000001</v>
      </c>
      <c r="AV35" s="113">
        <v>1725.394</v>
      </c>
      <c r="AW35" s="113">
        <v>1606.9739999999997</v>
      </c>
      <c r="AX35" s="113">
        <v>1309.7739999999999</v>
      </c>
      <c r="AY35" s="113">
        <v>1307.328</v>
      </c>
      <c r="AZ35" s="113">
        <v>1313.251</v>
      </c>
      <c r="BA35" s="113">
        <f>BA36+BA53</f>
        <v>3.7719999999999998</v>
      </c>
    </row>
    <row r="36" spans="1:53" ht="15" customHeight="1" x14ac:dyDescent="0.3">
      <c r="A36" t="s">
        <v>169</v>
      </c>
      <c r="B36" s="24" t="str">
        <f>IF('Sumário | Summary'!P1=1,"Passivo Circulante","Current Liabilities")</f>
        <v>Passivo Circulante</v>
      </c>
      <c r="C36" s="113">
        <v>254.89200000000002</v>
      </c>
      <c r="D36" s="113">
        <v>290.43800000000005</v>
      </c>
      <c r="E36" s="113">
        <v>255.46399999999997</v>
      </c>
      <c r="F36" s="113">
        <v>403.50729999999993</v>
      </c>
      <c r="G36" s="113">
        <v>455.14499999999998</v>
      </c>
      <c r="H36" s="113">
        <v>384.15200000000004</v>
      </c>
      <c r="I36" s="113">
        <v>345.42800000000011</v>
      </c>
      <c r="J36" s="113">
        <v>302.649</v>
      </c>
      <c r="K36" s="113">
        <v>406.78899999999999</v>
      </c>
      <c r="L36" s="113">
        <v>469.82199999999995</v>
      </c>
      <c r="M36" s="113">
        <v>470.23599999999999</v>
      </c>
      <c r="N36" s="113">
        <v>478.66100000000006</v>
      </c>
      <c r="O36" s="113">
        <v>516.8685999999999</v>
      </c>
      <c r="P36" s="113">
        <v>569.45339999999999</v>
      </c>
      <c r="Q36" s="113">
        <v>596.21199999999999</v>
      </c>
      <c r="R36" s="113">
        <v>570.94299999999998</v>
      </c>
      <c r="S36" s="113">
        <v>511.9276000000001</v>
      </c>
      <c r="T36" s="113">
        <f t="shared" ref="T36:AS36" si="5">SUM(T37:T52)</f>
        <v>481.298</v>
      </c>
      <c r="U36" s="113">
        <f t="shared" si="5"/>
        <v>595.1869999999999</v>
      </c>
      <c r="V36" s="113">
        <f t="shared" si="5"/>
        <v>414.827</v>
      </c>
      <c r="W36" s="113">
        <f t="shared" si="5"/>
        <v>331.27899999999994</v>
      </c>
      <c r="X36" s="113">
        <f t="shared" si="5"/>
        <v>354.97500000000008</v>
      </c>
      <c r="Y36" s="113">
        <f t="shared" si="5"/>
        <v>306.03799999999995</v>
      </c>
      <c r="Z36" s="113">
        <f t="shared" si="5"/>
        <v>404.00099999999998</v>
      </c>
      <c r="AA36" s="113">
        <f t="shared" si="5"/>
        <v>366.16800000000006</v>
      </c>
      <c r="AB36" s="113">
        <f t="shared" si="5"/>
        <v>354.24399999999997</v>
      </c>
      <c r="AC36" s="113">
        <f t="shared" si="5"/>
        <v>425.73599999999999</v>
      </c>
      <c r="AD36" s="113">
        <f t="shared" si="5"/>
        <v>291.95400000000001</v>
      </c>
      <c r="AE36" s="113">
        <f t="shared" si="5"/>
        <v>259.22999999999996</v>
      </c>
      <c r="AF36" s="113">
        <f t="shared" si="5"/>
        <v>210.96599999999998</v>
      </c>
      <c r="AG36" s="113">
        <f t="shared" si="5"/>
        <v>199.06799999999998</v>
      </c>
      <c r="AH36" s="113">
        <f t="shared" si="5"/>
        <v>184.48699999999997</v>
      </c>
      <c r="AI36" s="113">
        <f t="shared" si="5"/>
        <v>208.03399999999996</v>
      </c>
      <c r="AJ36" s="113">
        <f t="shared" si="5"/>
        <v>185.55499999999995</v>
      </c>
      <c r="AK36" s="113">
        <f t="shared" si="5"/>
        <v>289.68399999999997</v>
      </c>
      <c r="AL36" s="113">
        <f t="shared" si="5"/>
        <v>288.411</v>
      </c>
      <c r="AM36" s="113">
        <f t="shared" si="5"/>
        <v>331.23200000000003</v>
      </c>
      <c r="AN36" s="113">
        <f t="shared" si="5"/>
        <v>201.827</v>
      </c>
      <c r="AO36" s="113">
        <f t="shared" si="5"/>
        <v>214.39</v>
      </c>
      <c r="AP36" s="113">
        <f t="shared" si="5"/>
        <v>109.79299999999999</v>
      </c>
      <c r="AQ36" s="113">
        <f t="shared" si="5"/>
        <v>94.549000000000007</v>
      </c>
      <c r="AR36" s="113">
        <f t="shared" si="5"/>
        <v>82.95</v>
      </c>
      <c r="AS36" s="113">
        <f t="shared" si="5"/>
        <v>100.047</v>
      </c>
      <c r="AT36" s="113">
        <v>107.726</v>
      </c>
      <c r="AU36" s="113">
        <v>78.88300000000001</v>
      </c>
      <c r="AV36" s="113">
        <v>438.84799999999996</v>
      </c>
      <c r="AW36" s="113">
        <v>321.57799999999997</v>
      </c>
      <c r="AX36" s="113">
        <v>103.15400000000002</v>
      </c>
      <c r="AY36" s="113">
        <v>220.58899999999997</v>
      </c>
      <c r="AZ36" s="113">
        <v>220.03799999999995</v>
      </c>
      <c r="BA36" s="113">
        <f>SUM(BA37:BA52)</f>
        <v>0</v>
      </c>
    </row>
    <row r="37" spans="1:53" ht="15" customHeight="1" x14ac:dyDescent="0.3">
      <c r="A37" t="s">
        <v>170</v>
      </c>
      <c r="B37" s="114" t="str">
        <f>IF('Sumário | Summary'!P1=1,"Empréstimos e financiamentos","Loans and Financing")</f>
        <v>Empréstimos e financiamentos</v>
      </c>
      <c r="C37" s="115">
        <v>18.065999999999999</v>
      </c>
      <c r="D37" s="115">
        <v>19.396000000000001</v>
      </c>
      <c r="E37" s="115">
        <v>32.094999999999999</v>
      </c>
      <c r="F37" s="115">
        <v>47.648299999999999</v>
      </c>
      <c r="G37" s="115">
        <v>63.804000000000002</v>
      </c>
      <c r="H37" s="115">
        <v>69.914000000000001</v>
      </c>
      <c r="I37" s="115">
        <v>61.176000000000002</v>
      </c>
      <c r="J37" s="115">
        <v>110.876</v>
      </c>
      <c r="K37" s="115">
        <v>152.02699999999999</v>
      </c>
      <c r="L37" s="115">
        <v>171.24600000000001</v>
      </c>
      <c r="M37" s="115">
        <v>181.988</v>
      </c>
      <c r="N37" s="115">
        <v>207.28800000000001</v>
      </c>
      <c r="O37" s="116">
        <v>208.04</v>
      </c>
      <c r="P37" s="115">
        <v>208.541</v>
      </c>
      <c r="Q37" s="115">
        <v>208.33699999999999</v>
      </c>
      <c r="R37" s="115">
        <v>225.51400000000001</v>
      </c>
      <c r="S37" s="115">
        <v>238.17400000000001</v>
      </c>
      <c r="T37" s="115">
        <v>253.31200000000001</v>
      </c>
      <c r="U37" s="115">
        <v>254.375</v>
      </c>
      <c r="V37" s="115">
        <v>72.543999999999997</v>
      </c>
      <c r="W37" s="115">
        <v>70.132000000000005</v>
      </c>
      <c r="X37" s="115">
        <v>74.933999999999997</v>
      </c>
      <c r="Y37" s="115">
        <v>72.441000000000003</v>
      </c>
      <c r="Z37" s="115">
        <v>78.17</v>
      </c>
      <c r="AA37" s="115">
        <v>46.725000000000001</v>
      </c>
      <c r="AB37" s="115">
        <v>55.351999999999997</v>
      </c>
      <c r="AC37" s="115">
        <v>48.021999999999998</v>
      </c>
      <c r="AD37" s="115">
        <v>56.747</v>
      </c>
      <c r="AE37" s="115">
        <v>6.0330000000000004</v>
      </c>
      <c r="AF37" s="115">
        <v>6.51</v>
      </c>
      <c r="AG37" s="115">
        <v>6.6150000000000002</v>
      </c>
      <c r="AH37" s="115">
        <v>6.7450000000000001</v>
      </c>
      <c r="AI37" s="115">
        <v>6.8769999999999998</v>
      </c>
      <c r="AJ37" s="115">
        <v>7.032</v>
      </c>
      <c r="AK37" s="115">
        <v>7.15</v>
      </c>
      <c r="AL37" s="115">
        <v>7.29</v>
      </c>
      <c r="AM37" s="115">
        <v>0</v>
      </c>
      <c r="AN37" s="115">
        <v>0</v>
      </c>
      <c r="AO37" s="117">
        <v>0</v>
      </c>
      <c r="AP37" s="115">
        <v>0</v>
      </c>
      <c r="AQ37" s="115">
        <v>0</v>
      </c>
      <c r="AR37" s="115">
        <v>0</v>
      </c>
      <c r="AS37" s="115">
        <v>0</v>
      </c>
      <c r="AT37" s="115">
        <v>0</v>
      </c>
      <c r="AU37" s="115">
        <v>0</v>
      </c>
      <c r="AV37" s="115">
        <v>0</v>
      </c>
      <c r="AW37" s="115">
        <v>0</v>
      </c>
      <c r="AX37" s="115">
        <v>0</v>
      </c>
      <c r="AY37" s="115">
        <v>0</v>
      </c>
      <c r="AZ37" s="115">
        <v>0</v>
      </c>
      <c r="BA37" s="115">
        <v>0</v>
      </c>
    </row>
    <row r="38" spans="1:53" ht="15" customHeight="1" x14ac:dyDescent="0.3">
      <c r="A38" t="s">
        <v>171</v>
      </c>
      <c r="B38" s="114" t="str">
        <f>IF('Sumário | Summary'!P1=1,"Debêntures","Debentures")</f>
        <v>Debêntures</v>
      </c>
      <c r="C38" s="115">
        <v>63.901000000000003</v>
      </c>
      <c r="D38" s="115">
        <v>64.631</v>
      </c>
      <c r="E38" s="115">
        <v>69.584000000000003</v>
      </c>
      <c r="F38" s="115">
        <v>158.572</v>
      </c>
      <c r="G38" s="115">
        <v>172.21600000000001</v>
      </c>
      <c r="H38" s="115">
        <v>73.468000000000004</v>
      </c>
      <c r="I38" s="115">
        <v>91.123000000000005</v>
      </c>
      <c r="J38" s="115">
        <v>75.933999999999997</v>
      </c>
      <c r="K38" s="115">
        <v>95.284999999999997</v>
      </c>
      <c r="L38" s="115">
        <v>178.577</v>
      </c>
      <c r="M38" s="115">
        <v>199.73500000000001</v>
      </c>
      <c r="N38" s="115">
        <v>181.35499999999999</v>
      </c>
      <c r="O38" s="116">
        <v>201.53399999999999</v>
      </c>
      <c r="P38" s="115">
        <v>258.84500000000003</v>
      </c>
      <c r="Q38" s="115">
        <v>280.23200000000003</v>
      </c>
      <c r="R38" s="115">
        <v>225.2</v>
      </c>
      <c r="S38" s="115">
        <v>152.761</v>
      </c>
      <c r="T38" s="115">
        <v>98.801000000000002</v>
      </c>
      <c r="U38" s="115">
        <v>83.885999999999996</v>
      </c>
      <c r="V38" s="115">
        <v>141.858</v>
      </c>
      <c r="W38" s="115">
        <v>158.46600000000001</v>
      </c>
      <c r="X38" s="115">
        <v>183.84800000000001</v>
      </c>
      <c r="Y38" s="115">
        <v>189.05500000000001</v>
      </c>
      <c r="Z38" s="115">
        <v>255.50200000000001</v>
      </c>
      <c r="AA38" s="115">
        <v>261.06</v>
      </c>
      <c r="AB38" s="115">
        <v>236.60400000000001</v>
      </c>
      <c r="AC38" s="115">
        <v>243.74799999999999</v>
      </c>
      <c r="AD38" s="115">
        <v>120.00700000000001</v>
      </c>
      <c r="AE38" s="115">
        <v>130.49299999999999</v>
      </c>
      <c r="AF38" s="115">
        <v>135.09299999999999</v>
      </c>
      <c r="AG38" s="115">
        <v>126.568</v>
      </c>
      <c r="AH38" s="115">
        <v>121.95399999999999</v>
      </c>
      <c r="AI38" s="115">
        <v>124.669</v>
      </c>
      <c r="AJ38" s="115">
        <v>118.74</v>
      </c>
      <c r="AK38" s="115">
        <v>221.34100000000001</v>
      </c>
      <c r="AL38" s="115">
        <v>221.45099999999999</v>
      </c>
      <c r="AM38" s="115">
        <v>224.50200000000001</v>
      </c>
      <c r="AN38" s="115">
        <v>125.361</v>
      </c>
      <c r="AO38" s="117">
        <v>116.152</v>
      </c>
      <c r="AP38" s="115">
        <v>53.271999999999998</v>
      </c>
      <c r="AQ38" s="115">
        <v>25.273</v>
      </c>
      <c r="AR38" s="115">
        <v>32.351999999999997</v>
      </c>
      <c r="AS38" s="115">
        <v>51.121000000000002</v>
      </c>
      <c r="AT38" s="115">
        <v>58.866999999999997</v>
      </c>
      <c r="AU38" s="115">
        <v>23.484000000000002</v>
      </c>
      <c r="AV38" s="115">
        <v>103.71</v>
      </c>
      <c r="AW38" s="115">
        <v>119.057</v>
      </c>
      <c r="AX38" s="115">
        <v>48.664000000000001</v>
      </c>
      <c r="AY38" s="115">
        <v>136.25299999999999</v>
      </c>
      <c r="AZ38" s="115">
        <v>148.51300000000001</v>
      </c>
      <c r="BA38" s="115">
        <v>0</v>
      </c>
    </row>
    <row r="39" spans="1:53" ht="15" customHeight="1" x14ac:dyDescent="0.3">
      <c r="A39" t="s">
        <v>172</v>
      </c>
      <c r="B39" s="114" t="str">
        <f>IF('Sumário | Summary'!P1=1,"Notas Promissórias","Promissory Notes")</f>
        <v>Notas Promissórias</v>
      </c>
      <c r="C39" s="115">
        <v>0</v>
      </c>
      <c r="D39" s="115">
        <v>0</v>
      </c>
      <c r="E39" s="115">
        <v>0</v>
      </c>
      <c r="F39" s="115">
        <v>0</v>
      </c>
      <c r="G39" s="115">
        <v>0</v>
      </c>
      <c r="H39" s="115">
        <v>0</v>
      </c>
      <c r="I39" s="115">
        <v>0</v>
      </c>
      <c r="J39" s="115">
        <v>0</v>
      </c>
      <c r="K39" s="115">
        <v>0</v>
      </c>
      <c r="L39" s="115">
        <v>0</v>
      </c>
      <c r="M39" s="115">
        <v>0</v>
      </c>
      <c r="N39" s="115">
        <v>0</v>
      </c>
      <c r="O39" s="115">
        <v>0</v>
      </c>
      <c r="P39" s="115">
        <v>0</v>
      </c>
      <c r="Q39" s="115">
        <v>0</v>
      </c>
      <c r="R39" s="115">
        <v>19.146999999999998</v>
      </c>
      <c r="S39" s="115">
        <v>24.106999999999999</v>
      </c>
      <c r="T39" s="115">
        <v>28.611999999999998</v>
      </c>
      <c r="U39" s="115">
        <v>168.25399999999999</v>
      </c>
      <c r="V39" s="115">
        <v>35.866</v>
      </c>
      <c r="W39" s="115">
        <v>39.091999999999999</v>
      </c>
      <c r="X39" s="115">
        <v>0</v>
      </c>
      <c r="Y39" s="115">
        <v>0</v>
      </c>
      <c r="Z39" s="115">
        <v>0</v>
      </c>
      <c r="AA39" s="115">
        <v>0</v>
      </c>
      <c r="AB39" s="115">
        <v>0</v>
      </c>
      <c r="AC39" s="115">
        <v>0</v>
      </c>
      <c r="AD39" s="115">
        <v>0</v>
      </c>
      <c r="AE39" s="115">
        <v>0</v>
      </c>
      <c r="AF39" s="115">
        <v>0</v>
      </c>
      <c r="AG39" s="115">
        <v>0</v>
      </c>
      <c r="AH39" s="115">
        <v>0</v>
      </c>
      <c r="AI39" s="115">
        <v>0</v>
      </c>
      <c r="AJ39" s="115">
        <v>0</v>
      </c>
      <c r="AK39" s="115">
        <v>0</v>
      </c>
      <c r="AL39" s="115">
        <v>0</v>
      </c>
      <c r="AM39" s="115">
        <v>0</v>
      </c>
      <c r="AN39" s="115">
        <v>0</v>
      </c>
      <c r="AO39" s="117">
        <v>0</v>
      </c>
      <c r="AP39" s="115">
        <v>0</v>
      </c>
      <c r="AQ39" s="115">
        <v>0</v>
      </c>
      <c r="AR39" s="115">
        <v>0</v>
      </c>
      <c r="AS39" s="115">
        <v>0</v>
      </c>
      <c r="AT39" s="115">
        <v>0</v>
      </c>
      <c r="AU39" s="115">
        <v>0</v>
      </c>
      <c r="AV39" s="115">
        <v>0</v>
      </c>
      <c r="AW39" s="115">
        <v>0</v>
      </c>
      <c r="AX39" s="115">
        <v>0</v>
      </c>
      <c r="AY39" s="115">
        <v>0</v>
      </c>
      <c r="AZ39" s="115">
        <v>0</v>
      </c>
      <c r="BA39" s="115">
        <v>0</v>
      </c>
    </row>
    <row r="40" spans="1:53" ht="15" customHeight="1" x14ac:dyDescent="0.3">
      <c r="A40" t="s">
        <v>173</v>
      </c>
      <c r="B40" s="114" t="str">
        <f>IF('Sumário | Summary'!P1=1,"Fornecedores","Suppliers")</f>
        <v>Fornecedores</v>
      </c>
      <c r="C40" s="115">
        <v>23.91</v>
      </c>
      <c r="D40" s="115">
        <v>30.120999999999999</v>
      </c>
      <c r="E40" s="115">
        <v>43.576000000000001</v>
      </c>
      <c r="F40" s="115">
        <v>50.3</v>
      </c>
      <c r="G40" s="115">
        <v>37.795999999999999</v>
      </c>
      <c r="H40" s="115">
        <v>41.209000000000003</v>
      </c>
      <c r="I40" s="115">
        <v>36.972999999999999</v>
      </c>
      <c r="J40" s="115">
        <v>37.44</v>
      </c>
      <c r="K40" s="115">
        <v>35.51</v>
      </c>
      <c r="L40" s="115">
        <v>39.098999999999997</v>
      </c>
      <c r="M40" s="115">
        <v>27.992999999999999</v>
      </c>
      <c r="N40" s="115">
        <v>35.161000000000001</v>
      </c>
      <c r="O40" s="116">
        <v>38.201000000000001</v>
      </c>
      <c r="P40" s="115">
        <v>32.137999999999998</v>
      </c>
      <c r="Q40" s="115">
        <v>39.537999999999997</v>
      </c>
      <c r="R40" s="115">
        <v>32.494999999999997</v>
      </c>
      <c r="S40" s="115">
        <v>30.23</v>
      </c>
      <c r="T40" s="115">
        <v>17.058</v>
      </c>
      <c r="U40" s="115">
        <v>15.465</v>
      </c>
      <c r="V40" s="115">
        <v>12.914</v>
      </c>
      <c r="W40" s="115">
        <v>12.385</v>
      </c>
      <c r="X40" s="115">
        <v>10.271000000000001</v>
      </c>
      <c r="Y40" s="115">
        <v>7.843</v>
      </c>
      <c r="Z40" s="115">
        <v>7.6639999999999997</v>
      </c>
      <c r="AA40" s="115">
        <v>10.021000000000001</v>
      </c>
      <c r="AB40" s="115">
        <v>7.6420000000000003</v>
      </c>
      <c r="AC40" s="115">
        <v>8.7040000000000006</v>
      </c>
      <c r="AD40" s="115">
        <v>8.5779999999999994</v>
      </c>
      <c r="AE40" s="115">
        <v>12.398999999999999</v>
      </c>
      <c r="AF40" s="115">
        <v>8.734</v>
      </c>
      <c r="AG40" s="115">
        <v>6.7869999999999999</v>
      </c>
      <c r="AH40" s="115">
        <v>7.0819999999999999</v>
      </c>
      <c r="AI40" s="115">
        <v>10.808999999999999</v>
      </c>
      <c r="AJ40" s="115">
        <v>7.1580000000000004</v>
      </c>
      <c r="AK40" s="115">
        <v>9.9359999999999999</v>
      </c>
      <c r="AL40" s="115">
        <v>11.853</v>
      </c>
      <c r="AM40" s="115">
        <v>20.050999999999998</v>
      </c>
      <c r="AN40" s="115">
        <v>11.396000000000001</v>
      </c>
      <c r="AO40" s="117">
        <v>11.613</v>
      </c>
      <c r="AP40" s="115">
        <v>12.548</v>
      </c>
      <c r="AQ40" s="115">
        <v>29.175000000000001</v>
      </c>
      <c r="AR40" s="115">
        <v>24.463000000000001</v>
      </c>
      <c r="AS40" s="115">
        <v>10.074</v>
      </c>
      <c r="AT40" s="115">
        <v>10.132</v>
      </c>
      <c r="AU40" s="115">
        <v>11.89</v>
      </c>
      <c r="AV40" s="115">
        <v>8.6460000000000008</v>
      </c>
      <c r="AW40" s="115">
        <v>21.248999999999999</v>
      </c>
      <c r="AX40" s="115">
        <v>11.039</v>
      </c>
      <c r="AY40" s="115">
        <v>13.792999999999999</v>
      </c>
      <c r="AZ40" s="115">
        <v>9.1430000000000007</v>
      </c>
      <c r="BA40" s="115">
        <v>0</v>
      </c>
    </row>
    <row r="41" spans="1:53" ht="15" customHeight="1" x14ac:dyDescent="0.3">
      <c r="A41" t="s">
        <v>174</v>
      </c>
      <c r="B41" s="114" t="str">
        <f>IF('Sumário | Summary'!P1=1,"Contas a pagar por aquisição de imóveis","Accounts payable due to real estate acquisition ")</f>
        <v>Contas a pagar por aquisição de imóveis</v>
      </c>
      <c r="C41" s="115">
        <v>0</v>
      </c>
      <c r="D41" s="115">
        <v>0</v>
      </c>
      <c r="E41" s="115">
        <v>0</v>
      </c>
      <c r="F41" s="115">
        <v>65.548000000000002</v>
      </c>
      <c r="G41" s="115">
        <v>59.871000000000002</v>
      </c>
      <c r="H41" s="115">
        <v>54.375</v>
      </c>
      <c r="I41" s="115">
        <v>46.81</v>
      </c>
      <c r="J41" s="115">
        <v>34.947000000000003</v>
      </c>
      <c r="K41" s="115">
        <v>21.087</v>
      </c>
      <c r="L41" s="115">
        <v>9.7880000000000003</v>
      </c>
      <c r="M41" s="115">
        <v>0.621</v>
      </c>
      <c r="N41" s="115">
        <v>0</v>
      </c>
      <c r="O41" s="116">
        <v>0</v>
      </c>
      <c r="P41" s="115">
        <v>0</v>
      </c>
      <c r="Q41" s="115">
        <v>0</v>
      </c>
      <c r="R41" s="115">
        <v>0</v>
      </c>
      <c r="S41" s="115">
        <v>0</v>
      </c>
      <c r="T41" s="115">
        <v>0</v>
      </c>
      <c r="U41" s="115">
        <v>0</v>
      </c>
      <c r="V41" s="115">
        <v>0</v>
      </c>
      <c r="W41" s="115">
        <v>0</v>
      </c>
      <c r="X41" s="115">
        <v>0</v>
      </c>
      <c r="Y41" s="115">
        <v>0</v>
      </c>
      <c r="Z41" s="115">
        <v>0</v>
      </c>
      <c r="AA41" s="115">
        <v>0</v>
      </c>
      <c r="AB41" s="115">
        <v>0</v>
      </c>
      <c r="AC41" s="115">
        <v>0</v>
      </c>
      <c r="AD41" s="115">
        <v>0</v>
      </c>
      <c r="AE41" s="115">
        <v>0</v>
      </c>
      <c r="AF41" s="115">
        <v>0</v>
      </c>
      <c r="AG41" s="115">
        <v>0</v>
      </c>
      <c r="AH41" s="115">
        <v>3.0000000000000001E-3</v>
      </c>
      <c r="AI41" s="115">
        <v>0</v>
      </c>
      <c r="AJ41" s="115">
        <v>0</v>
      </c>
      <c r="AK41" s="115">
        <v>0</v>
      </c>
      <c r="AL41" s="115">
        <v>0</v>
      </c>
      <c r="AM41" s="115">
        <v>0</v>
      </c>
      <c r="AN41" s="115">
        <v>0</v>
      </c>
      <c r="AO41" s="117">
        <v>0.64300000000000002</v>
      </c>
      <c r="AP41" s="115">
        <v>0.88600000000000001</v>
      </c>
      <c r="AQ41" s="115">
        <v>0.88600000000000001</v>
      </c>
      <c r="AR41" s="115">
        <v>0.88600000000000001</v>
      </c>
      <c r="AS41" s="115">
        <v>0.88600000000000001</v>
      </c>
      <c r="AT41" s="115">
        <v>0.83</v>
      </c>
      <c r="AU41" s="115">
        <v>0.57999999999999996</v>
      </c>
      <c r="AV41" s="115">
        <v>0.53800000000000003</v>
      </c>
      <c r="AW41" s="115">
        <v>0.52700000000000002</v>
      </c>
      <c r="AX41" s="115">
        <v>0.53800000000000003</v>
      </c>
      <c r="AY41" s="115">
        <v>0.60199999999999998</v>
      </c>
      <c r="AZ41" s="115">
        <v>0.91400000000000003</v>
      </c>
      <c r="BA41" s="115">
        <v>0</v>
      </c>
    </row>
    <row r="42" spans="1:53" ht="15" customHeight="1" x14ac:dyDescent="0.3">
      <c r="A42" t="s">
        <v>175</v>
      </c>
      <c r="B42" s="114" t="str">
        <f>IF('Sumário | Summary'!P1=1,"Impostos e contribuições a recolher","Tax and Contributions")</f>
        <v>Impostos e contribuições a recolher</v>
      </c>
      <c r="C42" s="115">
        <v>7.9589999999999996</v>
      </c>
      <c r="D42" s="115">
        <v>8.3160000000000007</v>
      </c>
      <c r="E42" s="115">
        <v>11.475</v>
      </c>
      <c r="F42" s="115">
        <v>8.6999999999999993</v>
      </c>
      <c r="G42" s="115">
        <v>9.8949999999999996</v>
      </c>
      <c r="H42" s="115">
        <v>15.047000000000001</v>
      </c>
      <c r="I42" s="115">
        <v>13.77</v>
      </c>
      <c r="J42" s="115">
        <v>11.24</v>
      </c>
      <c r="K42" s="115">
        <v>13.962</v>
      </c>
      <c r="L42" s="115">
        <v>16.585999999999999</v>
      </c>
      <c r="M42" s="115">
        <v>15.907999999999999</v>
      </c>
      <c r="N42" s="115">
        <v>12.675000000000001</v>
      </c>
      <c r="O42" s="116">
        <v>13.872999999999999</v>
      </c>
      <c r="P42" s="115">
        <v>14.952</v>
      </c>
      <c r="Q42" s="115">
        <v>12.477</v>
      </c>
      <c r="R42" s="115">
        <v>13.061</v>
      </c>
      <c r="S42" s="115">
        <v>11.944000000000001</v>
      </c>
      <c r="T42" s="115">
        <v>17.702999999999999</v>
      </c>
      <c r="U42" s="115">
        <v>15.068</v>
      </c>
      <c r="V42" s="115">
        <v>105.919</v>
      </c>
      <c r="W42" s="115">
        <v>11.496</v>
      </c>
      <c r="X42" s="115">
        <v>20.096</v>
      </c>
      <c r="Y42" s="115">
        <v>13.241</v>
      </c>
      <c r="Z42" s="115">
        <v>12.147</v>
      </c>
      <c r="AA42" s="115">
        <v>13.457000000000001</v>
      </c>
      <c r="AB42" s="115">
        <v>14.715</v>
      </c>
      <c r="AC42" s="115">
        <v>19.766999999999999</v>
      </c>
      <c r="AD42" s="115">
        <v>23.844999999999999</v>
      </c>
      <c r="AE42" s="115">
        <v>28.896999999999998</v>
      </c>
      <c r="AF42" s="115">
        <v>11.057</v>
      </c>
      <c r="AG42" s="115">
        <v>12.276999999999999</v>
      </c>
      <c r="AH42" s="115">
        <v>12.311999999999999</v>
      </c>
      <c r="AI42" s="115">
        <v>11.558999999999999</v>
      </c>
      <c r="AJ42" s="115">
        <v>10.29</v>
      </c>
      <c r="AK42" s="115">
        <v>11.565</v>
      </c>
      <c r="AL42" s="115">
        <v>11.714</v>
      </c>
      <c r="AM42" s="115">
        <v>21.64</v>
      </c>
      <c r="AN42" s="115">
        <v>14.824</v>
      </c>
      <c r="AO42" s="117">
        <v>11.866</v>
      </c>
      <c r="AP42" s="115">
        <v>13.645</v>
      </c>
      <c r="AQ42" s="115">
        <v>13.282</v>
      </c>
      <c r="AR42" s="115">
        <v>11.22</v>
      </c>
      <c r="AS42" s="115">
        <v>13.015000000000001</v>
      </c>
      <c r="AT42" s="117">
        <v>14.016</v>
      </c>
      <c r="AU42" s="117">
        <v>17.117000000000001</v>
      </c>
      <c r="AV42" s="117">
        <v>7.6710000000000003</v>
      </c>
      <c r="AW42" s="117">
        <v>150.33000000000001</v>
      </c>
      <c r="AX42" s="117">
        <v>12.457000000000001</v>
      </c>
      <c r="AY42" s="117">
        <v>30.42</v>
      </c>
      <c r="AZ42" s="117">
        <v>18.468</v>
      </c>
      <c r="BA42" s="117">
        <v>0</v>
      </c>
    </row>
    <row r="43" spans="1:53" ht="15" customHeight="1" x14ac:dyDescent="0.3">
      <c r="A43" t="s">
        <v>176</v>
      </c>
      <c r="B43" s="114" t="str">
        <f>IF('Sumário | Summary'!P1=1,"Debitos com parceiros nos empreendimentos","Current accounts with venture partners ")</f>
        <v>Debitos com parceiros nos empreendimentos</v>
      </c>
      <c r="C43" s="115">
        <v>7.89</v>
      </c>
      <c r="D43" s="115">
        <v>7.8879999999999999</v>
      </c>
      <c r="E43" s="115">
        <v>15.493</v>
      </c>
      <c r="F43" s="115">
        <v>10.289</v>
      </c>
      <c r="G43" s="115">
        <v>7.8819999999999997</v>
      </c>
      <c r="H43" s="115">
        <v>7.88</v>
      </c>
      <c r="I43" s="115">
        <v>9.3010000000000002</v>
      </c>
      <c r="J43" s="115">
        <v>7.8650000000000002</v>
      </c>
      <c r="K43" s="115">
        <v>10.551</v>
      </c>
      <c r="L43" s="115">
        <v>10.109</v>
      </c>
      <c r="M43" s="115">
        <v>7.87</v>
      </c>
      <c r="N43" s="115">
        <v>7.9489999999999998</v>
      </c>
      <c r="O43" s="116">
        <v>6.2169999999999996</v>
      </c>
      <c r="P43" s="115">
        <v>0</v>
      </c>
      <c r="Q43" s="115">
        <v>1.641</v>
      </c>
      <c r="R43" s="115">
        <v>0</v>
      </c>
      <c r="S43" s="115">
        <v>0</v>
      </c>
      <c r="T43" s="115">
        <v>0</v>
      </c>
      <c r="U43" s="115">
        <v>0</v>
      </c>
      <c r="V43" s="115">
        <v>0</v>
      </c>
      <c r="W43" s="115">
        <v>0</v>
      </c>
      <c r="X43" s="115">
        <v>0</v>
      </c>
      <c r="Y43" s="115">
        <v>0</v>
      </c>
      <c r="Z43" s="115">
        <v>0</v>
      </c>
      <c r="AA43" s="115">
        <v>0</v>
      </c>
      <c r="AB43" s="115">
        <v>0</v>
      </c>
      <c r="AC43" s="115">
        <v>1.2999999999999999E-2</v>
      </c>
      <c r="AD43" s="115">
        <v>0.03</v>
      </c>
      <c r="AE43" s="115">
        <v>0</v>
      </c>
      <c r="AF43" s="115">
        <v>0</v>
      </c>
      <c r="AG43" s="115">
        <v>0</v>
      </c>
      <c r="AH43" s="115">
        <v>0</v>
      </c>
      <c r="AI43" s="115">
        <v>0</v>
      </c>
      <c r="AJ43" s="115">
        <v>0</v>
      </c>
      <c r="AK43" s="115">
        <v>0</v>
      </c>
      <c r="AL43" s="115">
        <v>0</v>
      </c>
      <c r="AM43" s="115">
        <v>0</v>
      </c>
      <c r="AN43" s="115">
        <v>2.2770000000000001</v>
      </c>
      <c r="AO43" s="117">
        <v>0</v>
      </c>
      <c r="AP43" s="115">
        <v>0</v>
      </c>
      <c r="AQ43" s="115">
        <v>0</v>
      </c>
      <c r="AR43" s="115">
        <v>0.11600000000000001</v>
      </c>
      <c r="AS43" s="115">
        <v>0</v>
      </c>
      <c r="AT43" s="115">
        <v>0.161</v>
      </c>
      <c r="AU43" s="115">
        <v>0</v>
      </c>
      <c r="AV43" s="115">
        <v>0</v>
      </c>
      <c r="AW43" s="115">
        <v>0</v>
      </c>
      <c r="AX43" s="115">
        <v>0.05</v>
      </c>
      <c r="AY43" s="115">
        <v>0</v>
      </c>
      <c r="AZ43" s="115">
        <v>0</v>
      </c>
      <c r="BA43" s="115">
        <v>0</v>
      </c>
    </row>
    <row r="44" spans="1:53" ht="15" customHeight="1" x14ac:dyDescent="0.3">
      <c r="A44" t="s">
        <v>177</v>
      </c>
      <c r="B44" s="114" t="str">
        <f>IF('Sumário | Summary'!P1=1,"Impostos e contribuições diferidos","Tax and Contributions - Deferred")</f>
        <v>Impostos e contribuições diferidos</v>
      </c>
      <c r="C44" s="115">
        <v>2.37</v>
      </c>
      <c r="D44" s="115">
        <v>3.0129999999999999</v>
      </c>
      <c r="E44" s="115">
        <v>3.1909999999999998</v>
      </c>
      <c r="F44" s="115">
        <v>4.2</v>
      </c>
      <c r="G44" s="115">
        <v>6.6070000000000002</v>
      </c>
      <c r="H44" s="115">
        <v>4.5129999999999999</v>
      </c>
      <c r="I44" s="115">
        <v>4.47</v>
      </c>
      <c r="J44" s="115">
        <v>4.4660000000000002</v>
      </c>
      <c r="K44" s="115">
        <v>2.3730000000000002</v>
      </c>
      <c r="L44" s="115">
        <v>1.895</v>
      </c>
      <c r="M44" s="115">
        <v>1.48</v>
      </c>
      <c r="N44" s="115">
        <v>1.6120000000000001</v>
      </c>
      <c r="O44" s="116">
        <v>1.76</v>
      </c>
      <c r="P44" s="115">
        <v>0.40699999999999997</v>
      </c>
      <c r="Q44" s="115">
        <v>0</v>
      </c>
      <c r="R44" s="115">
        <v>2.0870000000000002</v>
      </c>
      <c r="S44" s="115">
        <v>1.6439999999999999</v>
      </c>
      <c r="T44" s="115">
        <v>1.3859999999999999</v>
      </c>
      <c r="U44" s="115">
        <v>1.115</v>
      </c>
      <c r="V44" s="115">
        <v>0.61499999999999999</v>
      </c>
      <c r="W44" s="115">
        <v>0.35099999999999998</v>
      </c>
      <c r="X44" s="115">
        <v>0.61699999999999999</v>
      </c>
      <c r="Y44" s="115">
        <v>0.57899999999999996</v>
      </c>
      <c r="Z44" s="115">
        <v>0.60699999999999998</v>
      </c>
      <c r="AA44" s="115">
        <v>0.56000000000000005</v>
      </c>
      <c r="AB44" s="115">
        <v>0.41799999999999998</v>
      </c>
      <c r="AC44" s="115">
        <v>0.40300000000000002</v>
      </c>
      <c r="AD44" s="115">
        <v>0.38700000000000001</v>
      </c>
      <c r="AE44" s="115">
        <v>0.372</v>
      </c>
      <c r="AF44" s="115">
        <v>0.34699999999999998</v>
      </c>
      <c r="AG44" s="115">
        <v>0.30299999999999999</v>
      </c>
      <c r="AH44" s="115">
        <v>0.28100000000000003</v>
      </c>
      <c r="AI44" s="115">
        <v>0.25900000000000001</v>
      </c>
      <c r="AJ44" s="115">
        <v>0.11600000000000001</v>
      </c>
      <c r="AK44" s="115">
        <v>0.105</v>
      </c>
      <c r="AL44" s="115">
        <v>0.13600000000000001</v>
      </c>
      <c r="AM44" s="115">
        <v>0.12</v>
      </c>
      <c r="AN44" s="115">
        <v>0.158</v>
      </c>
      <c r="AO44" s="117">
        <v>0.18</v>
      </c>
      <c r="AP44" s="115">
        <v>0.13500000000000001</v>
      </c>
      <c r="AQ44" s="115">
        <v>0.14599999999999999</v>
      </c>
      <c r="AR44" s="115">
        <v>0.10100000000000001</v>
      </c>
      <c r="AS44" s="115">
        <v>0.107</v>
      </c>
      <c r="AT44" s="117">
        <v>0.105</v>
      </c>
      <c r="AU44" s="117">
        <v>0.105</v>
      </c>
      <c r="AV44" s="117">
        <v>0.1</v>
      </c>
      <c r="AW44" s="117">
        <v>9.6000000000000002E-2</v>
      </c>
      <c r="AX44" s="117">
        <v>0.09</v>
      </c>
      <c r="AY44" s="117">
        <v>8.5000000000000006E-2</v>
      </c>
      <c r="AZ44" s="117">
        <v>8.1000000000000003E-2</v>
      </c>
      <c r="BA44" s="117">
        <v>0</v>
      </c>
    </row>
    <row r="45" spans="1:53" ht="15" customHeight="1" x14ac:dyDescent="0.3">
      <c r="A45" t="s">
        <v>178</v>
      </c>
      <c r="B45" s="114" t="str">
        <f>IF('Sumário | Summary'!P1=1,"Adiantamentos de clientes","Advancement from Clients")</f>
        <v>Adiantamentos de clientes</v>
      </c>
      <c r="C45" s="115">
        <v>40.469000000000001</v>
      </c>
      <c r="D45" s="115">
        <v>37.234000000000002</v>
      </c>
      <c r="E45" s="115">
        <v>30.33</v>
      </c>
      <c r="F45" s="115">
        <v>14.507999999999999</v>
      </c>
      <c r="G45" s="115">
        <v>24.227</v>
      </c>
      <c r="H45" s="115">
        <v>22.257000000000001</v>
      </c>
      <c r="I45" s="115">
        <v>19.434000000000001</v>
      </c>
      <c r="J45" s="115">
        <v>0.55100000000000005</v>
      </c>
      <c r="K45" s="115">
        <v>0.5</v>
      </c>
      <c r="L45" s="115">
        <v>0.55100000000000005</v>
      </c>
      <c r="M45" s="115">
        <v>3.9510000000000001</v>
      </c>
      <c r="N45" s="115">
        <v>0</v>
      </c>
      <c r="O45" s="116">
        <v>13.638</v>
      </c>
      <c r="P45" s="115">
        <v>0.52100000000000002</v>
      </c>
      <c r="Q45" s="115">
        <v>1.0009999999999999</v>
      </c>
      <c r="R45" s="115">
        <v>0.94499999999999995</v>
      </c>
      <c r="S45" s="115">
        <v>0.79500000000000004</v>
      </c>
      <c r="T45" s="115">
        <v>0.78300000000000003</v>
      </c>
      <c r="U45" s="115">
        <v>3.3380000000000001</v>
      </c>
      <c r="V45" s="115">
        <v>0</v>
      </c>
      <c r="W45" s="115">
        <v>0</v>
      </c>
      <c r="X45" s="115">
        <v>35.243000000000002</v>
      </c>
      <c r="Y45" s="115">
        <v>3.5</v>
      </c>
      <c r="Z45" s="115">
        <v>0</v>
      </c>
      <c r="AA45" s="115">
        <v>7.3999999999999996E-2</v>
      </c>
      <c r="AB45" s="115">
        <v>0.13500000000000001</v>
      </c>
      <c r="AC45" s="115">
        <v>0.24199999999999999</v>
      </c>
      <c r="AD45" s="115">
        <v>0.185</v>
      </c>
      <c r="AE45" s="115">
        <v>0.59499999999999997</v>
      </c>
      <c r="AF45" s="115">
        <v>0.13600000000000001</v>
      </c>
      <c r="AG45" s="115">
        <v>6.5000000000000002E-2</v>
      </c>
      <c r="AH45" s="115">
        <v>0.71499999999999997</v>
      </c>
      <c r="AI45" s="115">
        <v>0.155</v>
      </c>
      <c r="AJ45" s="115">
        <v>7.4999999999999997E-2</v>
      </c>
      <c r="AK45" s="115">
        <v>1.629</v>
      </c>
      <c r="AL45" s="115">
        <v>2.6389999999999998</v>
      </c>
      <c r="AM45" s="115">
        <v>0.183</v>
      </c>
      <c r="AN45" s="115">
        <v>0.24199999999999999</v>
      </c>
      <c r="AO45" s="117">
        <v>0.17799999999999999</v>
      </c>
      <c r="AP45" s="115">
        <v>0.21199999999999999</v>
      </c>
      <c r="AQ45" s="115">
        <v>0.20200000000000001</v>
      </c>
      <c r="AR45" s="115">
        <v>0.21</v>
      </c>
      <c r="AS45" s="115">
        <v>0.69399999999999995</v>
      </c>
      <c r="AT45" s="115">
        <v>0.61599999999999999</v>
      </c>
      <c r="AU45" s="115">
        <v>0.65200000000000002</v>
      </c>
      <c r="AV45" s="115">
        <v>300.62</v>
      </c>
      <c r="AW45" s="115">
        <v>0.51</v>
      </c>
      <c r="AX45" s="115">
        <v>0.41199999999999998</v>
      </c>
      <c r="AY45" s="115">
        <v>0.47199999999999998</v>
      </c>
      <c r="AZ45" s="115">
        <v>0.61799999999999999</v>
      </c>
      <c r="BA45" s="115">
        <v>0</v>
      </c>
    </row>
    <row r="46" spans="1:53" ht="15" customHeight="1" x14ac:dyDescent="0.3">
      <c r="A46" t="s">
        <v>179</v>
      </c>
      <c r="B46" s="114" t="str">
        <f>IF('Sumário | Summary'!P1=1,"Adiantamentos de clientes - Permutas","Advancement from Clients - Swap")</f>
        <v>Adiantamentos de clientes - Permutas</v>
      </c>
      <c r="C46" s="115">
        <v>24.276</v>
      </c>
      <c r="D46" s="115">
        <v>21.757999999999999</v>
      </c>
      <c r="E46" s="115">
        <v>17.504000000000001</v>
      </c>
      <c r="F46" s="115">
        <v>14.5</v>
      </c>
      <c r="G46" s="115">
        <v>12.852</v>
      </c>
      <c r="H46" s="115">
        <v>11.388999999999999</v>
      </c>
      <c r="I46" s="115">
        <v>9.452</v>
      </c>
      <c r="J46" s="115">
        <v>0.20399999999999999</v>
      </c>
      <c r="K46" s="115">
        <v>0.104</v>
      </c>
      <c r="L46" s="115">
        <v>5.8000000000000003E-2</v>
      </c>
      <c r="M46" s="115">
        <v>2.4E-2</v>
      </c>
      <c r="N46" s="115">
        <v>0.55100000000000005</v>
      </c>
      <c r="O46" s="116">
        <v>0</v>
      </c>
      <c r="P46" s="115">
        <v>0</v>
      </c>
      <c r="Q46" s="115">
        <v>0</v>
      </c>
      <c r="R46" s="115">
        <v>0</v>
      </c>
      <c r="S46" s="115">
        <v>0</v>
      </c>
      <c r="T46" s="115">
        <v>0</v>
      </c>
      <c r="U46" s="115">
        <v>0</v>
      </c>
      <c r="V46" s="115">
        <v>0</v>
      </c>
      <c r="W46" s="115">
        <v>0</v>
      </c>
      <c r="X46" s="115">
        <v>0</v>
      </c>
      <c r="Y46" s="115">
        <v>0</v>
      </c>
      <c r="Z46" s="115">
        <v>0</v>
      </c>
      <c r="AA46" s="115">
        <v>0</v>
      </c>
      <c r="AB46" s="115">
        <v>0</v>
      </c>
      <c r="AC46" s="115">
        <v>0</v>
      </c>
      <c r="AD46" s="115">
        <v>0</v>
      </c>
      <c r="AE46" s="115">
        <v>0</v>
      </c>
      <c r="AF46" s="115">
        <v>0</v>
      </c>
      <c r="AG46" s="115">
        <v>0</v>
      </c>
      <c r="AH46" s="115">
        <v>0</v>
      </c>
      <c r="AI46" s="115">
        <v>0</v>
      </c>
      <c r="AJ46" s="115">
        <v>0</v>
      </c>
      <c r="AK46" s="115">
        <v>0</v>
      </c>
      <c r="AL46" s="115">
        <v>0</v>
      </c>
      <c r="AM46" s="115">
        <v>0</v>
      </c>
      <c r="AN46" s="115">
        <v>0</v>
      </c>
      <c r="AO46" s="117">
        <v>0</v>
      </c>
      <c r="AP46" s="115">
        <v>0</v>
      </c>
      <c r="AQ46" s="115">
        <v>0</v>
      </c>
      <c r="AR46" s="115">
        <v>0</v>
      </c>
      <c r="AS46" s="115">
        <v>0</v>
      </c>
      <c r="AT46" s="115">
        <v>0</v>
      </c>
      <c r="AU46" s="115">
        <v>0</v>
      </c>
      <c r="AV46" s="115">
        <v>0</v>
      </c>
      <c r="AW46" s="115">
        <v>0</v>
      </c>
      <c r="AX46" s="115">
        <v>0</v>
      </c>
      <c r="AY46" s="115">
        <v>0</v>
      </c>
      <c r="AZ46" s="115">
        <v>0</v>
      </c>
      <c r="BA46" s="115">
        <v>0</v>
      </c>
    </row>
    <row r="47" spans="1:53" ht="15" customHeight="1" x14ac:dyDescent="0.3">
      <c r="A47" t="s">
        <v>180</v>
      </c>
      <c r="B47" s="114" t="str">
        <f>IF('Sumário | Summary'!P1=1,"Partes relacionadas","Related parties")</f>
        <v>Partes relacionadas</v>
      </c>
      <c r="C47" s="115">
        <v>0</v>
      </c>
      <c r="D47" s="115">
        <v>0</v>
      </c>
      <c r="E47" s="115">
        <v>0</v>
      </c>
      <c r="F47" s="115">
        <v>0</v>
      </c>
      <c r="G47" s="115">
        <v>0</v>
      </c>
      <c r="H47" s="115">
        <v>0</v>
      </c>
      <c r="I47" s="115">
        <v>0</v>
      </c>
      <c r="J47" s="115">
        <v>0</v>
      </c>
      <c r="K47" s="115">
        <v>0</v>
      </c>
      <c r="L47" s="115">
        <v>0</v>
      </c>
      <c r="M47" s="115">
        <v>0</v>
      </c>
      <c r="N47" s="115">
        <v>0</v>
      </c>
      <c r="O47" s="115">
        <v>0</v>
      </c>
      <c r="P47" s="115">
        <v>0</v>
      </c>
      <c r="Q47" s="115">
        <v>0</v>
      </c>
      <c r="R47" s="115">
        <v>13.981</v>
      </c>
      <c r="S47" s="115">
        <v>0</v>
      </c>
      <c r="T47" s="115">
        <v>0</v>
      </c>
      <c r="U47" s="115">
        <v>0</v>
      </c>
      <c r="V47" s="115">
        <v>0</v>
      </c>
      <c r="W47" s="115">
        <v>0</v>
      </c>
      <c r="X47" s="115">
        <v>0</v>
      </c>
      <c r="Y47" s="115">
        <v>0</v>
      </c>
      <c r="Z47" s="115">
        <v>0</v>
      </c>
      <c r="AA47" s="115">
        <v>0</v>
      </c>
      <c r="AB47" s="115">
        <v>0</v>
      </c>
      <c r="AC47" s="115">
        <v>0</v>
      </c>
      <c r="AD47" s="115">
        <v>0</v>
      </c>
      <c r="AE47" s="115">
        <v>0</v>
      </c>
      <c r="AF47" s="115">
        <v>0</v>
      </c>
      <c r="AG47" s="115">
        <v>0</v>
      </c>
      <c r="AH47" s="115">
        <v>0</v>
      </c>
      <c r="AI47" s="115">
        <v>0</v>
      </c>
      <c r="AJ47" s="115">
        <v>0</v>
      </c>
      <c r="AK47" s="115">
        <v>0</v>
      </c>
      <c r="AL47" s="115">
        <v>0</v>
      </c>
      <c r="AM47" s="115">
        <v>0</v>
      </c>
      <c r="AN47" s="115">
        <v>0</v>
      </c>
      <c r="AO47" s="117">
        <v>0</v>
      </c>
      <c r="AP47" s="115">
        <v>0</v>
      </c>
      <c r="AQ47" s="115">
        <v>0</v>
      </c>
      <c r="AR47" s="115">
        <v>0</v>
      </c>
      <c r="AS47" s="115">
        <v>0</v>
      </c>
      <c r="AT47" s="115">
        <v>0</v>
      </c>
      <c r="AU47" s="115">
        <v>0</v>
      </c>
      <c r="AV47" s="115">
        <v>0</v>
      </c>
      <c r="AW47" s="115">
        <v>0</v>
      </c>
      <c r="AX47" s="115">
        <v>0</v>
      </c>
      <c r="AY47" s="115">
        <v>2.1999999999999999E-2</v>
      </c>
      <c r="AZ47" s="115">
        <v>2.1999999999999999E-2</v>
      </c>
      <c r="BA47" s="115">
        <v>0</v>
      </c>
    </row>
    <row r="48" spans="1:53" ht="15" customHeight="1" x14ac:dyDescent="0.3">
      <c r="A48" t="s">
        <v>181</v>
      </c>
      <c r="B48" s="114" t="str">
        <f>IF('Sumário | Summary'!P1=1,"Receita res-sperata a apropriar","Key Money to be Recognized")</f>
        <v>Receita res-sperata a apropriar</v>
      </c>
      <c r="C48" s="115">
        <v>0</v>
      </c>
      <c r="D48" s="115">
        <v>0</v>
      </c>
      <c r="E48" s="115">
        <v>0</v>
      </c>
      <c r="F48" s="115">
        <v>0</v>
      </c>
      <c r="G48" s="115">
        <v>6.2309999999999999</v>
      </c>
      <c r="H48" s="115">
        <v>0</v>
      </c>
      <c r="I48" s="115">
        <v>0</v>
      </c>
      <c r="J48" s="115">
        <v>0</v>
      </c>
      <c r="K48" s="115">
        <v>5.6050000000000004</v>
      </c>
      <c r="L48" s="115">
        <v>10.986000000000001</v>
      </c>
      <c r="M48" s="115">
        <v>15.404999999999999</v>
      </c>
      <c r="N48" s="115">
        <v>14.651</v>
      </c>
      <c r="O48" s="116">
        <v>13.7186</v>
      </c>
      <c r="P48" s="115">
        <v>13.337400000000001</v>
      </c>
      <c r="Q48" s="115">
        <v>12.589</v>
      </c>
      <c r="R48" s="115">
        <v>11.836</v>
      </c>
      <c r="S48" s="115">
        <v>10.6616</v>
      </c>
      <c r="T48" s="115">
        <v>9.69</v>
      </c>
      <c r="U48" s="115">
        <v>8.8219999999999992</v>
      </c>
      <c r="V48" s="115">
        <v>8.0280000000000005</v>
      </c>
      <c r="W48" s="115">
        <v>7.3689999999999998</v>
      </c>
      <c r="X48" s="115">
        <v>6.4130000000000003</v>
      </c>
      <c r="Y48" s="115">
        <v>5.7169999999999996</v>
      </c>
      <c r="Z48" s="115">
        <v>4.5179999999999998</v>
      </c>
      <c r="AA48" s="115">
        <v>4.1479999999999997</v>
      </c>
      <c r="AB48" s="115">
        <v>10.452</v>
      </c>
      <c r="AC48" s="115">
        <v>9.4009999999999998</v>
      </c>
      <c r="AD48" s="115">
        <v>8.7249999999999996</v>
      </c>
      <c r="AE48" s="115">
        <v>8.06</v>
      </c>
      <c r="AF48" s="115">
        <v>5.2930000000000001</v>
      </c>
      <c r="AG48" s="115">
        <v>4.883</v>
      </c>
      <c r="AH48" s="115">
        <v>4.6189999999999998</v>
      </c>
      <c r="AI48" s="115">
        <v>4.4290000000000003</v>
      </c>
      <c r="AJ48" s="115">
        <v>4.3680000000000003</v>
      </c>
      <c r="AK48" s="115">
        <v>3.9390000000000001</v>
      </c>
      <c r="AL48" s="115">
        <v>4.1509999999999998</v>
      </c>
      <c r="AM48" s="115">
        <v>3.8959999999999999</v>
      </c>
      <c r="AN48" s="115">
        <v>3.9910000000000001</v>
      </c>
      <c r="AO48" s="117">
        <v>3.7480000000000002</v>
      </c>
      <c r="AP48" s="115">
        <v>3.7549999999999999</v>
      </c>
      <c r="AQ48" s="115">
        <v>1.9710000000000001</v>
      </c>
      <c r="AR48" s="115">
        <v>1.8320000000000001</v>
      </c>
      <c r="AS48" s="115">
        <v>3.0920000000000001</v>
      </c>
      <c r="AT48" s="115">
        <v>2.8359999999999999</v>
      </c>
      <c r="AU48" s="115">
        <v>2.9380000000000002</v>
      </c>
      <c r="AV48" s="115">
        <v>2.867</v>
      </c>
      <c r="AW48" s="115">
        <v>1.375</v>
      </c>
      <c r="AX48" s="115">
        <v>1.379</v>
      </c>
      <c r="AY48" s="115">
        <v>1.161</v>
      </c>
      <c r="AZ48" s="115">
        <v>1.198</v>
      </c>
      <c r="BA48" s="115">
        <v>0</v>
      </c>
    </row>
    <row r="49" spans="1:53" ht="15" customHeight="1" x14ac:dyDescent="0.3">
      <c r="A49" t="s">
        <v>182</v>
      </c>
      <c r="B49" s="114" t="str">
        <f>IF('Sumário | Summary'!P1=1,"Dividendos a pagar","Dividends Payable")</f>
        <v>Dividendos a pagar</v>
      </c>
      <c r="C49" s="115">
        <v>36.345999999999997</v>
      </c>
      <c r="D49" s="115">
        <v>72.691999999999993</v>
      </c>
      <c r="E49" s="115">
        <v>4</v>
      </c>
      <c r="F49" s="115">
        <v>4</v>
      </c>
      <c r="G49" s="115">
        <v>35.368000000000002</v>
      </c>
      <c r="H49" s="115">
        <v>35.368000000000002</v>
      </c>
      <c r="I49" s="115">
        <v>0.05</v>
      </c>
      <c r="J49" s="115">
        <v>5.0000000000000001E-3</v>
      </c>
      <c r="K49" s="115">
        <v>23.271000000000001</v>
      </c>
      <c r="L49" s="115">
        <v>23.271000000000001</v>
      </c>
      <c r="M49" s="115">
        <v>6.0000000000000001E-3</v>
      </c>
      <c r="N49" s="115">
        <v>6.0000000000000001E-3</v>
      </c>
      <c r="O49" s="116">
        <v>5.5419999999999998</v>
      </c>
      <c r="P49" s="115">
        <v>5.5419999999999998</v>
      </c>
      <c r="Q49" s="115">
        <v>0.7</v>
      </c>
      <c r="R49" s="115">
        <v>7.0000000000000001E-3</v>
      </c>
      <c r="S49" s="115">
        <v>7.0000000000000001E-3</v>
      </c>
      <c r="T49" s="115">
        <v>7.0000000000000001E-3</v>
      </c>
      <c r="U49" s="115">
        <v>7.0000000000000001E-3</v>
      </c>
      <c r="V49" s="115">
        <v>1.2E-2</v>
      </c>
      <c r="W49" s="115">
        <v>1.2E-2</v>
      </c>
      <c r="X49" s="115">
        <v>1.2E-2</v>
      </c>
      <c r="Y49" s="115">
        <v>1.2E-2</v>
      </c>
      <c r="Z49" s="115">
        <v>1.2E-2</v>
      </c>
      <c r="AA49" s="115">
        <v>1.7000000000000001E-2</v>
      </c>
      <c r="AB49" s="115">
        <v>1.7000000000000001E-2</v>
      </c>
      <c r="AC49" s="115">
        <v>1.7000000000000001E-2</v>
      </c>
      <c r="AD49" s="115">
        <v>1.4999999999999999E-2</v>
      </c>
      <c r="AE49" s="115">
        <v>7.8070000000000004</v>
      </c>
      <c r="AF49" s="115">
        <v>7.8070000000000004</v>
      </c>
      <c r="AG49" s="115">
        <v>1.4999999999999999E-2</v>
      </c>
      <c r="AH49" s="115">
        <v>1.4999999999999999E-2</v>
      </c>
      <c r="AI49" s="115">
        <v>12.045999999999999</v>
      </c>
      <c r="AJ49" s="115">
        <v>12.045999999999999</v>
      </c>
      <c r="AK49" s="115">
        <v>5.0000000000000001E-3</v>
      </c>
      <c r="AL49" s="115">
        <v>5.0000000000000001E-3</v>
      </c>
      <c r="AM49" s="115">
        <v>4.4999999999999998E-2</v>
      </c>
      <c r="AN49" s="115">
        <v>12.090999999999999</v>
      </c>
      <c r="AO49" s="117">
        <v>4.4999999999999998E-2</v>
      </c>
      <c r="AP49" s="115">
        <v>4.5999999999999999E-2</v>
      </c>
      <c r="AQ49" s="115">
        <v>4.5999999999999999E-2</v>
      </c>
      <c r="AR49" s="115">
        <v>4.5999999999999999E-2</v>
      </c>
      <c r="AS49" s="115">
        <v>4.2999999999999997E-2</v>
      </c>
      <c r="AT49" s="115">
        <v>4.2000000000000003E-2</v>
      </c>
      <c r="AU49" s="115">
        <v>4.2000000000000003E-2</v>
      </c>
      <c r="AV49" s="115">
        <v>0.28000000000000003</v>
      </c>
      <c r="AW49" s="115">
        <v>0.28000000000000003</v>
      </c>
      <c r="AX49" s="115">
        <v>0.28000000000000003</v>
      </c>
      <c r="AY49" s="115">
        <v>0.29499999999999998</v>
      </c>
      <c r="AZ49" s="115">
        <v>0.29499999999999998</v>
      </c>
      <c r="BA49" s="115">
        <v>0</v>
      </c>
    </row>
    <row r="50" spans="1:53" ht="15" customHeight="1" x14ac:dyDescent="0.3">
      <c r="A50" t="s">
        <v>183</v>
      </c>
      <c r="B50" s="114" t="str">
        <f>IF('Sumário | Summary'!P1=1,"CDU a apropriar","Key Money to Recognize ")</f>
        <v>CDU a apropriar</v>
      </c>
      <c r="C50" s="115">
        <v>4.633</v>
      </c>
      <c r="D50" s="115">
        <v>5.5140000000000002</v>
      </c>
      <c r="E50" s="115">
        <v>5.9429999999999996</v>
      </c>
      <c r="F50" s="115">
        <v>6.1189999999999998</v>
      </c>
      <c r="G50" s="115">
        <v>0</v>
      </c>
      <c r="H50" s="115">
        <v>42.112000000000002</v>
      </c>
      <c r="I50" s="115">
        <v>40.805</v>
      </c>
      <c r="J50" s="115">
        <v>5.9930000000000003</v>
      </c>
      <c r="K50" s="115">
        <v>0</v>
      </c>
      <c r="L50" s="115">
        <v>0</v>
      </c>
      <c r="M50" s="115">
        <v>0</v>
      </c>
      <c r="N50" s="115">
        <v>0</v>
      </c>
      <c r="O50" s="116">
        <v>0</v>
      </c>
      <c r="P50" s="115">
        <v>0</v>
      </c>
      <c r="Q50" s="115">
        <v>0</v>
      </c>
      <c r="R50" s="115">
        <v>0</v>
      </c>
      <c r="S50" s="115">
        <v>0</v>
      </c>
      <c r="T50" s="115">
        <v>0</v>
      </c>
      <c r="U50" s="115">
        <v>0</v>
      </c>
      <c r="V50" s="115">
        <v>0</v>
      </c>
      <c r="W50" s="115">
        <v>0</v>
      </c>
      <c r="X50" s="115">
        <v>0</v>
      </c>
      <c r="Y50" s="115">
        <v>0</v>
      </c>
      <c r="Z50" s="115">
        <v>0</v>
      </c>
      <c r="AA50" s="115">
        <v>0</v>
      </c>
      <c r="AB50" s="115">
        <v>0</v>
      </c>
      <c r="AC50" s="115">
        <v>0</v>
      </c>
      <c r="AD50" s="115">
        <v>0</v>
      </c>
      <c r="AE50" s="115">
        <v>0</v>
      </c>
      <c r="AF50" s="115">
        <v>0</v>
      </c>
      <c r="AG50" s="115">
        <v>0</v>
      </c>
      <c r="AH50" s="115">
        <v>0</v>
      </c>
      <c r="AI50" s="115">
        <v>0</v>
      </c>
      <c r="AJ50" s="115">
        <v>0</v>
      </c>
      <c r="AK50" s="115">
        <v>0</v>
      </c>
      <c r="AL50" s="115">
        <v>0</v>
      </c>
      <c r="AM50" s="115">
        <v>0</v>
      </c>
      <c r="AN50" s="115">
        <v>0</v>
      </c>
      <c r="AO50" s="117">
        <v>0</v>
      </c>
      <c r="AP50" s="115">
        <v>0</v>
      </c>
      <c r="AQ50" s="115">
        <v>0</v>
      </c>
      <c r="AR50" s="115">
        <v>0</v>
      </c>
      <c r="AS50" s="115">
        <v>0</v>
      </c>
      <c r="AT50" s="115">
        <v>0</v>
      </c>
      <c r="AU50" s="115">
        <v>0</v>
      </c>
      <c r="AV50" s="115">
        <v>0</v>
      </c>
      <c r="AW50" s="115">
        <v>0</v>
      </c>
      <c r="AX50" s="115">
        <v>0</v>
      </c>
      <c r="AY50" s="115">
        <v>0</v>
      </c>
      <c r="AZ50" s="115">
        <v>0</v>
      </c>
      <c r="BA50" s="115">
        <v>0</v>
      </c>
    </row>
    <row r="51" spans="1:53" ht="15" customHeight="1" x14ac:dyDescent="0.3">
      <c r="A51" t="s">
        <v>184</v>
      </c>
      <c r="B51" s="114" t="str">
        <f>IF('Sumário | Summary'!P1=1,"Passivo de arrendamento","Lease liability ")</f>
        <v>Passivo de arrendamento</v>
      </c>
      <c r="C51" s="115">
        <v>0</v>
      </c>
      <c r="D51" s="115">
        <v>0</v>
      </c>
      <c r="E51" s="115">
        <v>0</v>
      </c>
      <c r="F51" s="115">
        <v>0</v>
      </c>
      <c r="G51" s="115">
        <v>0</v>
      </c>
      <c r="H51" s="115">
        <v>0</v>
      </c>
      <c r="I51" s="115">
        <v>0</v>
      </c>
      <c r="J51" s="115">
        <v>0</v>
      </c>
      <c r="K51" s="115">
        <v>0</v>
      </c>
      <c r="L51" s="115">
        <v>0</v>
      </c>
      <c r="M51" s="115">
        <v>0</v>
      </c>
      <c r="N51" s="115">
        <v>0</v>
      </c>
      <c r="O51" s="115">
        <v>0</v>
      </c>
      <c r="P51" s="115">
        <v>0</v>
      </c>
      <c r="Q51" s="115">
        <v>0</v>
      </c>
      <c r="R51" s="115">
        <v>0</v>
      </c>
      <c r="S51" s="115">
        <v>0</v>
      </c>
      <c r="T51" s="115">
        <v>0</v>
      </c>
      <c r="U51" s="115">
        <v>0</v>
      </c>
      <c r="V51" s="115">
        <v>0</v>
      </c>
      <c r="W51" s="115">
        <v>0</v>
      </c>
      <c r="X51" s="115">
        <v>0</v>
      </c>
      <c r="Y51" s="115">
        <v>0</v>
      </c>
      <c r="Z51" s="115">
        <v>0</v>
      </c>
      <c r="AA51" s="115">
        <v>0</v>
      </c>
      <c r="AB51" s="115">
        <v>0</v>
      </c>
      <c r="AC51" s="115">
        <v>0</v>
      </c>
      <c r="AD51" s="115">
        <v>0</v>
      </c>
      <c r="AE51" s="115">
        <v>0</v>
      </c>
      <c r="AF51" s="115">
        <v>0</v>
      </c>
      <c r="AG51" s="115">
        <v>0</v>
      </c>
      <c r="AH51" s="115">
        <v>0</v>
      </c>
      <c r="AI51" s="115">
        <v>0</v>
      </c>
      <c r="AJ51" s="115">
        <v>0</v>
      </c>
      <c r="AK51" s="115">
        <v>0</v>
      </c>
      <c r="AL51" s="115">
        <v>0</v>
      </c>
      <c r="AM51" s="115">
        <v>0</v>
      </c>
      <c r="AN51" s="115">
        <v>0</v>
      </c>
      <c r="AO51" s="115">
        <v>0</v>
      </c>
      <c r="AP51" s="115">
        <v>0</v>
      </c>
      <c r="AQ51" s="115">
        <v>1.95</v>
      </c>
      <c r="AR51" s="115">
        <v>0.98</v>
      </c>
      <c r="AS51" s="115">
        <v>0.96599999999999997</v>
      </c>
      <c r="AT51" s="115">
        <v>0.95199999999999996</v>
      </c>
      <c r="AU51" s="115">
        <v>0.93799999999999994</v>
      </c>
      <c r="AV51" s="115">
        <v>0.92400000000000004</v>
      </c>
      <c r="AW51" s="115">
        <v>0.91</v>
      </c>
      <c r="AX51" s="115">
        <v>0.89700000000000002</v>
      </c>
      <c r="AY51" s="115">
        <v>0.88400000000000001</v>
      </c>
      <c r="AZ51" s="115">
        <v>0.871</v>
      </c>
      <c r="BA51" s="115">
        <v>0</v>
      </c>
    </row>
    <row r="52" spans="1:53" ht="15" customHeight="1" x14ac:dyDescent="0.3">
      <c r="A52" t="s">
        <v>185</v>
      </c>
      <c r="B52" s="114" t="str">
        <f>IF('Sumário | Summary'!P1=1,"Demais contas a pagar","Other Accounts Payable")</f>
        <v>Demais contas a pagar</v>
      </c>
      <c r="C52" s="115">
        <v>25.071999999999999</v>
      </c>
      <c r="D52" s="115">
        <v>19.875</v>
      </c>
      <c r="E52" s="115">
        <v>22.273</v>
      </c>
      <c r="F52" s="115">
        <v>19.123000000000001</v>
      </c>
      <c r="G52" s="115">
        <v>18.396000000000001</v>
      </c>
      <c r="H52" s="115">
        <v>6.62</v>
      </c>
      <c r="I52" s="115">
        <v>12.064</v>
      </c>
      <c r="J52" s="115">
        <v>13.128</v>
      </c>
      <c r="K52" s="115">
        <v>46.514000000000003</v>
      </c>
      <c r="L52" s="115">
        <v>7.6559999999999997</v>
      </c>
      <c r="M52" s="115">
        <v>15.255000000000001</v>
      </c>
      <c r="N52" s="115">
        <v>17.413</v>
      </c>
      <c r="O52" s="116">
        <v>14.345000000000001</v>
      </c>
      <c r="P52" s="115">
        <v>35.17</v>
      </c>
      <c r="Q52" s="115">
        <v>39.697000000000003</v>
      </c>
      <c r="R52" s="115">
        <v>26.67</v>
      </c>
      <c r="S52" s="115">
        <v>41.603999999999999</v>
      </c>
      <c r="T52" s="115">
        <v>53.945999999999998</v>
      </c>
      <c r="U52" s="115">
        <v>44.856999999999999</v>
      </c>
      <c r="V52" s="115">
        <v>37.070999999999998</v>
      </c>
      <c r="W52" s="115">
        <v>31.975999999999999</v>
      </c>
      <c r="X52" s="115">
        <v>23.541</v>
      </c>
      <c r="Y52" s="115">
        <v>13.65</v>
      </c>
      <c r="Z52" s="115">
        <v>45.381</v>
      </c>
      <c r="AA52" s="115">
        <v>30.106000000000002</v>
      </c>
      <c r="AB52" s="115">
        <v>28.908999999999999</v>
      </c>
      <c r="AC52" s="115">
        <v>95.418999999999997</v>
      </c>
      <c r="AD52" s="115">
        <v>73.435000000000002</v>
      </c>
      <c r="AE52" s="115">
        <v>64.573999999999998</v>
      </c>
      <c r="AF52" s="115">
        <v>35.988999999999997</v>
      </c>
      <c r="AG52" s="115">
        <v>41.555</v>
      </c>
      <c r="AH52" s="115">
        <v>30.760999999999999</v>
      </c>
      <c r="AI52" s="115">
        <v>37.231000000000002</v>
      </c>
      <c r="AJ52" s="115">
        <v>25.73</v>
      </c>
      <c r="AK52" s="115">
        <v>34.014000000000003</v>
      </c>
      <c r="AL52" s="115">
        <v>29.172000000000001</v>
      </c>
      <c r="AM52" s="115">
        <v>60.795000000000002</v>
      </c>
      <c r="AN52" s="115">
        <v>31.486999999999998</v>
      </c>
      <c r="AO52" s="117">
        <v>69.965000000000003</v>
      </c>
      <c r="AP52" s="115">
        <v>25.294</v>
      </c>
      <c r="AQ52" s="115">
        <v>21.617999999999999</v>
      </c>
      <c r="AR52" s="115">
        <v>10.744</v>
      </c>
      <c r="AS52" s="115">
        <v>20.048999999999999</v>
      </c>
      <c r="AT52" s="115">
        <v>19.169</v>
      </c>
      <c r="AU52" s="115">
        <v>21.137</v>
      </c>
      <c r="AV52" s="115">
        <v>13.492000000000001</v>
      </c>
      <c r="AW52" s="115">
        <v>27.244</v>
      </c>
      <c r="AX52" s="115">
        <v>27.347999999999999</v>
      </c>
      <c r="AY52" s="115">
        <v>36.601999999999997</v>
      </c>
      <c r="AZ52" s="115">
        <v>39.914999999999999</v>
      </c>
      <c r="BA52" s="115">
        <v>0</v>
      </c>
    </row>
    <row r="53" spans="1:53" ht="15" customHeight="1" x14ac:dyDescent="0.3">
      <c r="A53" t="s">
        <v>186</v>
      </c>
      <c r="B53" s="24" t="str">
        <f>IF('Sumário | Summary'!P1=1,"Exigível a longo prazo","Long-term liabilities")</f>
        <v>Exigível a longo prazo</v>
      </c>
      <c r="C53" s="113">
        <v>849.88999999999987</v>
      </c>
      <c r="D53" s="113">
        <v>1036.7629999999999</v>
      </c>
      <c r="E53" s="113">
        <v>1121.2190000000001</v>
      </c>
      <c r="F53" s="113">
        <v>1183.4150000000004</v>
      </c>
      <c r="G53" s="113">
        <v>1423.271</v>
      </c>
      <c r="H53" s="113">
        <v>1774.0260000000003</v>
      </c>
      <c r="I53" s="113">
        <v>1938.386</v>
      </c>
      <c r="J53" s="113">
        <v>2029.2399999999998</v>
      </c>
      <c r="K53" s="113">
        <v>2404.7489999999998</v>
      </c>
      <c r="L53" s="113">
        <v>2252.9990000000003</v>
      </c>
      <c r="M53" s="113">
        <v>2220.1319999999996</v>
      </c>
      <c r="N53" s="113">
        <v>2279.5700000000006</v>
      </c>
      <c r="O53" s="113">
        <v>2254.4614000000001</v>
      </c>
      <c r="P53" s="113">
        <v>1980.0796</v>
      </c>
      <c r="Q53" s="113">
        <v>1937.6210000000001</v>
      </c>
      <c r="R53" s="113">
        <v>2038.31</v>
      </c>
      <c r="S53" s="113">
        <v>2208.6614</v>
      </c>
      <c r="T53" s="113">
        <f t="shared" ref="T53:AS53" si="6">SUM(T54:T64)</f>
        <v>2155.6120000000001</v>
      </c>
      <c r="U53" s="113">
        <f t="shared" si="6"/>
        <v>2086.2919999999999</v>
      </c>
      <c r="V53" s="113">
        <f t="shared" si="6"/>
        <v>1561.3020000000001</v>
      </c>
      <c r="W53" s="113">
        <f t="shared" si="6"/>
        <v>1429.6859999999999</v>
      </c>
      <c r="X53" s="113">
        <f t="shared" si="6"/>
        <v>1592.8700000000001</v>
      </c>
      <c r="Y53" s="113">
        <f t="shared" si="6"/>
        <v>1559.9669999999999</v>
      </c>
      <c r="Z53" s="113">
        <f t="shared" si="6"/>
        <v>1438.1939999999997</v>
      </c>
      <c r="AA53" s="113">
        <f t="shared" si="6"/>
        <v>1447.739</v>
      </c>
      <c r="AB53" s="113">
        <f t="shared" si="6"/>
        <v>1383.5340000000001</v>
      </c>
      <c r="AC53" s="113">
        <f t="shared" si="6"/>
        <v>1667.6620000000003</v>
      </c>
      <c r="AD53" s="113">
        <f t="shared" si="6"/>
        <v>1542.127</v>
      </c>
      <c r="AE53" s="113">
        <f t="shared" si="6"/>
        <v>1889.5809999999997</v>
      </c>
      <c r="AF53" s="113">
        <f t="shared" si="6"/>
        <v>1835.4670000000001</v>
      </c>
      <c r="AG53" s="113">
        <f t="shared" si="6"/>
        <v>1835.5810000000001</v>
      </c>
      <c r="AH53" s="113">
        <f t="shared" si="6"/>
        <v>1787.2070000000003</v>
      </c>
      <c r="AI53" s="113">
        <f t="shared" si="6"/>
        <v>1776.694</v>
      </c>
      <c r="AJ53" s="113">
        <f t="shared" si="6"/>
        <v>1705.825</v>
      </c>
      <c r="AK53" s="113">
        <f t="shared" si="6"/>
        <v>1910.6279999999999</v>
      </c>
      <c r="AL53" s="113">
        <f t="shared" si="6"/>
        <v>1865.8129999999999</v>
      </c>
      <c r="AM53" s="113">
        <f t="shared" si="6"/>
        <v>1787.1570000000002</v>
      </c>
      <c r="AN53" s="113">
        <f t="shared" si="6"/>
        <v>1714.5410000000002</v>
      </c>
      <c r="AO53" s="113">
        <f t="shared" si="6"/>
        <v>1541.1179999999999</v>
      </c>
      <c r="AP53" s="113">
        <f t="shared" si="6"/>
        <v>1402.6709999999998</v>
      </c>
      <c r="AQ53" s="113">
        <f t="shared" si="6"/>
        <v>1406.0540000000001</v>
      </c>
      <c r="AR53" s="113">
        <f t="shared" si="6"/>
        <v>1409.9869999999999</v>
      </c>
      <c r="AS53" s="113">
        <f t="shared" si="6"/>
        <v>1361.2080000000001</v>
      </c>
      <c r="AT53" s="113">
        <v>1359.1590000000001</v>
      </c>
      <c r="AU53" s="113">
        <v>1360.2080000000001</v>
      </c>
      <c r="AV53" s="113">
        <v>1286.546</v>
      </c>
      <c r="AW53" s="113">
        <v>1285.3959999999997</v>
      </c>
      <c r="AX53" s="113">
        <v>1206.6199999999999</v>
      </c>
      <c r="AY53" s="113">
        <v>1086.739</v>
      </c>
      <c r="AZ53" s="113">
        <v>1093.213</v>
      </c>
      <c r="BA53" s="113">
        <f>SUM(BA54:BA64)</f>
        <v>3.7719999999999998</v>
      </c>
    </row>
    <row r="54" spans="1:53" ht="15" customHeight="1" x14ac:dyDescent="0.3">
      <c r="A54" t="s">
        <v>187</v>
      </c>
      <c r="B54" s="114" t="str">
        <f>IF('Sumário | Summary'!P1=1,"Empréstimos e financiamentos","Loans and Financing")</f>
        <v>Empréstimos e financiamentos</v>
      </c>
      <c r="C54" s="115">
        <v>355.90699999999998</v>
      </c>
      <c r="D54" s="115">
        <v>413.642</v>
      </c>
      <c r="E54" s="115">
        <v>507.94</v>
      </c>
      <c r="F54" s="115">
        <v>580.01700000000005</v>
      </c>
      <c r="G54" s="115">
        <v>638.01199999999994</v>
      </c>
      <c r="H54" s="115">
        <v>870.61300000000006</v>
      </c>
      <c r="I54" s="115">
        <v>939.12599999999998</v>
      </c>
      <c r="J54" s="115">
        <v>1007.885</v>
      </c>
      <c r="K54" s="115">
        <v>1396.1289999999999</v>
      </c>
      <c r="L54" s="115">
        <v>1364.7909999999999</v>
      </c>
      <c r="M54" s="115">
        <v>1327.4380000000001</v>
      </c>
      <c r="N54" s="115">
        <v>1405.711</v>
      </c>
      <c r="O54" s="116">
        <v>1398.7370000000001</v>
      </c>
      <c r="P54" s="115">
        <v>1323.7339999999999</v>
      </c>
      <c r="Q54" s="115">
        <v>1303.21</v>
      </c>
      <c r="R54" s="115">
        <v>1295.383</v>
      </c>
      <c r="S54" s="115">
        <v>1268.972</v>
      </c>
      <c r="T54" s="115">
        <v>1264.2860000000001</v>
      </c>
      <c r="U54" s="115">
        <v>1200.076</v>
      </c>
      <c r="V54" s="115">
        <v>910.90599999999995</v>
      </c>
      <c r="W54" s="115">
        <v>895.82399999999996</v>
      </c>
      <c r="X54" s="115">
        <v>890.06500000000005</v>
      </c>
      <c r="Y54" s="115">
        <v>862.18200000000002</v>
      </c>
      <c r="Z54" s="115">
        <v>853.01300000000003</v>
      </c>
      <c r="AA54" s="115">
        <v>633.49599999999998</v>
      </c>
      <c r="AB54" s="115">
        <v>625.779</v>
      </c>
      <c r="AC54" s="115">
        <v>610.14300000000003</v>
      </c>
      <c r="AD54" s="115">
        <v>602.40700000000004</v>
      </c>
      <c r="AE54" s="115">
        <v>88.328999999999994</v>
      </c>
      <c r="AF54" s="115">
        <v>86.409000000000006</v>
      </c>
      <c r="AG54" s="115">
        <v>84.784999999999997</v>
      </c>
      <c r="AH54" s="115">
        <v>83.125</v>
      </c>
      <c r="AI54" s="115">
        <v>81.430999999999997</v>
      </c>
      <c r="AJ54" s="115">
        <v>79.7</v>
      </c>
      <c r="AK54" s="115">
        <v>77.932000000000002</v>
      </c>
      <c r="AL54" s="117">
        <v>76.126999999999995</v>
      </c>
      <c r="AM54" s="117">
        <v>0</v>
      </c>
      <c r="AN54" s="117">
        <v>0</v>
      </c>
      <c r="AO54" s="117">
        <v>0</v>
      </c>
      <c r="AP54" s="115">
        <v>0</v>
      </c>
      <c r="AQ54" s="115">
        <v>0</v>
      </c>
      <c r="AR54" s="115">
        <v>0</v>
      </c>
      <c r="AS54" s="115">
        <v>0</v>
      </c>
      <c r="AT54" s="115">
        <v>0</v>
      </c>
      <c r="AU54" s="115">
        <v>0</v>
      </c>
      <c r="AV54" s="115">
        <v>0</v>
      </c>
      <c r="AW54" s="115">
        <v>0</v>
      </c>
      <c r="AX54" s="115">
        <v>0</v>
      </c>
      <c r="AY54" s="115">
        <v>0</v>
      </c>
      <c r="AZ54" s="115">
        <v>0</v>
      </c>
      <c r="BA54" s="115">
        <v>0</v>
      </c>
    </row>
    <row r="55" spans="1:53" ht="15" customHeight="1" x14ac:dyDescent="0.3">
      <c r="A55" t="s">
        <v>188</v>
      </c>
      <c r="B55" s="114" t="str">
        <f>IF('Sumário | Summary'!P1=1,"Debêntures","Debentures")</f>
        <v>Debêntures</v>
      </c>
      <c r="C55" s="115">
        <v>470.12200000000001</v>
      </c>
      <c r="D55" s="115">
        <v>600.428</v>
      </c>
      <c r="E55" s="115">
        <v>587.58500000000004</v>
      </c>
      <c r="F55" s="115">
        <v>568.93700000000001</v>
      </c>
      <c r="G55" s="115">
        <v>752.01499999999999</v>
      </c>
      <c r="H55" s="115">
        <v>886.18200000000002</v>
      </c>
      <c r="I55" s="115">
        <v>870.81600000000003</v>
      </c>
      <c r="J55" s="115">
        <v>855.65599999999995</v>
      </c>
      <c r="K55" s="115">
        <v>840.38599999999997</v>
      </c>
      <c r="L55" s="115">
        <v>722.90899999999999</v>
      </c>
      <c r="M55" s="115">
        <v>707.62900000000002</v>
      </c>
      <c r="N55" s="115">
        <v>692.31700000000001</v>
      </c>
      <c r="O55" s="116">
        <v>680.13300000000004</v>
      </c>
      <c r="P55" s="115">
        <v>479.839</v>
      </c>
      <c r="Q55" s="115">
        <v>462.55200000000002</v>
      </c>
      <c r="R55" s="115">
        <v>439.70400000000001</v>
      </c>
      <c r="S55" s="115">
        <v>643.06600000000003</v>
      </c>
      <c r="T55" s="115">
        <v>606.89400000000001</v>
      </c>
      <c r="U55" s="115">
        <v>606.06600000000003</v>
      </c>
      <c r="V55" s="115">
        <v>490.238</v>
      </c>
      <c r="W55" s="115">
        <v>376.51299999999998</v>
      </c>
      <c r="X55" s="115">
        <v>670.27099999999996</v>
      </c>
      <c r="Y55" s="115">
        <v>669.351</v>
      </c>
      <c r="Z55" s="115">
        <v>560.81700000000001</v>
      </c>
      <c r="AA55" s="115">
        <v>792.5</v>
      </c>
      <c r="AB55" s="115">
        <v>744.61199999999997</v>
      </c>
      <c r="AC55" s="115">
        <v>1046.002</v>
      </c>
      <c r="AD55" s="115">
        <v>929.00699999999995</v>
      </c>
      <c r="AE55" s="115">
        <v>1384.9179999999999</v>
      </c>
      <c r="AF55" s="115">
        <v>1331.2650000000001</v>
      </c>
      <c r="AG55" s="115">
        <v>1334.83</v>
      </c>
      <c r="AH55" s="115">
        <v>1288.96</v>
      </c>
      <c r="AI55" s="115">
        <v>1277.8820000000001</v>
      </c>
      <c r="AJ55" s="115">
        <v>1208.3610000000001</v>
      </c>
      <c r="AK55" s="115">
        <v>1414.548</v>
      </c>
      <c r="AL55" s="115">
        <v>1374.654</v>
      </c>
      <c r="AM55" s="115">
        <v>1375.9760000000001</v>
      </c>
      <c r="AN55" s="115">
        <v>1302.6300000000001</v>
      </c>
      <c r="AO55" s="117">
        <v>1131.0519999999999</v>
      </c>
      <c r="AP55" s="115">
        <v>992.18399999999997</v>
      </c>
      <c r="AQ55" s="115">
        <v>993.26700000000005</v>
      </c>
      <c r="AR55" s="115">
        <v>997.30600000000004</v>
      </c>
      <c r="AS55" s="115">
        <v>952.04300000000001</v>
      </c>
      <c r="AT55" s="115">
        <v>949.899</v>
      </c>
      <c r="AU55" s="115">
        <v>949.78800000000001</v>
      </c>
      <c r="AV55" s="115">
        <v>878</v>
      </c>
      <c r="AW55" s="115">
        <v>878.18499999999995</v>
      </c>
      <c r="AX55" s="115">
        <v>799.77</v>
      </c>
      <c r="AY55" s="115">
        <v>683.06399999999996</v>
      </c>
      <c r="AZ55" s="115">
        <v>689.66200000000003</v>
      </c>
      <c r="BA55" s="115">
        <v>0</v>
      </c>
    </row>
    <row r="56" spans="1:53" ht="15" customHeight="1" x14ac:dyDescent="0.3">
      <c r="A56" t="s">
        <v>189</v>
      </c>
      <c r="B56" s="114" t="str">
        <f>IF('Sumário | Summary'!P1=1,"Notas Promissórias","Promissory Notes")</f>
        <v>Notas Promissórias</v>
      </c>
      <c r="C56" s="115">
        <v>0</v>
      </c>
      <c r="D56" s="115">
        <v>0</v>
      </c>
      <c r="E56" s="115">
        <v>0</v>
      </c>
      <c r="F56" s="115">
        <v>0</v>
      </c>
      <c r="G56" s="115">
        <v>0</v>
      </c>
      <c r="H56" s="115">
        <v>0</v>
      </c>
      <c r="I56" s="115">
        <v>0</v>
      </c>
      <c r="J56" s="115">
        <v>0</v>
      </c>
      <c r="K56" s="115">
        <v>0</v>
      </c>
      <c r="L56" s="115">
        <v>0</v>
      </c>
      <c r="M56" s="115">
        <v>0</v>
      </c>
      <c r="N56" s="115">
        <v>0</v>
      </c>
      <c r="O56" s="115">
        <v>0</v>
      </c>
      <c r="P56" s="115">
        <v>0</v>
      </c>
      <c r="Q56" s="115">
        <v>0</v>
      </c>
      <c r="R56" s="115">
        <v>135</v>
      </c>
      <c r="S56">
        <v>135</v>
      </c>
      <c r="T56" s="120">
        <v>127.5</v>
      </c>
      <c r="U56" s="120">
        <v>127.5</v>
      </c>
      <c r="V56" s="120">
        <v>120</v>
      </c>
      <c r="W56" s="115">
        <v>120</v>
      </c>
      <c r="X56" s="115">
        <v>0</v>
      </c>
      <c r="Y56" s="115">
        <v>0</v>
      </c>
      <c r="Z56" s="115">
        <v>0</v>
      </c>
      <c r="AA56" s="115">
        <v>0</v>
      </c>
      <c r="AB56" s="115">
        <v>0</v>
      </c>
      <c r="AC56" s="115">
        <v>0</v>
      </c>
      <c r="AD56" s="115">
        <v>0</v>
      </c>
      <c r="AE56" s="115">
        <v>0</v>
      </c>
      <c r="AF56" s="115">
        <v>0</v>
      </c>
      <c r="AG56" s="115">
        <v>0</v>
      </c>
      <c r="AH56" s="115">
        <v>0</v>
      </c>
      <c r="AI56" s="115">
        <v>0</v>
      </c>
      <c r="AJ56" s="115">
        <v>0</v>
      </c>
      <c r="AK56" s="115">
        <v>0</v>
      </c>
      <c r="AL56" s="115">
        <v>0</v>
      </c>
      <c r="AM56" s="115">
        <v>0</v>
      </c>
      <c r="AN56" s="115">
        <v>0</v>
      </c>
      <c r="AO56" s="117">
        <v>0</v>
      </c>
      <c r="AP56" s="115">
        <v>0</v>
      </c>
      <c r="AQ56" s="115">
        <v>0</v>
      </c>
      <c r="AR56" s="115">
        <v>0</v>
      </c>
      <c r="AS56" s="115">
        <v>0</v>
      </c>
      <c r="AT56" s="115">
        <v>0</v>
      </c>
      <c r="AU56" s="115">
        <v>0</v>
      </c>
      <c r="AV56" s="115">
        <v>0</v>
      </c>
      <c r="AW56" s="115">
        <v>0</v>
      </c>
      <c r="AX56" s="115">
        <v>0</v>
      </c>
      <c r="AY56" s="115">
        <v>0</v>
      </c>
      <c r="AZ56" s="115">
        <v>0</v>
      </c>
      <c r="BA56" s="115">
        <v>0</v>
      </c>
    </row>
    <row r="57" spans="1:53" ht="15" customHeight="1" x14ac:dyDescent="0.3">
      <c r="A57" t="s">
        <v>190</v>
      </c>
      <c r="B57" s="114" t="str">
        <f>IF('Sumário | Summary'!P1=1,"Impostos e contribuições diferidos","Tax and Contributions - Deferred")</f>
        <v>Impostos e contribuições diferidos</v>
      </c>
      <c r="C57" s="115">
        <v>3.6930000000000001</v>
      </c>
      <c r="D57" s="115">
        <v>2.9529999999999998</v>
      </c>
      <c r="E57" s="115">
        <v>3.5230000000000001</v>
      </c>
      <c r="F57" s="115">
        <v>3.8140000000000001</v>
      </c>
      <c r="G57" s="115">
        <v>4.242</v>
      </c>
      <c r="H57" s="115">
        <v>7.2210000000000001</v>
      </c>
      <c r="I57" s="115">
        <v>7.6319999999999997</v>
      </c>
      <c r="J57" s="115">
        <v>8.0440000000000005</v>
      </c>
      <c r="K57" s="115">
        <v>8.1560000000000006</v>
      </c>
      <c r="L57" s="115">
        <v>8.4849999999999994</v>
      </c>
      <c r="M57" s="115">
        <v>10.58</v>
      </c>
      <c r="N57" s="115">
        <v>10.146000000000001</v>
      </c>
      <c r="O57" s="116">
        <v>9.4740000000000002</v>
      </c>
      <c r="P57" s="115">
        <v>10.834</v>
      </c>
      <c r="Q57" s="115">
        <v>10.26</v>
      </c>
      <c r="R57" s="115">
        <v>9.7110000000000003</v>
      </c>
      <c r="S57" s="115">
        <v>8.8040000000000003</v>
      </c>
      <c r="T57" s="115">
        <v>8.0690000000000008</v>
      </c>
      <c r="U57" s="115">
        <v>7.423</v>
      </c>
      <c r="V57" s="115">
        <v>6.8239999999999998</v>
      </c>
      <c r="W57" s="115">
        <v>6.2640000000000002</v>
      </c>
      <c r="X57" s="115">
        <v>5.4509999999999996</v>
      </c>
      <c r="Y57" s="115">
        <v>4.859</v>
      </c>
      <c r="Z57" s="115">
        <v>4.0419999999999998</v>
      </c>
      <c r="AA57" s="115">
        <v>3.5249999999999999</v>
      </c>
      <c r="AB57" s="115">
        <v>3.1920000000000002</v>
      </c>
      <c r="AC57" s="115">
        <v>2.8039999999999998</v>
      </c>
      <c r="AD57" s="115">
        <v>2.4180000000000001</v>
      </c>
      <c r="AE57" s="115">
        <v>2.2010000000000001</v>
      </c>
      <c r="AF57" s="115">
        <v>1.9139999999999999</v>
      </c>
      <c r="AG57" s="115">
        <v>1.7470000000000001</v>
      </c>
      <c r="AH57" s="115">
        <v>1.641</v>
      </c>
      <c r="AI57" s="115">
        <v>1.54</v>
      </c>
      <c r="AJ57" s="115">
        <v>1.536</v>
      </c>
      <c r="AK57" s="115">
        <v>1.373</v>
      </c>
      <c r="AL57" s="115">
        <v>1.446</v>
      </c>
      <c r="AM57" s="115">
        <v>1.3480000000000001</v>
      </c>
      <c r="AN57" s="115">
        <v>1.407</v>
      </c>
      <c r="AO57" s="117">
        <v>1.3</v>
      </c>
      <c r="AP57" s="115">
        <v>1.2629999999999999</v>
      </c>
      <c r="AQ57" s="115">
        <v>1.2070000000000001</v>
      </c>
      <c r="AR57" s="115">
        <v>1.131</v>
      </c>
      <c r="AS57" s="115">
        <v>1.1339999999999999</v>
      </c>
      <c r="AT57" s="115">
        <v>1.1890000000000001</v>
      </c>
      <c r="AU57" s="115">
        <v>1.1830000000000001</v>
      </c>
      <c r="AV57" s="115">
        <v>1.119</v>
      </c>
      <c r="AW57" s="115">
        <v>0.59099999999999997</v>
      </c>
      <c r="AX57" s="115">
        <v>0.59</v>
      </c>
      <c r="AY57" s="115">
        <v>0.54800000000000004</v>
      </c>
      <c r="AZ57" s="115">
        <v>0.58799999999999997</v>
      </c>
      <c r="BA57" s="115">
        <v>0</v>
      </c>
    </row>
    <row r="58" spans="1:53" x14ac:dyDescent="0.3">
      <c r="A58" t="s">
        <v>191</v>
      </c>
      <c r="B58" s="114" t="str">
        <f>IF('Sumário | Summary'!P1=1,"Receita res-sperata a apropriar","Key Money to be Recognized")</f>
        <v>Receita res-sperata a apropriar</v>
      </c>
      <c r="C58" s="115">
        <v>0</v>
      </c>
      <c r="D58" s="115">
        <v>0</v>
      </c>
      <c r="E58" s="115">
        <v>0</v>
      </c>
      <c r="F58" s="115">
        <v>0</v>
      </c>
      <c r="G58" s="115">
        <v>21.782</v>
      </c>
      <c r="H58" s="115">
        <v>4.4390000000000001</v>
      </c>
      <c r="I58" s="115">
        <v>7.9489999999999998</v>
      </c>
      <c r="J58" s="115">
        <v>44.792000000000002</v>
      </c>
      <c r="K58" s="115">
        <v>47.207000000000001</v>
      </c>
      <c r="L58" s="115">
        <v>43.942999999999998</v>
      </c>
      <c r="M58" s="115">
        <v>61.622</v>
      </c>
      <c r="N58" s="115">
        <v>58.603000000000002</v>
      </c>
      <c r="O58" s="116">
        <v>53.465400000000002</v>
      </c>
      <c r="P58" s="115">
        <v>53.349599999999995</v>
      </c>
      <c r="Q58" s="115">
        <v>50.357999999999997</v>
      </c>
      <c r="R58" s="115">
        <v>47.341999999999999</v>
      </c>
      <c r="S58" s="115">
        <v>42.6464</v>
      </c>
      <c r="T58" s="115">
        <v>38.761000000000003</v>
      </c>
      <c r="U58" s="115">
        <v>35.29</v>
      </c>
      <c r="V58" s="115">
        <v>32.113</v>
      </c>
      <c r="W58" s="115">
        <v>29.477</v>
      </c>
      <c r="X58" s="115">
        <v>25.651</v>
      </c>
      <c r="Y58" s="115">
        <v>22.867000000000001</v>
      </c>
      <c r="Z58" s="115">
        <v>18.07</v>
      </c>
      <c r="AA58" s="115">
        <v>16.59</v>
      </c>
      <c r="AB58" s="115">
        <v>8.3230000000000004</v>
      </c>
      <c r="AC58" s="115">
        <v>7.0919999999999996</v>
      </c>
      <c r="AD58" s="115">
        <v>6.5819999999999999</v>
      </c>
      <c r="AE58" s="115">
        <v>6.08</v>
      </c>
      <c r="AF58" s="115">
        <v>7.016</v>
      </c>
      <c r="AG58" s="115">
        <v>6.4729999999999999</v>
      </c>
      <c r="AH58" s="115">
        <v>6.1219999999999999</v>
      </c>
      <c r="AI58" s="115">
        <v>5.8710000000000004</v>
      </c>
      <c r="AJ58" s="115">
        <v>5.79</v>
      </c>
      <c r="AK58" s="115">
        <v>5.2220000000000004</v>
      </c>
      <c r="AL58" s="115">
        <v>5.9889999999999999</v>
      </c>
      <c r="AM58" s="115">
        <v>5.4989999999999997</v>
      </c>
      <c r="AN58" s="115">
        <v>5.64</v>
      </c>
      <c r="AO58" s="117">
        <v>4.968</v>
      </c>
      <c r="AP58" s="115">
        <v>4.9770000000000003</v>
      </c>
      <c r="AQ58" s="115">
        <v>5.79</v>
      </c>
      <c r="AR58" s="115">
        <v>5.3810000000000002</v>
      </c>
      <c r="AS58" s="115">
        <v>4.0629999999999997</v>
      </c>
      <c r="AT58" s="115">
        <v>4.5620000000000003</v>
      </c>
      <c r="AU58" s="115">
        <v>4.3010000000000002</v>
      </c>
      <c r="AV58" s="115">
        <v>3.7170000000000001</v>
      </c>
      <c r="AW58" s="115">
        <v>2.1440000000000001</v>
      </c>
      <c r="AX58" s="115">
        <v>2.15</v>
      </c>
      <c r="AY58" s="115">
        <v>2.0619999999999998</v>
      </c>
      <c r="AZ58" s="115">
        <v>2.3050000000000002</v>
      </c>
      <c r="BA58" s="115">
        <v>0</v>
      </c>
    </row>
    <row r="59" spans="1:53" x14ac:dyDescent="0.3">
      <c r="A59" t="s">
        <v>192</v>
      </c>
      <c r="B59" s="114" t="str">
        <f>IF('Sumário | Summary'!P1=1,"Demais contas a pagar","Other accounts payable")</f>
        <v>Demais contas a pagar</v>
      </c>
      <c r="C59" s="115">
        <v>5.9349999999999996</v>
      </c>
      <c r="D59" s="115">
        <v>2.415</v>
      </c>
      <c r="E59" s="115">
        <v>0.73099999999999998</v>
      </c>
      <c r="F59" s="115">
        <v>0.44</v>
      </c>
      <c r="G59" s="115">
        <v>0.86699999999999999</v>
      </c>
      <c r="H59" s="115">
        <v>0.48699999999999999</v>
      </c>
      <c r="I59" s="115">
        <v>0</v>
      </c>
      <c r="J59" s="115">
        <v>0</v>
      </c>
      <c r="K59" s="115">
        <v>0</v>
      </c>
      <c r="L59" s="115" t="s">
        <v>73</v>
      </c>
      <c r="M59" s="115">
        <v>0</v>
      </c>
      <c r="N59" s="115">
        <v>0</v>
      </c>
      <c r="O59" s="116">
        <v>0</v>
      </c>
      <c r="P59" s="115">
        <v>0.97699999999999998</v>
      </c>
      <c r="Q59" s="115">
        <v>0</v>
      </c>
      <c r="R59" s="115">
        <v>0</v>
      </c>
      <c r="S59" s="115">
        <v>0</v>
      </c>
      <c r="T59" s="115">
        <v>0</v>
      </c>
      <c r="U59" s="115">
        <v>0</v>
      </c>
      <c r="V59" s="115">
        <v>0</v>
      </c>
      <c r="W59" s="115">
        <v>0</v>
      </c>
      <c r="X59" s="115">
        <v>0</v>
      </c>
      <c r="Y59" s="115">
        <v>0</v>
      </c>
      <c r="Z59" s="115">
        <v>0</v>
      </c>
      <c r="AA59" s="115">
        <v>0</v>
      </c>
      <c r="AB59" s="115">
        <v>0</v>
      </c>
      <c r="AC59" s="115">
        <v>0</v>
      </c>
      <c r="AD59" s="115">
        <v>0</v>
      </c>
      <c r="AE59" s="115">
        <v>5.2489999999999997</v>
      </c>
      <c r="AF59" s="115">
        <v>4.96</v>
      </c>
      <c r="AG59" s="115">
        <v>4.7309999999999999</v>
      </c>
      <c r="AH59" s="115">
        <v>4.5049999999999999</v>
      </c>
      <c r="AI59" s="115">
        <v>4.282</v>
      </c>
      <c r="AJ59" s="115">
        <v>3.9910000000000001</v>
      </c>
      <c r="AK59" s="115">
        <v>3.8479999999999999</v>
      </c>
      <c r="AL59" s="115">
        <v>4.4669999999999996</v>
      </c>
      <c r="AM59" s="115">
        <v>4.2089999999999996</v>
      </c>
      <c r="AN59" s="115">
        <v>4.21</v>
      </c>
      <c r="AO59" s="117">
        <v>3.7050000000000001</v>
      </c>
      <c r="AP59" s="115">
        <v>3.4580000000000002</v>
      </c>
      <c r="AQ59" s="115">
        <v>3.2149999999999999</v>
      </c>
      <c r="AR59" s="115">
        <v>2.9750000000000001</v>
      </c>
      <c r="AS59" s="115">
        <v>0</v>
      </c>
      <c r="AT59" s="115">
        <v>0</v>
      </c>
      <c r="AU59" s="115">
        <v>1.083</v>
      </c>
      <c r="AV59" s="115">
        <v>0.94199999999999995</v>
      </c>
      <c r="AW59" s="115">
        <v>1.829</v>
      </c>
      <c r="AX59" s="115">
        <v>1.829</v>
      </c>
      <c r="AY59" s="115">
        <v>0</v>
      </c>
      <c r="AZ59" s="115">
        <v>0</v>
      </c>
      <c r="BA59" s="115">
        <v>0</v>
      </c>
    </row>
    <row r="60" spans="1:53" ht="15" customHeight="1" x14ac:dyDescent="0.3">
      <c r="A60" t="s">
        <v>193</v>
      </c>
      <c r="B60" s="114" t="str">
        <f>IF('Sumário | Summary'!P1=1,"Contas a pagar por aquisição de imóveis","Accounts payable due to real estate acquisition")</f>
        <v>Contas a pagar por aquisição de imóveis</v>
      </c>
      <c r="C60" s="115">
        <v>0</v>
      </c>
      <c r="D60" s="115">
        <v>0</v>
      </c>
      <c r="E60" s="115">
        <v>0</v>
      </c>
      <c r="F60" s="115">
        <v>6.226</v>
      </c>
      <c r="G60" s="115">
        <v>1.2689999999999999</v>
      </c>
      <c r="H60" s="115">
        <v>0</v>
      </c>
      <c r="I60" s="115">
        <v>108.51300000000001</v>
      </c>
      <c r="J60" s="115">
        <v>0</v>
      </c>
      <c r="K60" s="115">
        <v>0</v>
      </c>
      <c r="L60" s="115" t="s">
        <v>73</v>
      </c>
      <c r="M60" s="115">
        <v>0</v>
      </c>
      <c r="N60" s="115">
        <v>0</v>
      </c>
      <c r="O60" s="116">
        <v>0</v>
      </c>
      <c r="P60" s="115">
        <v>0</v>
      </c>
      <c r="Q60" s="115">
        <v>0</v>
      </c>
      <c r="R60" s="115">
        <v>0</v>
      </c>
      <c r="S60" s="115">
        <v>0</v>
      </c>
      <c r="T60" s="115">
        <v>0</v>
      </c>
      <c r="U60" s="115">
        <v>0</v>
      </c>
      <c r="V60" s="115">
        <v>0</v>
      </c>
      <c r="W60" s="115">
        <v>0</v>
      </c>
      <c r="X60" s="115">
        <v>0</v>
      </c>
      <c r="Y60" s="115">
        <v>0</v>
      </c>
      <c r="Z60" s="115">
        <v>0</v>
      </c>
      <c r="AA60" s="115">
        <v>0</v>
      </c>
      <c r="AB60" s="115">
        <v>0</v>
      </c>
      <c r="AC60" s="115">
        <v>0</v>
      </c>
      <c r="AD60" s="115">
        <v>0</v>
      </c>
      <c r="AE60" s="115">
        <v>394.98399999999998</v>
      </c>
      <c r="AF60" s="115">
        <v>396.08199999999999</v>
      </c>
      <c r="AG60" s="115">
        <v>395.93700000000001</v>
      </c>
      <c r="AH60" s="115">
        <v>395.77600000000001</v>
      </c>
      <c r="AI60" s="115">
        <v>395.92500000000001</v>
      </c>
      <c r="AJ60" s="115">
        <v>396.02100000000002</v>
      </c>
      <c r="AK60" s="115">
        <v>396.02800000000002</v>
      </c>
      <c r="AL60" s="115">
        <v>396.11799999999999</v>
      </c>
      <c r="AM60" s="115">
        <v>396.40800000000002</v>
      </c>
      <c r="AN60" s="115">
        <v>396.55</v>
      </c>
      <c r="AO60" s="117">
        <v>395.77600000000001</v>
      </c>
      <c r="AP60" s="115">
        <v>395.77600000000001</v>
      </c>
      <c r="AQ60" s="115">
        <v>395.77600000000001</v>
      </c>
      <c r="AR60" s="115">
        <v>395.77600000000001</v>
      </c>
      <c r="AS60" s="115">
        <v>395.77600000000001</v>
      </c>
      <c r="AT60" s="115">
        <v>395.77600000000001</v>
      </c>
      <c r="AU60" s="115">
        <v>395.77600000000001</v>
      </c>
      <c r="AV60" s="115">
        <v>395.77600000000001</v>
      </c>
      <c r="AW60" s="115">
        <v>395.77600000000001</v>
      </c>
      <c r="AX60" s="115">
        <v>395.77600000000001</v>
      </c>
      <c r="AY60" s="115">
        <v>395.77600000000001</v>
      </c>
      <c r="AZ60" s="115">
        <v>395.77600000000001</v>
      </c>
      <c r="BA60" s="115">
        <v>0</v>
      </c>
    </row>
    <row r="61" spans="1:53" ht="15" customHeight="1" x14ac:dyDescent="0.3">
      <c r="A61" t="s">
        <v>194</v>
      </c>
      <c r="B61" s="114" t="str">
        <f>IF('Sumário | Summary'!P1=1,"Provisões para riscos trabalhistas, fiscais e cíveis","Provisions for labor, tax and civil contingencies")</f>
        <v>Provisões para riscos trabalhistas, fiscais e cíveis</v>
      </c>
      <c r="C61" s="115">
        <v>6.6020000000000003</v>
      </c>
      <c r="D61" s="115">
        <v>6.6020000000000003</v>
      </c>
      <c r="E61" s="115">
        <v>6.6020000000000003</v>
      </c>
      <c r="F61" s="115">
        <v>5.1219999999999999</v>
      </c>
      <c r="G61" s="115">
        <v>5.0839999999999996</v>
      </c>
      <c r="H61" s="115">
        <v>5.0839999999999996</v>
      </c>
      <c r="I61" s="115">
        <v>4.3499999999999996</v>
      </c>
      <c r="J61" s="115">
        <v>4.3499999999999996</v>
      </c>
      <c r="K61" s="115">
        <v>4.3579999999999997</v>
      </c>
      <c r="L61" s="115">
        <v>4.3579999999999997</v>
      </c>
      <c r="M61" s="115">
        <v>4.3499999999999996</v>
      </c>
      <c r="N61" s="115">
        <v>4.28</v>
      </c>
      <c r="O61" s="116">
        <v>4.1390000000000002</v>
      </c>
      <c r="P61" s="115">
        <v>2.8330000000000002</v>
      </c>
      <c r="Q61" s="115">
        <v>2.7280000000000002</v>
      </c>
      <c r="R61" s="115">
        <v>2.657</v>
      </c>
      <c r="S61" s="115">
        <v>1.66</v>
      </c>
      <c r="T61" s="115">
        <v>1.589</v>
      </c>
      <c r="U61" s="115">
        <v>1.4239999999999999</v>
      </c>
      <c r="V61" s="115">
        <v>1.2210000000000001</v>
      </c>
      <c r="W61" s="115">
        <v>1.6080000000000001</v>
      </c>
      <c r="X61" s="115">
        <v>1.4319999999999999</v>
      </c>
      <c r="Y61" s="115">
        <v>0.70799999999999996</v>
      </c>
      <c r="Z61" s="115">
        <v>2.2519999999999998</v>
      </c>
      <c r="AA61" s="115">
        <v>1.6279999999999999</v>
      </c>
      <c r="AB61" s="115">
        <v>1.6279999999999999</v>
      </c>
      <c r="AC61" s="115">
        <v>1.621</v>
      </c>
      <c r="AD61" s="115">
        <v>1.7130000000000001</v>
      </c>
      <c r="AE61" s="115">
        <v>7.82</v>
      </c>
      <c r="AF61" s="115">
        <v>7.8209999999999997</v>
      </c>
      <c r="AG61" s="115">
        <v>7.0780000000000003</v>
      </c>
      <c r="AH61" s="115">
        <v>7.0780000000000003</v>
      </c>
      <c r="AI61" s="115">
        <v>9.7629999999999999</v>
      </c>
      <c r="AJ61" s="115">
        <v>10.426</v>
      </c>
      <c r="AK61" s="115">
        <v>11.677</v>
      </c>
      <c r="AL61" s="115">
        <v>7.0119999999999996</v>
      </c>
      <c r="AM61" s="115">
        <v>3.7170000000000001</v>
      </c>
      <c r="AN61" s="115">
        <v>4.1040000000000001</v>
      </c>
      <c r="AO61" s="117">
        <v>4.3170000000000002</v>
      </c>
      <c r="AP61" s="115">
        <v>5.0129999999999999</v>
      </c>
      <c r="AQ61" s="115">
        <v>4.54</v>
      </c>
      <c r="AR61" s="115">
        <v>4.4429999999999996</v>
      </c>
      <c r="AS61" s="115">
        <v>5.4530000000000003</v>
      </c>
      <c r="AT61" s="115">
        <v>5.2270000000000003</v>
      </c>
      <c r="AU61" s="115">
        <v>5.8</v>
      </c>
      <c r="AV61" s="115">
        <v>4.9409999999999998</v>
      </c>
      <c r="AW61" s="115">
        <v>5.0419999999999998</v>
      </c>
      <c r="AX61" s="115">
        <v>4.8949999999999996</v>
      </c>
      <c r="AY61" s="115">
        <v>3.895</v>
      </c>
      <c r="AZ61" s="115">
        <v>3.7010000000000001</v>
      </c>
      <c r="BA61" s="115">
        <v>3.7719999999999998</v>
      </c>
    </row>
    <row r="62" spans="1:53" x14ac:dyDescent="0.3">
      <c r="A62" t="s">
        <v>195</v>
      </c>
      <c r="B62" s="114" t="str">
        <f>IF('Sumário | Summary'!P1=1,"Adiantamentos de clientes - permuta","Advances from customers - exchange")</f>
        <v>Adiantamentos de clientes - permuta</v>
      </c>
      <c r="C62" s="115">
        <v>0</v>
      </c>
      <c r="D62" s="115">
        <v>0</v>
      </c>
      <c r="E62" s="115">
        <v>0</v>
      </c>
      <c r="F62" s="115">
        <v>0</v>
      </c>
      <c r="G62" s="115">
        <v>0</v>
      </c>
      <c r="H62" s="115">
        <v>0</v>
      </c>
      <c r="I62" s="115">
        <v>0</v>
      </c>
      <c r="J62" s="115">
        <v>108.51300000000001</v>
      </c>
      <c r="K62" s="115">
        <v>108.51300000000001</v>
      </c>
      <c r="L62" s="115">
        <v>108.51300000000001</v>
      </c>
      <c r="M62" s="115">
        <v>108.51300000000001</v>
      </c>
      <c r="N62" s="115">
        <v>108.51300000000001</v>
      </c>
      <c r="O62" s="116">
        <v>108.51300000000001</v>
      </c>
      <c r="P62" s="115">
        <v>108.51300000000001</v>
      </c>
      <c r="Q62" s="115">
        <v>108.51300000000001</v>
      </c>
      <c r="R62" s="115">
        <v>108.51300000000001</v>
      </c>
      <c r="S62" s="115">
        <v>108.51300000000001</v>
      </c>
      <c r="T62" s="115">
        <v>108.51300000000001</v>
      </c>
      <c r="U62" s="115">
        <v>108.51300000000001</v>
      </c>
      <c r="V62" s="115">
        <v>0</v>
      </c>
      <c r="W62" s="115">
        <v>0</v>
      </c>
      <c r="X62" s="115">
        <v>0</v>
      </c>
      <c r="Y62" s="115">
        <v>0</v>
      </c>
      <c r="Z62" s="115">
        <v>0</v>
      </c>
      <c r="AA62" s="115">
        <v>0</v>
      </c>
      <c r="AB62" s="115">
        <v>0</v>
      </c>
      <c r="AC62" s="115">
        <v>0</v>
      </c>
      <c r="AD62" s="115">
        <v>0</v>
      </c>
      <c r="AE62" s="115">
        <v>0</v>
      </c>
      <c r="AF62" s="115">
        <v>0</v>
      </c>
      <c r="AG62" s="115">
        <v>0</v>
      </c>
      <c r="AH62" s="115">
        <v>0</v>
      </c>
      <c r="AI62" s="115">
        <v>0</v>
      </c>
      <c r="AJ62" s="115">
        <v>0</v>
      </c>
      <c r="AK62" s="115">
        <v>0</v>
      </c>
      <c r="AL62" s="115">
        <v>0</v>
      </c>
      <c r="AM62" s="115">
        <v>0</v>
      </c>
      <c r="AN62" s="115">
        <v>0</v>
      </c>
      <c r="AO62" s="117">
        <v>0</v>
      </c>
      <c r="AP62" s="115">
        <v>0</v>
      </c>
      <c r="AQ62" s="115">
        <v>0</v>
      </c>
      <c r="AR62" s="115">
        <v>0</v>
      </c>
      <c r="AS62" s="115">
        <v>0</v>
      </c>
      <c r="AT62" s="115">
        <v>0</v>
      </c>
      <c r="AU62" s="115">
        <v>0</v>
      </c>
      <c r="AV62" s="115">
        <v>0</v>
      </c>
      <c r="AW62" s="115">
        <v>0</v>
      </c>
      <c r="AX62" s="115">
        <v>0</v>
      </c>
      <c r="AY62" s="115">
        <v>0</v>
      </c>
      <c r="AZ62" s="115">
        <v>0</v>
      </c>
      <c r="BA62" s="115">
        <v>0</v>
      </c>
    </row>
    <row r="63" spans="1:53" ht="15.75" customHeight="1" x14ac:dyDescent="0.3">
      <c r="A63" t="s">
        <v>183</v>
      </c>
      <c r="B63" s="114" t="str">
        <f>IF('Sumário | Summary'!P1=1,"CDU a apropriar","Key Money to Recognize ")</f>
        <v>CDU a apropriar</v>
      </c>
      <c r="C63" s="115">
        <v>7.6310000000000002</v>
      </c>
      <c r="D63" s="115">
        <v>10.723000000000001</v>
      </c>
      <c r="E63" s="115">
        <v>14.837999999999999</v>
      </c>
      <c r="F63" s="115">
        <v>18.859000000000002</v>
      </c>
      <c r="G63" s="115">
        <v>0</v>
      </c>
      <c r="H63" s="115">
        <v>0</v>
      </c>
      <c r="I63" s="115">
        <v>0</v>
      </c>
      <c r="J63" s="115">
        <v>0</v>
      </c>
      <c r="K63" s="115">
        <v>0</v>
      </c>
      <c r="L63" s="115">
        <v>0</v>
      </c>
      <c r="M63" s="115">
        <v>0</v>
      </c>
      <c r="N63" s="115">
        <v>0</v>
      </c>
      <c r="O63" s="115">
        <v>0</v>
      </c>
      <c r="P63" s="115">
        <v>0</v>
      </c>
      <c r="Q63" s="115">
        <v>0</v>
      </c>
      <c r="R63" s="115">
        <v>0</v>
      </c>
      <c r="S63" s="115">
        <v>0</v>
      </c>
      <c r="T63" s="115">
        <v>0</v>
      </c>
      <c r="U63" s="115">
        <v>0</v>
      </c>
      <c r="V63" s="115">
        <v>0</v>
      </c>
      <c r="W63" s="115">
        <v>0</v>
      </c>
      <c r="X63" s="115">
        <v>0</v>
      </c>
      <c r="Y63" s="115">
        <v>0</v>
      </c>
      <c r="Z63" s="115">
        <v>0</v>
      </c>
      <c r="AA63" s="115">
        <v>0</v>
      </c>
      <c r="AB63" s="115">
        <v>0</v>
      </c>
      <c r="AC63" s="115">
        <v>0</v>
      </c>
      <c r="AD63" s="115">
        <v>0</v>
      </c>
      <c r="AE63" s="115">
        <v>0</v>
      </c>
      <c r="AF63" s="21">
        <v>0</v>
      </c>
      <c r="AG63" s="21">
        <v>0</v>
      </c>
      <c r="AH63" s="21">
        <v>0</v>
      </c>
      <c r="AI63" s="21">
        <v>0</v>
      </c>
      <c r="AJ63" s="21">
        <v>0</v>
      </c>
      <c r="AK63" s="115">
        <v>0</v>
      </c>
      <c r="AL63" s="115">
        <v>0</v>
      </c>
      <c r="AM63" s="115">
        <v>0</v>
      </c>
      <c r="AN63" s="115">
        <v>0</v>
      </c>
      <c r="AO63" s="117">
        <v>0</v>
      </c>
      <c r="AP63" s="115">
        <v>0</v>
      </c>
      <c r="AQ63" s="115">
        <v>0</v>
      </c>
      <c r="AR63" s="115">
        <v>0</v>
      </c>
      <c r="AS63" s="115">
        <v>0</v>
      </c>
      <c r="AT63" s="115">
        <v>0</v>
      </c>
      <c r="AU63" s="115">
        <v>0</v>
      </c>
      <c r="AV63" s="115">
        <v>0</v>
      </c>
      <c r="AW63" s="115">
        <v>0</v>
      </c>
      <c r="AX63" s="115">
        <v>0</v>
      </c>
      <c r="AY63" s="115">
        <v>0</v>
      </c>
      <c r="AZ63" s="115">
        <v>0</v>
      </c>
      <c r="BA63" s="115">
        <v>0</v>
      </c>
    </row>
    <row r="64" spans="1:53" ht="15" customHeight="1" x14ac:dyDescent="0.3">
      <c r="A64" t="s">
        <v>196</v>
      </c>
      <c r="B64" s="114" t="str">
        <f>IF('Sumário | Summary'!P1=1,"Passivo de arrendamento","Lease liability ")</f>
        <v>Passivo de arrendamento</v>
      </c>
      <c r="C64" s="115">
        <v>0</v>
      </c>
      <c r="D64" s="115">
        <v>0</v>
      </c>
      <c r="E64" s="115">
        <v>0</v>
      </c>
      <c r="F64" s="115">
        <v>0</v>
      </c>
      <c r="G64" s="115">
        <v>0</v>
      </c>
      <c r="H64" s="115">
        <v>0</v>
      </c>
      <c r="I64" s="115">
        <v>0</v>
      </c>
      <c r="J64" s="115">
        <v>0</v>
      </c>
      <c r="K64" s="115">
        <v>0</v>
      </c>
      <c r="L64" s="115">
        <v>0</v>
      </c>
      <c r="M64" s="115">
        <v>0</v>
      </c>
      <c r="N64" s="115">
        <v>0</v>
      </c>
      <c r="O64" s="115">
        <v>0</v>
      </c>
      <c r="P64" s="115">
        <v>0</v>
      </c>
      <c r="Q64" s="115">
        <v>0</v>
      </c>
      <c r="R64" s="115">
        <v>0</v>
      </c>
      <c r="S64" s="115">
        <v>0</v>
      </c>
      <c r="T64" s="115">
        <v>0</v>
      </c>
      <c r="U64" s="115">
        <v>0</v>
      </c>
      <c r="V64" s="115">
        <v>0</v>
      </c>
      <c r="W64" s="115">
        <v>0</v>
      </c>
      <c r="X64" s="115">
        <v>0</v>
      </c>
      <c r="Y64" s="115">
        <v>0</v>
      </c>
      <c r="Z64" s="115">
        <v>0</v>
      </c>
      <c r="AA64" s="115">
        <v>0</v>
      </c>
      <c r="AB64" s="115">
        <v>0</v>
      </c>
      <c r="AC64" s="115">
        <v>0</v>
      </c>
      <c r="AD64" s="115">
        <v>0</v>
      </c>
      <c r="AE64" s="115">
        <v>0</v>
      </c>
      <c r="AF64" s="115">
        <v>0</v>
      </c>
      <c r="AG64" s="115">
        <v>0</v>
      </c>
      <c r="AH64" s="115">
        <v>0</v>
      </c>
      <c r="AI64" s="115">
        <v>0</v>
      </c>
      <c r="AJ64" s="115">
        <v>0</v>
      </c>
      <c r="AK64" s="115">
        <v>0</v>
      </c>
      <c r="AL64" s="115">
        <v>0</v>
      </c>
      <c r="AM64" s="115">
        <v>0</v>
      </c>
      <c r="AN64" s="115">
        <v>0</v>
      </c>
      <c r="AO64" s="115">
        <v>0</v>
      </c>
      <c r="AP64" s="115">
        <v>0</v>
      </c>
      <c r="AQ64" s="115">
        <v>2.2589999999999999</v>
      </c>
      <c r="AR64" s="115">
        <v>2.9750000000000001</v>
      </c>
      <c r="AS64" s="115">
        <v>2.7389999999999999</v>
      </c>
      <c r="AT64" s="115">
        <v>2.5059999999999998</v>
      </c>
      <c r="AU64" s="115">
        <v>2.2770000000000001</v>
      </c>
      <c r="AV64" s="115">
        <v>2.0510000000000002</v>
      </c>
      <c r="AW64" s="115">
        <v>1.829</v>
      </c>
      <c r="AX64" s="115">
        <v>1.61</v>
      </c>
      <c r="AY64" s="115">
        <v>1.3939999999999999</v>
      </c>
      <c r="AZ64" s="115">
        <v>1.181</v>
      </c>
      <c r="BA64" s="115">
        <v>0</v>
      </c>
    </row>
    <row r="65" spans="1:53" s="123" customFormat="1" x14ac:dyDescent="0.3">
      <c r="A65" t="s">
        <v>197</v>
      </c>
      <c r="B65" s="24" t="str">
        <f>IF('Sumário | Summary'!P1=1,"Participação de não controladores","Minority Shareholders")</f>
        <v>Participação de não controladores</v>
      </c>
      <c r="C65" s="113">
        <v>409.99</v>
      </c>
      <c r="D65" s="113">
        <v>420.42</v>
      </c>
      <c r="E65" s="113">
        <v>413.36200000000002</v>
      </c>
      <c r="F65" s="113">
        <v>466.14400000000001</v>
      </c>
      <c r="G65" s="113">
        <v>545.76700000000005</v>
      </c>
      <c r="H65" s="113">
        <v>697.33799999999997</v>
      </c>
      <c r="I65" s="113">
        <v>714.53099999999995</v>
      </c>
      <c r="J65" s="113">
        <v>772.90899999999999</v>
      </c>
      <c r="K65" s="113">
        <v>768.11699999999996</v>
      </c>
      <c r="L65" s="113">
        <v>800.54100000000005</v>
      </c>
      <c r="M65" s="113">
        <v>831.77599999999995</v>
      </c>
      <c r="N65" s="113">
        <v>879.56399999999996</v>
      </c>
      <c r="O65" s="121">
        <v>884.22299999999996</v>
      </c>
      <c r="P65" s="113">
        <v>903.64200000000005</v>
      </c>
      <c r="Q65" s="113">
        <v>916.37699999999995</v>
      </c>
      <c r="R65" s="113">
        <v>938.375</v>
      </c>
      <c r="S65" s="113">
        <v>936.63</v>
      </c>
      <c r="T65" s="113">
        <v>936.37</v>
      </c>
      <c r="U65" s="113">
        <v>941.95</v>
      </c>
      <c r="V65" s="113">
        <v>707.90499999999997</v>
      </c>
      <c r="W65" s="113">
        <v>717.45500000000004</v>
      </c>
      <c r="X65" s="113">
        <v>719.96799999999996</v>
      </c>
      <c r="Y65" s="113">
        <v>719.81100000000004</v>
      </c>
      <c r="Z65" s="113">
        <v>732.30899999999997</v>
      </c>
      <c r="AA65" s="113">
        <v>729.09500000000003</v>
      </c>
      <c r="AB65" s="113">
        <v>732.47199999999998</v>
      </c>
      <c r="AC65" s="113">
        <v>735.63300000000004</v>
      </c>
      <c r="AD65" s="113">
        <v>739.80799999999999</v>
      </c>
      <c r="AE65" s="113">
        <v>1258.77</v>
      </c>
      <c r="AF65" s="113">
        <v>1285.597</v>
      </c>
      <c r="AG65" s="113">
        <v>1281.511</v>
      </c>
      <c r="AH65" s="113">
        <v>1284.133</v>
      </c>
      <c r="AI65" s="113">
        <v>1312.596</v>
      </c>
      <c r="AJ65" s="113">
        <v>1318.375</v>
      </c>
      <c r="AK65" s="113">
        <v>1313.288</v>
      </c>
      <c r="AL65" s="113">
        <v>1324.175</v>
      </c>
      <c r="AM65" s="113">
        <v>1109.2070000000001</v>
      </c>
      <c r="AN65" s="113">
        <v>1148.595</v>
      </c>
      <c r="AO65" s="122">
        <v>1139.096</v>
      </c>
      <c r="AP65" s="113">
        <v>1138.4649999999999</v>
      </c>
      <c r="AQ65" s="113">
        <v>1048.019324592</v>
      </c>
      <c r="AR65" s="113">
        <v>1050.2380000000001</v>
      </c>
      <c r="AS65" s="113">
        <v>1042.1880000000001</v>
      </c>
      <c r="AT65" s="113">
        <v>1049.606</v>
      </c>
      <c r="AU65" s="113">
        <v>1049.0989999999999</v>
      </c>
      <c r="AV65" s="113">
        <v>853.23099999999999</v>
      </c>
      <c r="AW65" s="113">
        <v>916.47199999999998</v>
      </c>
      <c r="AX65" s="113">
        <v>912.24300000000005</v>
      </c>
      <c r="AY65" s="113">
        <v>767.05700000000002</v>
      </c>
      <c r="AZ65" s="113">
        <v>763.24199999999996</v>
      </c>
      <c r="BA65" s="113">
        <v>0</v>
      </c>
    </row>
    <row r="66" spans="1:53" x14ac:dyDescent="0.3">
      <c r="A66" t="s">
        <v>198</v>
      </c>
      <c r="B66" s="24" t="str">
        <f>IF('Sumário | Summary'!P1=1,"Patrimônio Líquido","Shareholders' Equity")</f>
        <v>Patrimônio Líquido</v>
      </c>
      <c r="C66" s="113">
        <v>628.50300000000004</v>
      </c>
      <c r="D66" s="113">
        <v>637.61599999999999</v>
      </c>
      <c r="E66" s="113">
        <v>669.12</v>
      </c>
      <c r="F66" s="113">
        <v>709.80399999999997</v>
      </c>
      <c r="G66" s="113">
        <v>699.14200000000005</v>
      </c>
      <c r="H66" s="113">
        <v>737.80499999999995</v>
      </c>
      <c r="I66" s="113">
        <v>757.69</v>
      </c>
      <c r="J66" s="113">
        <v>787.30799999999999</v>
      </c>
      <c r="K66" s="113">
        <v>773.83699999999999</v>
      </c>
      <c r="L66" s="113">
        <v>770.471</v>
      </c>
      <c r="M66" s="113">
        <v>788.79300000000001</v>
      </c>
      <c r="N66" s="113">
        <v>1201.9159999999999</v>
      </c>
      <c r="O66" s="121">
        <v>1200.5999999999999</v>
      </c>
      <c r="P66" s="113">
        <v>1203.087</v>
      </c>
      <c r="Q66" s="113">
        <v>1190.171</v>
      </c>
      <c r="R66" s="113">
        <v>1173.2329999999999</v>
      </c>
      <c r="S66" s="113">
        <v>1175.68</v>
      </c>
      <c r="T66" s="113">
        <f t="shared" ref="T66:AS66" si="7">T6-T35-T65</f>
        <v>1155.4390000000003</v>
      </c>
      <c r="U66" s="113">
        <f t="shared" si="7"/>
        <v>1132.8179999999995</v>
      </c>
      <c r="V66" s="113">
        <f t="shared" si="7"/>
        <v>1168.0679999999998</v>
      </c>
      <c r="W66" s="113">
        <f t="shared" si="7"/>
        <v>1161.0079999999998</v>
      </c>
      <c r="X66" s="113">
        <f t="shared" si="7"/>
        <v>1168.5549999999994</v>
      </c>
      <c r="Y66" s="113">
        <f t="shared" si="7"/>
        <v>1194.58</v>
      </c>
      <c r="Z66" s="113">
        <f t="shared" si="7"/>
        <v>1179.2020000000005</v>
      </c>
      <c r="AA66" s="113">
        <f t="shared" si="7"/>
        <v>1045.4229999999991</v>
      </c>
      <c r="AB66" s="113">
        <f t="shared" si="7"/>
        <v>1048.6219999999998</v>
      </c>
      <c r="AC66" s="113">
        <f t="shared" si="7"/>
        <v>1031.3539999999991</v>
      </c>
      <c r="AD66" s="113">
        <f t="shared" si="7"/>
        <v>1040.751</v>
      </c>
      <c r="AE66" s="113">
        <f t="shared" si="7"/>
        <v>1904.0270000000005</v>
      </c>
      <c r="AF66" s="113">
        <f t="shared" si="7"/>
        <v>1907.0539999999999</v>
      </c>
      <c r="AG66" s="113">
        <f t="shared" si="7"/>
        <v>1830.5299999999993</v>
      </c>
      <c r="AH66" s="113">
        <f t="shared" si="7"/>
        <v>1790.7089999999996</v>
      </c>
      <c r="AI66" s="113">
        <f t="shared" si="7"/>
        <v>1627.6470000000004</v>
      </c>
      <c r="AJ66" s="113">
        <f t="shared" si="7"/>
        <v>1636.107</v>
      </c>
      <c r="AK66" s="113">
        <f t="shared" si="7"/>
        <v>1641.226000000001</v>
      </c>
      <c r="AL66" s="113">
        <f t="shared" si="7"/>
        <v>1651.6640000000004</v>
      </c>
      <c r="AM66" s="113">
        <f t="shared" si="7"/>
        <v>1665.289</v>
      </c>
      <c r="AN66" s="113">
        <f t="shared" si="7"/>
        <v>1652.1439999999986</v>
      </c>
      <c r="AO66" s="113">
        <f t="shared" si="7"/>
        <v>1543.3449999999998</v>
      </c>
      <c r="AP66" s="113">
        <f t="shared" si="7"/>
        <v>1550.4640000000002</v>
      </c>
      <c r="AQ66" s="113">
        <f t="shared" si="7"/>
        <v>1526.454285408</v>
      </c>
      <c r="AR66" s="113">
        <f t="shared" si="7"/>
        <v>1511.3999999999999</v>
      </c>
      <c r="AS66" s="113">
        <f t="shared" si="7"/>
        <v>1507.0659999999998</v>
      </c>
      <c r="AT66" s="113">
        <v>1510.7309999999995</v>
      </c>
      <c r="AU66" s="113">
        <v>1516.2769999999994</v>
      </c>
      <c r="AV66" s="113">
        <v>1523.1239999999996</v>
      </c>
      <c r="AW66" s="113">
        <v>2005.9420000000002</v>
      </c>
      <c r="AX66" s="113">
        <v>1573.5740000000005</v>
      </c>
      <c r="AY66" s="113">
        <v>1073.7879999999998</v>
      </c>
      <c r="AZ66" s="113">
        <v>1091.9450000000002</v>
      </c>
      <c r="BA66" s="113">
        <f>BA6-BA35-BA65</f>
        <v>670.73199999999997</v>
      </c>
    </row>
    <row r="67" spans="1:53" x14ac:dyDescent="0.3">
      <c r="AN67" s="124"/>
      <c r="AO67" s="124"/>
    </row>
  </sheetData>
  <pageMargins left="0.25" right="0.25"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6AFC-C4E9-4DCD-B736-B4B23574DE6D}">
  <dimension ref="A1:AN65"/>
  <sheetViews>
    <sheetView showGridLines="0" showRowColHeaders="0" zoomScaleNormal="100" workbookViewId="0">
      <pane xSplit="2" ySplit="5" topLeftCell="AH6" activePane="bottomRight" state="frozen"/>
      <selection activeCell="D4" sqref="D4"/>
      <selection pane="topRight" activeCell="D4" sqref="D4"/>
      <selection pane="bottomLeft" activeCell="D4" sqref="D4"/>
      <selection pane="bottomRight" activeCell="D4" sqref="D4"/>
    </sheetView>
  </sheetViews>
  <sheetFormatPr defaultRowHeight="14.4" outlineLevelCol="1" x14ac:dyDescent="0.3"/>
  <cols>
    <col min="1" max="1" width="10.6640625" hidden="1" customWidth="1"/>
    <col min="2" max="2" width="58.44140625" customWidth="1"/>
    <col min="3" max="6" width="13.88671875" style="39" customWidth="1" outlineLevel="1"/>
    <col min="7" max="7" width="13.88671875" style="39" customWidth="1" outlineLevel="1" collapsed="1"/>
    <col min="8" max="14" width="13.88671875" style="39" customWidth="1" outlineLevel="1"/>
    <col min="15" max="15" width="14.44140625" style="39" bestFit="1" customWidth="1"/>
    <col min="16" max="17" width="14.44140625" bestFit="1" customWidth="1"/>
    <col min="18" max="25" width="17.5546875" bestFit="1" customWidth="1"/>
    <col min="26" max="40" width="17.5546875" style="52" bestFit="1" customWidth="1"/>
  </cols>
  <sheetData>
    <row r="1" spans="1:40" x14ac:dyDescent="0.3">
      <c r="B1" s="41" t="s">
        <v>0</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B2" s="41" t="s">
        <v>98</v>
      </c>
      <c r="C2"/>
      <c r="D2"/>
      <c r="E2"/>
      <c r="F2"/>
      <c r="G2"/>
      <c r="H2"/>
      <c r="I2"/>
      <c r="J2"/>
      <c r="K2"/>
      <c r="L2"/>
      <c r="M2"/>
      <c r="N2"/>
      <c r="O2" s="1"/>
      <c r="P2" s="1"/>
      <c r="Q2" s="1"/>
      <c r="R2" s="1"/>
      <c r="S2" s="1"/>
      <c r="T2" s="1"/>
      <c r="U2" s="1"/>
      <c r="V2" s="1"/>
      <c r="W2" s="1"/>
      <c r="X2" s="1"/>
      <c r="Y2" s="1"/>
      <c r="Z2" s="1"/>
      <c r="AA2" s="1"/>
      <c r="AB2" s="1"/>
      <c r="AC2" s="1"/>
      <c r="AD2" s="1"/>
      <c r="AE2" s="1"/>
      <c r="AF2" s="1"/>
      <c r="AG2" s="1"/>
      <c r="AH2" s="1"/>
      <c r="AI2" s="1"/>
      <c r="AJ2" s="1"/>
      <c r="AK2" s="1"/>
      <c r="AL2" s="1"/>
      <c r="AM2" s="1"/>
      <c r="AN2" s="1"/>
    </row>
    <row r="3" spans="1:40" s="3" customFormat="1" x14ac:dyDescent="0.3">
      <c r="B3" s="42">
        <v>1</v>
      </c>
      <c r="O3" s="4"/>
      <c r="P3" s="4"/>
      <c r="Q3" s="4"/>
      <c r="R3" s="4"/>
      <c r="S3" s="4"/>
      <c r="T3" s="4"/>
      <c r="U3" s="4"/>
      <c r="V3" s="4"/>
      <c r="W3" s="4"/>
      <c r="X3" s="4"/>
      <c r="Y3" s="4"/>
      <c r="Z3" s="4"/>
      <c r="AA3" s="4"/>
      <c r="AB3" s="4"/>
      <c r="AC3" s="4"/>
      <c r="AD3" s="4"/>
      <c r="AE3" s="4"/>
      <c r="AF3" s="4"/>
      <c r="AG3" s="4"/>
      <c r="AH3" s="4"/>
      <c r="AI3" s="4"/>
      <c r="AJ3" s="4"/>
      <c r="AK3" s="4"/>
      <c r="AL3" s="4"/>
      <c r="AM3" s="4"/>
      <c r="AN3" s="4"/>
    </row>
    <row r="4" spans="1:40" ht="3" customHeight="1" x14ac:dyDescent="0.3">
      <c r="B4" s="5"/>
      <c r="C4" s="5"/>
      <c r="D4" s="5"/>
      <c r="E4" s="5"/>
      <c r="F4" s="5"/>
      <c r="G4" s="5"/>
      <c r="H4" s="5"/>
      <c r="I4" s="5"/>
      <c r="J4" s="5"/>
      <c r="K4" s="5"/>
      <c r="L4" s="5"/>
      <c r="M4" s="5"/>
      <c r="N4" s="5"/>
      <c r="O4" s="5"/>
      <c r="P4" s="5"/>
      <c r="Q4" s="5"/>
      <c r="R4" s="5"/>
      <c r="S4" s="5"/>
      <c r="T4" s="5"/>
      <c r="U4" s="5"/>
      <c r="V4" s="5"/>
      <c r="W4" s="5"/>
      <c r="X4" s="5"/>
      <c r="Y4" s="5"/>
      <c r="Z4" s="43"/>
      <c r="AA4" s="43"/>
      <c r="AB4" s="43"/>
      <c r="AC4" s="43"/>
      <c r="AD4" s="43"/>
      <c r="AE4" s="43"/>
      <c r="AF4" s="43"/>
      <c r="AG4" s="43"/>
      <c r="AH4" s="43"/>
      <c r="AI4" s="43"/>
      <c r="AJ4" s="43"/>
      <c r="AK4" s="43"/>
      <c r="AL4" s="43"/>
      <c r="AM4" s="43"/>
      <c r="AN4" s="43"/>
    </row>
    <row r="5" spans="1:40" s="7" customFormat="1" ht="18.75" customHeight="1" x14ac:dyDescent="0.3">
      <c r="B5" s="8" t="str">
        <f>IF('Sumário | Summary'!P1=1,"Balanço Patrimonial - Proforma (R$ MM)","Balance Sheet - Proforma (R$ million)")</f>
        <v>Balanço Patrimonial - Proforma (R$ MM)</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38</v>
      </c>
      <c r="X5" s="9" t="s">
        <v>39</v>
      </c>
      <c r="Y5" s="9" t="s">
        <v>40</v>
      </c>
      <c r="Z5" s="9" t="s">
        <v>41</v>
      </c>
      <c r="AA5" s="9" t="s">
        <v>42</v>
      </c>
      <c r="AB5" s="9" t="s">
        <v>43</v>
      </c>
      <c r="AC5" s="9" t="s">
        <v>44</v>
      </c>
      <c r="AD5" s="9" t="s">
        <v>45</v>
      </c>
      <c r="AE5" s="9" t="s">
        <v>47</v>
      </c>
      <c r="AF5" s="9" t="s">
        <v>48</v>
      </c>
      <c r="AG5" s="9" t="s">
        <v>49</v>
      </c>
      <c r="AH5" s="9" t="s">
        <v>50</v>
      </c>
      <c r="AI5" s="9" t="s">
        <v>52</v>
      </c>
      <c r="AJ5" s="9" t="s">
        <v>53</v>
      </c>
      <c r="AK5" s="9" t="s">
        <v>54</v>
      </c>
      <c r="AL5" s="9" t="s">
        <v>55</v>
      </c>
      <c r="AM5" s="10" t="s">
        <v>56</v>
      </c>
      <c r="AN5" s="10" t="s">
        <v>57</v>
      </c>
    </row>
    <row r="6" spans="1:40" ht="15" customHeight="1" x14ac:dyDescent="0.3">
      <c r="A6" t="s">
        <v>139</v>
      </c>
      <c r="B6" s="112" t="str">
        <f>IF('Sumário | Summary'!P1=1,"ATIVOS","ASSETS")</f>
        <v>ATIVOS</v>
      </c>
      <c r="C6" s="113">
        <v>3899.5279999999998</v>
      </c>
      <c r="D6" s="113">
        <v>3861.3530000000001</v>
      </c>
      <c r="E6" s="113">
        <v>3917.0419999999999</v>
      </c>
      <c r="F6" s="113">
        <v>4028.0250000000001</v>
      </c>
      <c r="G6" s="113">
        <v>3741.134</v>
      </c>
      <c r="H6" s="113">
        <v>3752.8649999999998</v>
      </c>
      <c r="I6" s="113">
        <v>3030.6860000000001</v>
      </c>
      <c r="J6" s="113">
        <v>2807.078</v>
      </c>
      <c r="K6" s="113">
        <v>2966.8780000000002</v>
      </c>
      <c r="L6" s="113">
        <v>2918.76</v>
      </c>
      <c r="M6" s="113">
        <v>2872.5079999999998</v>
      </c>
      <c r="N6" s="113">
        <v>2712.0210000000002</v>
      </c>
      <c r="O6" s="113">
        <f t="shared" ref="O6:AF6" si="0">O7+O18+O28</f>
        <v>2646.011</v>
      </c>
      <c r="P6" s="113">
        <f t="shared" si="0"/>
        <v>2962.1880000000001</v>
      </c>
      <c r="Q6" s="113">
        <f t="shared" si="0"/>
        <v>2716.9640000000004</v>
      </c>
      <c r="R6" s="113">
        <f t="shared" si="0"/>
        <v>3651.1150000000002</v>
      </c>
      <c r="S6" s="113">
        <f t="shared" si="0"/>
        <v>3551.0649999999996</v>
      </c>
      <c r="T6" s="113">
        <f t="shared" si="0"/>
        <v>3454.6419999999998</v>
      </c>
      <c r="U6" s="113">
        <f t="shared" si="0"/>
        <v>3367.4429999999998</v>
      </c>
      <c r="V6" s="113">
        <f t="shared" si="0"/>
        <v>3208.7220000000002</v>
      </c>
      <c r="W6" s="113">
        <f t="shared" si="0"/>
        <v>3137.085</v>
      </c>
      <c r="X6" s="113">
        <f t="shared" si="0"/>
        <v>3442.777</v>
      </c>
      <c r="Y6" s="113">
        <f t="shared" si="0"/>
        <v>3419.5600000000004</v>
      </c>
      <c r="Z6" s="113">
        <f t="shared" si="0"/>
        <v>3421.27</v>
      </c>
      <c r="AA6" s="113">
        <f t="shared" si="0"/>
        <v>3219.0299999999997</v>
      </c>
      <c r="AB6" s="113">
        <f t="shared" si="0"/>
        <v>2945.3959999999997</v>
      </c>
      <c r="AC6" s="113">
        <f t="shared" si="0"/>
        <v>2733.1680000000001</v>
      </c>
      <c r="AD6" s="113">
        <f t="shared" si="0"/>
        <v>2705.7432829999998</v>
      </c>
      <c r="AE6" s="113">
        <f t="shared" si="0"/>
        <v>2685.6930000000002</v>
      </c>
      <c r="AF6" s="113">
        <f t="shared" si="0"/>
        <v>2651.0839999999998</v>
      </c>
      <c r="AG6" s="113">
        <v>2671.817</v>
      </c>
      <c r="AH6" s="113">
        <v>2643.8580000000002</v>
      </c>
      <c r="AI6" s="113">
        <f>AI7+AI18+AI28</f>
        <v>2942.8420000000001</v>
      </c>
      <c r="AJ6" s="113">
        <v>3237.5109999999995</v>
      </c>
      <c r="AK6" s="113">
        <v>2637.6719999999996</v>
      </c>
      <c r="AL6" s="113">
        <v>2036.0800000000002</v>
      </c>
      <c r="AM6" s="113">
        <v>2057.5610000000001</v>
      </c>
      <c r="AN6" s="113">
        <f>AN7+AN18+AN28</f>
        <v>1642.5219999999997</v>
      </c>
    </row>
    <row r="7" spans="1:40" ht="15" customHeight="1" x14ac:dyDescent="0.3">
      <c r="A7" t="s">
        <v>140</v>
      </c>
      <c r="B7" s="24" t="str">
        <f>IF('Sumário | Summary'!P1=1,"Total Circulante","Total Current Assets")</f>
        <v>Total Circulante</v>
      </c>
      <c r="C7" s="113">
        <v>898.06500000000005</v>
      </c>
      <c r="D7" s="113">
        <v>862.45899999999995</v>
      </c>
      <c r="E7" s="113">
        <v>545.81799999999998</v>
      </c>
      <c r="F7" s="113">
        <v>619.57799999999997</v>
      </c>
      <c r="G7" s="113">
        <v>437.291</v>
      </c>
      <c r="H7" s="113">
        <v>501.25099999999998</v>
      </c>
      <c r="I7" s="113">
        <v>616.47299999999996</v>
      </c>
      <c r="J7" s="113">
        <v>445.94900000000001</v>
      </c>
      <c r="K7" s="113">
        <v>622.06100000000004</v>
      </c>
      <c r="L7" s="113">
        <v>692.26800000000003</v>
      </c>
      <c r="M7" s="113">
        <v>630.66300000000001</v>
      </c>
      <c r="N7" s="113">
        <v>505.88900000000001</v>
      </c>
      <c r="O7" s="113">
        <f t="shared" ref="O7:AF7" si="1">SUM(O8:O17)</f>
        <v>467.72200000000004</v>
      </c>
      <c r="P7" s="113">
        <f t="shared" si="1"/>
        <v>696.24699999999996</v>
      </c>
      <c r="Q7" s="113">
        <f t="shared" si="1"/>
        <v>401.31699999999995</v>
      </c>
      <c r="R7" s="113">
        <f t="shared" si="1"/>
        <v>982.13299999999981</v>
      </c>
      <c r="S7" s="113">
        <f t="shared" si="1"/>
        <v>903.20799999999997</v>
      </c>
      <c r="T7" s="113">
        <f t="shared" si="1"/>
        <v>806.69299999999998</v>
      </c>
      <c r="U7" s="113">
        <f t="shared" si="1"/>
        <v>735.50599999999997</v>
      </c>
      <c r="V7" s="113">
        <f t="shared" si="1"/>
        <v>526.78100000000006</v>
      </c>
      <c r="W7" s="113">
        <f t="shared" si="1"/>
        <v>453.99400000000003</v>
      </c>
      <c r="X7" s="113">
        <f t="shared" si="1"/>
        <v>738.46900000000005</v>
      </c>
      <c r="Y7" s="113">
        <f t="shared" si="1"/>
        <v>1204.4840000000002</v>
      </c>
      <c r="Z7" s="113">
        <f t="shared" si="1"/>
        <v>904.21199999999999</v>
      </c>
      <c r="AA7" s="113">
        <f t="shared" si="1"/>
        <v>823.12799999999993</v>
      </c>
      <c r="AB7" s="113">
        <f t="shared" si="1"/>
        <v>898.45399999999995</v>
      </c>
      <c r="AC7" s="113">
        <f t="shared" si="1"/>
        <v>661.69799999999998</v>
      </c>
      <c r="AD7" s="113">
        <f t="shared" si="1"/>
        <v>436.71328299999999</v>
      </c>
      <c r="AE7" s="113">
        <f t="shared" si="1"/>
        <v>413.92900000000003</v>
      </c>
      <c r="AF7" s="113">
        <f t="shared" si="1"/>
        <v>392.65600000000001</v>
      </c>
      <c r="AG7" s="113">
        <v>398.73399999999998</v>
      </c>
      <c r="AH7" s="113">
        <v>382.60399999999998</v>
      </c>
      <c r="AI7" s="113">
        <f>SUM(AI8:AI17)</f>
        <v>1862.059</v>
      </c>
      <c r="AJ7" s="113">
        <v>2111.7869999999998</v>
      </c>
      <c r="AK7" s="113">
        <v>1545.06</v>
      </c>
      <c r="AL7" s="113">
        <v>1016.9449999999999</v>
      </c>
      <c r="AM7" s="113">
        <v>1081.5620000000001</v>
      </c>
      <c r="AN7" s="113">
        <f>SUM(AN8:AN17)</f>
        <v>661.97399999999982</v>
      </c>
    </row>
    <row r="8" spans="1:40" ht="15" customHeight="1" x14ac:dyDescent="0.3">
      <c r="A8" t="s">
        <v>141</v>
      </c>
      <c r="B8" s="114" t="str">
        <f>IF('Sumário | Summary'!P1=1,"Caixa e equivalentes de caixa","Cash and Cash Equivalents")</f>
        <v>Caixa e equivalentes de caixa</v>
      </c>
      <c r="C8" s="115">
        <v>484.61900000000003</v>
      </c>
      <c r="D8" s="115">
        <v>283.57400000000001</v>
      </c>
      <c r="E8" s="115">
        <v>233.245</v>
      </c>
      <c r="F8" s="115">
        <v>344.55099999999999</v>
      </c>
      <c r="G8" s="115">
        <v>225.39</v>
      </c>
      <c r="H8" s="115">
        <v>226.15100000000001</v>
      </c>
      <c r="I8" s="115">
        <v>388.714</v>
      </c>
      <c r="J8" s="115">
        <v>154.911</v>
      </c>
      <c r="K8" s="115">
        <v>275.27699999999999</v>
      </c>
      <c r="L8" s="115">
        <v>521.22500000000002</v>
      </c>
      <c r="M8" s="115">
        <v>231.547</v>
      </c>
      <c r="N8" s="115">
        <v>242.88900000000001</v>
      </c>
      <c r="O8" s="115">
        <v>310.53500000000003</v>
      </c>
      <c r="P8" s="115">
        <v>541.87900000000002</v>
      </c>
      <c r="Q8" s="115">
        <v>304.89400000000001</v>
      </c>
      <c r="R8" s="115">
        <v>866.87199999999996</v>
      </c>
      <c r="S8" s="115">
        <v>785.596</v>
      </c>
      <c r="T8" s="115">
        <v>675.69</v>
      </c>
      <c r="U8" s="115">
        <v>580.91099999999994</v>
      </c>
      <c r="V8" s="115">
        <v>388.97800000000001</v>
      </c>
      <c r="W8" s="115">
        <v>121.48</v>
      </c>
      <c r="X8" s="115">
        <v>418.84899999999999</v>
      </c>
      <c r="Y8" s="115">
        <v>383.41199999999998</v>
      </c>
      <c r="Z8" s="115">
        <v>413.94400000000002</v>
      </c>
      <c r="AA8" s="115">
        <v>245.56</v>
      </c>
      <c r="AB8" s="115">
        <v>303.37099999999998</v>
      </c>
      <c r="AC8" s="115">
        <v>77.918000000000006</v>
      </c>
      <c r="AD8" s="115">
        <v>37.408000000000001</v>
      </c>
      <c r="AE8" s="115">
        <v>48.811</v>
      </c>
      <c r="AF8" s="115">
        <v>145.87100000000001</v>
      </c>
      <c r="AG8" s="115">
        <v>153.91</v>
      </c>
      <c r="AH8" s="115">
        <v>133.24799999999999</v>
      </c>
      <c r="AI8" s="115">
        <v>405.67200000000003</v>
      </c>
      <c r="AJ8" s="115">
        <v>1065.6289999999999</v>
      </c>
      <c r="AK8" s="115">
        <v>512.93799999999999</v>
      </c>
      <c r="AL8" s="115">
        <v>231.17599999999999</v>
      </c>
      <c r="AM8" s="115">
        <v>263.94600000000003</v>
      </c>
      <c r="AN8" s="115">
        <v>443.00200000000001</v>
      </c>
    </row>
    <row r="9" spans="1:40" ht="15" customHeight="1" x14ac:dyDescent="0.3">
      <c r="A9" t="s">
        <v>142</v>
      </c>
      <c r="B9" s="114" t="str">
        <f>IF('Sumário | Summary'!P1=1,"Títulos e valores mobiliários","Securities")</f>
        <v>Títulos e valores mobiliários</v>
      </c>
      <c r="C9" s="115">
        <v>0</v>
      </c>
      <c r="D9" s="115">
        <v>12.731999999999999</v>
      </c>
      <c r="E9" s="115">
        <v>71.852999999999994</v>
      </c>
      <c r="F9" s="115">
        <v>64.861999999999995</v>
      </c>
      <c r="G9" s="115">
        <v>54.366</v>
      </c>
      <c r="H9" s="115">
        <v>85.876000000000005</v>
      </c>
      <c r="I9" s="115">
        <v>44.61</v>
      </c>
      <c r="J9" s="115">
        <v>170.90799999999999</v>
      </c>
      <c r="K9" s="115">
        <v>216.279</v>
      </c>
      <c r="L9" s="115">
        <v>7.6189999999999998</v>
      </c>
      <c r="M9" s="115">
        <v>236.251</v>
      </c>
      <c r="N9" s="115">
        <v>123.892</v>
      </c>
      <c r="O9" s="115">
        <v>2.944</v>
      </c>
      <c r="P9" s="115">
        <v>3.01</v>
      </c>
      <c r="Q9" s="115">
        <v>0.01</v>
      </c>
      <c r="R9" s="115">
        <v>0.56000000000000005</v>
      </c>
      <c r="S9" s="115">
        <v>0.56499999999999995</v>
      </c>
      <c r="T9" s="115">
        <v>0.41699999999999998</v>
      </c>
      <c r="U9" s="115">
        <v>0.01</v>
      </c>
      <c r="V9" s="115">
        <v>0.01</v>
      </c>
      <c r="W9" s="115">
        <v>200.155</v>
      </c>
      <c r="X9" s="115">
        <v>200.155</v>
      </c>
      <c r="Y9" s="115">
        <v>212.14500000000001</v>
      </c>
      <c r="Z9" s="115">
        <v>293.69900000000001</v>
      </c>
      <c r="AA9" s="115">
        <v>301.24799999999999</v>
      </c>
      <c r="AB9" s="115">
        <v>317.95800000000003</v>
      </c>
      <c r="AC9" s="115">
        <v>327.08199999999999</v>
      </c>
      <c r="AD9" s="115">
        <v>279.51100000000002</v>
      </c>
      <c r="AE9" s="115">
        <v>278.899</v>
      </c>
      <c r="AF9" s="115">
        <v>150.76400000000001</v>
      </c>
      <c r="AG9" s="115">
        <v>153.51599999999999</v>
      </c>
      <c r="AH9" s="115">
        <v>158.09399999999999</v>
      </c>
      <c r="AI9" s="115">
        <v>157.66900000000001</v>
      </c>
      <c r="AJ9" s="115">
        <v>155.95699999999999</v>
      </c>
      <c r="AK9" s="115">
        <v>154.637</v>
      </c>
      <c r="AL9" s="115">
        <v>148.00700000000001</v>
      </c>
      <c r="AM9" s="115">
        <v>147.536</v>
      </c>
      <c r="AN9" s="115">
        <v>147.83699999999999</v>
      </c>
    </row>
    <row r="10" spans="1:40" ht="15" customHeight="1" x14ac:dyDescent="0.3">
      <c r="A10" t="s">
        <v>143</v>
      </c>
      <c r="B10" s="114" t="str">
        <f>IF('Sumário | Summary'!P1=1,"Contas a receber","Accounts Receivable")</f>
        <v>Contas a receber</v>
      </c>
      <c r="C10" s="115">
        <v>93.837000000000003</v>
      </c>
      <c r="D10" s="115">
        <v>92.858000000000004</v>
      </c>
      <c r="E10" s="115">
        <v>122.651</v>
      </c>
      <c r="F10" s="115">
        <v>104.438</v>
      </c>
      <c r="G10" s="115">
        <v>89.712000000000003</v>
      </c>
      <c r="H10" s="115">
        <v>103.166</v>
      </c>
      <c r="I10" s="115">
        <v>75.177000000000007</v>
      </c>
      <c r="J10" s="115">
        <v>78.584999999999994</v>
      </c>
      <c r="K10" s="115">
        <v>71.436000000000007</v>
      </c>
      <c r="L10" s="115">
        <v>92.209000000000003</v>
      </c>
      <c r="M10" s="115">
        <v>91.879000000000005</v>
      </c>
      <c r="N10" s="115">
        <v>60.154000000000003</v>
      </c>
      <c r="O10" s="115">
        <v>57.95</v>
      </c>
      <c r="P10" s="115">
        <v>62.131</v>
      </c>
      <c r="Q10" s="115">
        <v>37.823</v>
      </c>
      <c r="R10" s="115">
        <v>55.031999999999996</v>
      </c>
      <c r="S10" s="115">
        <v>39.154000000000003</v>
      </c>
      <c r="T10" s="115">
        <v>46.98</v>
      </c>
      <c r="U10" s="115">
        <v>62.131</v>
      </c>
      <c r="V10" s="115">
        <v>64.438999999999993</v>
      </c>
      <c r="W10" s="115">
        <v>58.164000000000001</v>
      </c>
      <c r="X10" s="115">
        <v>66.210999999999999</v>
      </c>
      <c r="Y10" s="115">
        <v>68.763000000000005</v>
      </c>
      <c r="Z10" s="115">
        <v>58.183999999999997</v>
      </c>
      <c r="AA10" s="115">
        <v>54.884</v>
      </c>
      <c r="AB10" s="115">
        <v>49.756</v>
      </c>
      <c r="AC10" s="115">
        <v>46.884999999999998</v>
      </c>
      <c r="AD10" s="115">
        <v>44.501283000000001</v>
      </c>
      <c r="AE10" s="115">
        <v>32.206000000000003</v>
      </c>
      <c r="AF10" s="115">
        <v>29.437999999999999</v>
      </c>
      <c r="AG10" s="115">
        <v>32.194000000000003</v>
      </c>
      <c r="AH10" s="115">
        <v>35.86</v>
      </c>
      <c r="AI10" s="115">
        <v>8.1620000000000008</v>
      </c>
      <c r="AJ10" s="115">
        <v>573.38800000000003</v>
      </c>
      <c r="AK10" s="115">
        <v>567.33399999999995</v>
      </c>
      <c r="AL10" s="115">
        <v>480.483</v>
      </c>
      <c r="AM10" s="115">
        <v>530.26300000000003</v>
      </c>
      <c r="AN10" s="115">
        <v>30.268000000000001</v>
      </c>
    </row>
    <row r="11" spans="1:40" ht="15" customHeight="1" x14ac:dyDescent="0.3">
      <c r="A11" t="s">
        <v>144</v>
      </c>
      <c r="B11" s="114" t="str">
        <f>IF('Sumário | Summary'!P1=1,"Estoques","Inventory")</f>
        <v>Estoques</v>
      </c>
      <c r="C11" s="115">
        <v>305.43299999999999</v>
      </c>
      <c r="D11" s="115">
        <v>456.108</v>
      </c>
      <c r="E11" s="115">
        <v>102.99299999999999</v>
      </c>
      <c r="F11" s="115">
        <v>42.066000000000003</v>
      </c>
      <c r="G11" s="115">
        <v>5.6459999999999999</v>
      </c>
      <c r="H11" s="115">
        <v>22.87</v>
      </c>
      <c r="I11" s="115">
        <v>4.2389999999999999</v>
      </c>
      <c r="J11" s="115">
        <v>28.073</v>
      </c>
      <c r="K11" s="115">
        <v>45.445</v>
      </c>
      <c r="L11" s="115">
        <v>29.405000000000001</v>
      </c>
      <c r="M11" s="115">
        <v>0.94399999999999995</v>
      </c>
      <c r="N11" s="115">
        <v>42.398000000000003</v>
      </c>
      <c r="O11" s="115">
        <v>43.064999999999998</v>
      </c>
      <c r="P11" s="115">
        <v>43.52</v>
      </c>
      <c r="Q11" s="115">
        <v>44.62</v>
      </c>
      <c r="R11" s="115">
        <v>46.610999999999997</v>
      </c>
      <c r="S11" s="115">
        <v>44.62</v>
      </c>
      <c r="T11" s="115">
        <v>44.366999999999997</v>
      </c>
      <c r="U11" s="115">
        <v>44.923000000000002</v>
      </c>
      <c r="V11" s="115">
        <v>44.366999999999997</v>
      </c>
      <c r="W11" s="115">
        <v>44.366999999999997</v>
      </c>
      <c r="X11" s="115">
        <v>19.391999999999999</v>
      </c>
      <c r="Y11" s="115">
        <v>14.882999999999999</v>
      </c>
      <c r="Z11" s="115">
        <v>56.985999999999997</v>
      </c>
      <c r="AA11" s="115">
        <v>34.170123010000012</v>
      </c>
      <c r="AB11" s="115">
        <v>10.849</v>
      </c>
      <c r="AC11" s="115">
        <v>0</v>
      </c>
      <c r="AD11" s="115">
        <v>26.053999999999998</v>
      </c>
      <c r="AE11" s="115">
        <v>25.925999999999998</v>
      </c>
      <c r="AF11" s="115">
        <v>25.324000000000002</v>
      </c>
      <c r="AG11" s="115">
        <v>24.463999999999999</v>
      </c>
      <c r="AH11" s="115">
        <v>24.44</v>
      </c>
      <c r="AI11" s="115">
        <v>24.442</v>
      </c>
      <c r="AJ11" s="115">
        <v>24.228999999999999</v>
      </c>
      <c r="AK11" s="115">
        <v>8.0299999999999994</v>
      </c>
      <c r="AL11" s="115">
        <v>8.0760000000000005</v>
      </c>
      <c r="AM11" s="115">
        <v>8.077</v>
      </c>
      <c r="AN11" s="115">
        <v>7.9850000000000003</v>
      </c>
    </row>
    <row r="12" spans="1:40" ht="15" customHeight="1" x14ac:dyDescent="0.3">
      <c r="A12" t="s">
        <v>145</v>
      </c>
      <c r="B12" s="114" t="str">
        <f>IF('Sumário | Summary'!P1=1,"Impostos a compensar","Tax to be Compensated")</f>
        <v>Impostos a compensar</v>
      </c>
      <c r="C12" s="115">
        <v>0</v>
      </c>
      <c r="D12" s="115">
        <v>0</v>
      </c>
      <c r="E12" s="115">
        <v>0</v>
      </c>
      <c r="F12" s="115">
        <v>44.155999999999999</v>
      </c>
      <c r="G12" s="115">
        <v>44.155999999999999</v>
      </c>
      <c r="H12" s="115">
        <v>44.155999999999999</v>
      </c>
      <c r="I12" s="115">
        <v>91.655000000000001</v>
      </c>
      <c r="J12" s="115">
        <v>4.8220000000000001</v>
      </c>
      <c r="K12" s="115">
        <v>5.5069999999999997</v>
      </c>
      <c r="L12" s="115">
        <v>5.5069999999999997</v>
      </c>
      <c r="M12" s="115">
        <v>6.3780000000000001</v>
      </c>
      <c r="N12" s="115">
        <v>6.7830000000000004</v>
      </c>
      <c r="O12" s="115">
        <v>4.0000000000000001E-3</v>
      </c>
      <c r="P12" s="115">
        <v>4.0000000000000001E-3</v>
      </c>
      <c r="Q12" s="115">
        <v>0</v>
      </c>
      <c r="R12" s="115">
        <v>0</v>
      </c>
      <c r="S12" s="115">
        <v>23.613</v>
      </c>
      <c r="T12" s="115">
        <v>31.17</v>
      </c>
      <c r="U12" s="115">
        <v>36.14</v>
      </c>
      <c r="V12" s="115">
        <v>17.911000000000001</v>
      </c>
      <c r="W12" s="115">
        <v>14.878</v>
      </c>
      <c r="X12" s="115">
        <v>23.010999999999999</v>
      </c>
      <c r="Y12" s="115">
        <v>19.143000000000001</v>
      </c>
      <c r="Z12" s="115">
        <v>11.340999999999999</v>
      </c>
      <c r="AA12" s="115">
        <v>10.404999999999999</v>
      </c>
      <c r="AB12" s="115">
        <v>28.044</v>
      </c>
      <c r="AC12" s="115">
        <v>25.039000000000001</v>
      </c>
      <c r="AD12" s="115">
        <v>16.933</v>
      </c>
      <c r="AE12" s="115">
        <v>15.49</v>
      </c>
      <c r="AF12" s="115">
        <v>13.81</v>
      </c>
      <c r="AG12" s="115">
        <v>12.901999999999999</v>
      </c>
      <c r="AH12" s="115">
        <v>8.8759999999999994</v>
      </c>
      <c r="AI12" s="115">
        <v>8.9149999999999991</v>
      </c>
      <c r="AJ12" s="115">
        <v>14.917999999999999</v>
      </c>
      <c r="AK12" s="115">
        <v>14.917999999999999</v>
      </c>
      <c r="AL12" s="115">
        <v>18.78</v>
      </c>
      <c r="AM12" s="115">
        <v>16.57</v>
      </c>
      <c r="AN12" s="115">
        <v>11.007</v>
      </c>
    </row>
    <row r="13" spans="1:40" ht="15" customHeight="1" x14ac:dyDescent="0.3">
      <c r="A13" t="s">
        <v>146</v>
      </c>
      <c r="B13" s="114" t="str">
        <f>IF('Sumário | Summary'!P1=1,"Adiantamento a fornecedores","Advancements from Suppliers")</f>
        <v>Adiantamento a fornecedores</v>
      </c>
      <c r="C13" s="115">
        <v>9.1479999999999997</v>
      </c>
      <c r="D13" s="115">
        <v>9.6829999999999998</v>
      </c>
      <c r="E13" s="115">
        <v>10.054</v>
      </c>
      <c r="F13" s="115">
        <v>10.021000000000001</v>
      </c>
      <c r="G13" s="115">
        <v>7.9480000000000004</v>
      </c>
      <c r="H13" s="115">
        <v>7.5659999999999998</v>
      </c>
      <c r="I13" s="115">
        <v>4.6840000000000002</v>
      </c>
      <c r="J13" s="115">
        <v>2.2469999999999999</v>
      </c>
      <c r="K13" s="115">
        <v>2.2570000000000001</v>
      </c>
      <c r="L13" s="115">
        <v>2.2589999999999999</v>
      </c>
      <c r="M13" s="115">
        <v>2.2440000000000002</v>
      </c>
      <c r="N13" s="115">
        <v>2.226</v>
      </c>
      <c r="O13" s="115">
        <v>2.226</v>
      </c>
      <c r="P13" s="115">
        <v>2.2269999999999999</v>
      </c>
      <c r="Q13" s="115">
        <v>2.226</v>
      </c>
      <c r="R13" s="115">
        <v>2.242</v>
      </c>
      <c r="S13" s="115">
        <v>2.2210000000000001</v>
      </c>
      <c r="T13" s="115">
        <v>2.2200000000000002</v>
      </c>
      <c r="U13" s="115">
        <v>2.2200000000000002</v>
      </c>
      <c r="V13" s="115">
        <v>2.2200000000000002</v>
      </c>
      <c r="W13" s="115">
        <v>2.2200000000000002</v>
      </c>
      <c r="X13" s="115">
        <v>2.2200000000000002</v>
      </c>
      <c r="Y13" s="115">
        <v>2.23</v>
      </c>
      <c r="Z13" s="115">
        <v>14.648</v>
      </c>
      <c r="AA13" s="115">
        <v>1.8</v>
      </c>
      <c r="AB13" s="115">
        <v>1.7729999999999999</v>
      </c>
      <c r="AC13" s="115">
        <v>2.0169999999999999</v>
      </c>
      <c r="AD13" s="115">
        <v>2.9380000000000002</v>
      </c>
      <c r="AE13" s="115">
        <v>2.2109999999999999</v>
      </c>
      <c r="AF13" s="115">
        <v>2.6869999999999998</v>
      </c>
      <c r="AG13" s="115">
        <v>0.436</v>
      </c>
      <c r="AH13" s="115">
        <v>0.32100000000000001</v>
      </c>
      <c r="AI13" s="115">
        <v>5.8999999999999997E-2</v>
      </c>
      <c r="AJ13" s="115">
        <v>0.01</v>
      </c>
      <c r="AK13" s="115">
        <v>8.0000000000000002E-3</v>
      </c>
      <c r="AL13" s="115">
        <v>8.3000000000000004E-2</v>
      </c>
      <c r="AM13" s="115">
        <v>8.0000000000000002E-3</v>
      </c>
      <c r="AN13" s="115">
        <v>7.0000000000000001E-3</v>
      </c>
    </row>
    <row r="14" spans="1:40" ht="15" customHeight="1" x14ac:dyDescent="0.3">
      <c r="A14" t="s">
        <v>147</v>
      </c>
      <c r="B14" s="114" t="str">
        <f>IF('Sumário | Summary'!P1=1,"Dividendos a receber","Dividends receivable")</f>
        <v>Dividendos a receber</v>
      </c>
      <c r="C14" s="115">
        <v>0</v>
      </c>
      <c r="D14" s="115">
        <v>0</v>
      </c>
      <c r="E14" s="115">
        <v>8.0000000000000002E-3</v>
      </c>
      <c r="F14" s="115">
        <v>8.0000000000000002E-3</v>
      </c>
      <c r="G14" s="115">
        <v>0</v>
      </c>
      <c r="H14" s="115">
        <v>0.51700000000000002</v>
      </c>
      <c r="I14" s="115">
        <v>0.51700000000000002</v>
      </c>
      <c r="J14" s="115">
        <v>0</v>
      </c>
      <c r="K14" s="115">
        <v>0</v>
      </c>
      <c r="L14" s="115">
        <v>1E-3</v>
      </c>
      <c r="M14" s="115">
        <v>1E-3</v>
      </c>
      <c r="N14" s="115">
        <v>1E-3</v>
      </c>
      <c r="O14" s="115">
        <v>4.33</v>
      </c>
      <c r="P14" s="115">
        <v>1E-3</v>
      </c>
      <c r="Q14" s="115">
        <v>1E-3</v>
      </c>
      <c r="R14" s="115">
        <v>2E-3</v>
      </c>
      <c r="S14" s="115">
        <v>2E-3</v>
      </c>
      <c r="T14" s="115">
        <v>2E-3</v>
      </c>
      <c r="U14" s="115">
        <v>2.7770000000000001</v>
      </c>
      <c r="V14" s="115">
        <v>0.03</v>
      </c>
      <c r="W14" s="115">
        <v>2E-3</v>
      </c>
      <c r="X14" s="115">
        <v>2E-3</v>
      </c>
      <c r="Y14" s="115">
        <v>2E-3</v>
      </c>
      <c r="Z14" s="115">
        <v>2E-3</v>
      </c>
      <c r="AA14" s="115">
        <v>5.58</v>
      </c>
      <c r="AB14" s="115">
        <v>2E-3</v>
      </c>
      <c r="AC14" s="115">
        <v>2E-3</v>
      </c>
      <c r="AD14" s="115">
        <v>2E-3</v>
      </c>
      <c r="AE14" s="115">
        <v>2E-3</v>
      </c>
      <c r="AF14" s="115">
        <v>0</v>
      </c>
      <c r="AG14" s="115">
        <v>0</v>
      </c>
      <c r="AH14" s="115">
        <v>0</v>
      </c>
      <c r="AI14" s="115">
        <v>0.17199999999999999</v>
      </c>
      <c r="AJ14" s="115">
        <v>0.17199999999999999</v>
      </c>
      <c r="AK14" s="115">
        <v>0.17199999999999999</v>
      </c>
      <c r="AL14" s="115">
        <v>0.17199999999999999</v>
      </c>
      <c r="AM14" s="115">
        <v>0.19700000000000001</v>
      </c>
      <c r="AN14" s="115">
        <v>1.256</v>
      </c>
    </row>
    <row r="15" spans="1:40" ht="15" customHeight="1" x14ac:dyDescent="0.3">
      <c r="A15" t="s">
        <v>148</v>
      </c>
      <c r="B15" s="114" t="str">
        <f>IF('Sumário | Summary'!P1=1,"Ativo não circulante mantido para venda",
"Non-current assets held for sale")</f>
        <v>Ativo não circulante mantido para venda</v>
      </c>
      <c r="C15" s="115" t="s">
        <v>73</v>
      </c>
      <c r="D15" s="115" t="s">
        <v>73</v>
      </c>
      <c r="E15" s="115" t="s">
        <v>73</v>
      </c>
      <c r="F15" s="115" t="s">
        <v>73</v>
      </c>
      <c r="G15" s="115" t="s">
        <v>73</v>
      </c>
      <c r="H15" s="115" t="s">
        <v>73</v>
      </c>
      <c r="I15" s="115" t="s">
        <v>73</v>
      </c>
      <c r="J15" s="115" t="s">
        <v>73</v>
      </c>
      <c r="K15" s="115" t="s">
        <v>73</v>
      </c>
      <c r="L15" s="115" t="s">
        <v>73</v>
      </c>
      <c r="M15" s="115" t="s">
        <v>73</v>
      </c>
      <c r="N15" s="115" t="s">
        <v>73</v>
      </c>
      <c r="O15" s="115">
        <v>0</v>
      </c>
      <c r="P15" s="115">
        <v>0</v>
      </c>
      <c r="Q15" s="115">
        <v>0</v>
      </c>
      <c r="R15" s="115">
        <v>0</v>
      </c>
      <c r="S15" s="115">
        <v>0</v>
      </c>
      <c r="T15" s="115">
        <v>0</v>
      </c>
      <c r="U15" s="115">
        <v>0</v>
      </c>
      <c r="V15" s="115">
        <v>0</v>
      </c>
      <c r="W15" s="115">
        <v>0</v>
      </c>
      <c r="X15" s="115">
        <v>0</v>
      </c>
      <c r="Y15" s="115">
        <v>495.35300000000001</v>
      </c>
      <c r="Z15" s="115">
        <v>0</v>
      </c>
      <c r="AA15" s="115">
        <v>150.25887698999998</v>
      </c>
      <c r="AB15" s="115">
        <v>151.23400000000001</v>
      </c>
      <c r="AC15" s="115">
        <v>153.714</v>
      </c>
      <c r="AD15" s="115">
        <v>0</v>
      </c>
      <c r="AE15" s="115">
        <v>0</v>
      </c>
      <c r="AF15" s="115">
        <v>0</v>
      </c>
      <c r="AG15" s="115">
        <v>0</v>
      </c>
      <c r="AH15" s="115">
        <v>0</v>
      </c>
      <c r="AI15" s="115">
        <v>1238.741</v>
      </c>
      <c r="AJ15" s="115">
        <v>0</v>
      </c>
      <c r="AK15" s="115">
        <v>0</v>
      </c>
      <c r="AL15" s="115">
        <v>0</v>
      </c>
      <c r="AM15" s="115">
        <v>0</v>
      </c>
      <c r="AN15" s="115">
        <v>0</v>
      </c>
    </row>
    <row r="16" spans="1:40" ht="15" customHeight="1" x14ac:dyDescent="0.3">
      <c r="A16" t="s">
        <v>149</v>
      </c>
      <c r="B16" s="114" t="s">
        <v>150</v>
      </c>
      <c r="C16" s="115"/>
      <c r="D16" s="115"/>
      <c r="E16" s="115"/>
      <c r="F16" s="115"/>
      <c r="G16" s="115"/>
      <c r="H16" s="115"/>
      <c r="I16" s="115"/>
      <c r="J16" s="115"/>
      <c r="K16" s="115"/>
      <c r="L16" s="115"/>
      <c r="M16" s="115"/>
      <c r="N16" s="115"/>
      <c r="O16" s="115">
        <v>0</v>
      </c>
      <c r="P16" s="115">
        <v>0</v>
      </c>
      <c r="Q16" s="115">
        <v>0</v>
      </c>
      <c r="R16" s="115">
        <v>0</v>
      </c>
      <c r="S16" s="115">
        <v>0</v>
      </c>
      <c r="T16" s="115">
        <v>0</v>
      </c>
      <c r="U16" s="115">
        <v>0</v>
      </c>
      <c r="V16" s="115">
        <v>0</v>
      </c>
      <c r="W16" s="115">
        <v>0</v>
      </c>
      <c r="X16" s="115">
        <v>0</v>
      </c>
      <c r="Y16" s="115">
        <v>0</v>
      </c>
      <c r="Z16" s="115">
        <v>0</v>
      </c>
      <c r="AA16" s="115">
        <v>0</v>
      </c>
      <c r="AB16" s="115">
        <v>0</v>
      </c>
      <c r="AC16" s="115">
        <v>0</v>
      </c>
      <c r="AD16" s="115">
        <v>0</v>
      </c>
      <c r="AE16" s="115">
        <v>0</v>
      </c>
      <c r="AF16" s="115">
        <v>0</v>
      </c>
      <c r="AG16" s="115">
        <v>0</v>
      </c>
      <c r="AH16" s="115">
        <v>0</v>
      </c>
      <c r="AI16" s="115">
        <v>0</v>
      </c>
      <c r="AJ16" s="115">
        <v>0</v>
      </c>
      <c r="AK16" s="115">
        <v>0</v>
      </c>
      <c r="AL16" s="115">
        <v>0</v>
      </c>
      <c r="AM16" s="115">
        <v>0</v>
      </c>
      <c r="AN16" s="115">
        <v>0</v>
      </c>
    </row>
    <row r="17" spans="1:40" ht="15" customHeight="1" x14ac:dyDescent="0.3">
      <c r="A17" t="s">
        <v>151</v>
      </c>
      <c r="B17" s="114" t="str">
        <f>IF('Sumário | Summary'!P1=1,"Demais contas a receber","Other receivables")</f>
        <v>Demais contas a receber</v>
      </c>
      <c r="C17" s="115">
        <v>5.0279999999999996</v>
      </c>
      <c r="D17" s="115">
        <v>7.5039999999999996</v>
      </c>
      <c r="E17" s="115">
        <v>5.0140000000000002</v>
      </c>
      <c r="F17" s="115">
        <v>9.4760000000000009</v>
      </c>
      <c r="G17" s="115">
        <v>10.073</v>
      </c>
      <c r="H17" s="115">
        <v>10.949</v>
      </c>
      <c r="I17" s="115">
        <v>6.8769999999999998</v>
      </c>
      <c r="J17" s="115">
        <v>6.4029999999999996</v>
      </c>
      <c r="K17" s="115">
        <v>5.86</v>
      </c>
      <c r="L17" s="115">
        <v>34.042999999999999</v>
      </c>
      <c r="M17" s="115">
        <v>61.418999999999997</v>
      </c>
      <c r="N17" s="115">
        <v>27.545999999999999</v>
      </c>
      <c r="O17" s="115">
        <v>46.667999999999999</v>
      </c>
      <c r="P17" s="115">
        <v>43.475000000000001</v>
      </c>
      <c r="Q17" s="115">
        <v>11.743</v>
      </c>
      <c r="R17" s="115">
        <v>10.814</v>
      </c>
      <c r="S17" s="115">
        <v>7.4370000000000003</v>
      </c>
      <c r="T17" s="115">
        <v>5.8470000000000004</v>
      </c>
      <c r="U17" s="115">
        <v>6.3940000000000001</v>
      </c>
      <c r="V17" s="115">
        <v>8.8260000000000005</v>
      </c>
      <c r="W17" s="115">
        <v>12.728</v>
      </c>
      <c r="X17" s="115">
        <v>8.6289999999999996</v>
      </c>
      <c r="Y17" s="115">
        <v>8.5530000000000008</v>
      </c>
      <c r="Z17" s="115">
        <v>55.408000000000001</v>
      </c>
      <c r="AA17" s="115">
        <v>19.222000000000001</v>
      </c>
      <c r="AB17" s="115">
        <v>35.466999999999999</v>
      </c>
      <c r="AC17" s="115">
        <v>29.041</v>
      </c>
      <c r="AD17" s="115">
        <v>29.366</v>
      </c>
      <c r="AE17" s="115">
        <v>10.384</v>
      </c>
      <c r="AF17" s="115">
        <v>24.762</v>
      </c>
      <c r="AG17" s="115">
        <v>21.312000000000001</v>
      </c>
      <c r="AH17" s="115">
        <v>21.765000000000001</v>
      </c>
      <c r="AI17" s="115">
        <v>18.227</v>
      </c>
      <c r="AJ17" s="115">
        <v>277.48399999999998</v>
      </c>
      <c r="AK17" s="115">
        <v>287.02300000000002</v>
      </c>
      <c r="AL17" s="115">
        <v>130.16800000000001</v>
      </c>
      <c r="AM17" s="115">
        <v>114.965</v>
      </c>
      <c r="AN17" s="115">
        <v>20.611999999999998</v>
      </c>
    </row>
    <row r="18" spans="1:40" ht="15" customHeight="1" x14ac:dyDescent="0.3">
      <c r="A18" t="s">
        <v>152</v>
      </c>
      <c r="B18" s="24" t="str">
        <f>IF('Sumário | Summary'!P1=1,"Realizável a longo prazo","Long term")</f>
        <v>Realizável a longo prazo</v>
      </c>
      <c r="C18" s="113">
        <v>1400.6980000000001</v>
      </c>
      <c r="D18" s="113">
        <v>1217.5269999999998</v>
      </c>
      <c r="E18" s="113">
        <v>995.88099999999997</v>
      </c>
      <c r="F18" s="113">
        <v>923.21399999999994</v>
      </c>
      <c r="G18" s="113">
        <v>1005.2380000000001</v>
      </c>
      <c r="H18" s="113">
        <v>732.88300000000004</v>
      </c>
      <c r="I18" s="113">
        <v>387.36600000000004</v>
      </c>
      <c r="J18" s="113">
        <v>146.125</v>
      </c>
      <c r="K18" s="113">
        <v>176.83999999999997</v>
      </c>
      <c r="L18" s="113">
        <v>92.347000000000008</v>
      </c>
      <c r="M18" s="113">
        <v>159.04000000000002</v>
      </c>
      <c r="N18" s="113">
        <v>116.95000000000002</v>
      </c>
      <c r="O18" s="113">
        <f t="shared" ref="O18:AF18" si="2">SUM(O19:O27)</f>
        <v>99.270999999999987</v>
      </c>
      <c r="P18" s="113">
        <f t="shared" si="2"/>
        <v>101.23499999999999</v>
      </c>
      <c r="Q18" s="113">
        <f t="shared" si="2"/>
        <v>160.09399999999999</v>
      </c>
      <c r="R18" s="113">
        <f t="shared" si="2"/>
        <v>167.03799999999998</v>
      </c>
      <c r="S18" s="113">
        <f t="shared" si="2"/>
        <v>129.00799999999998</v>
      </c>
      <c r="T18" s="113">
        <f t="shared" si="2"/>
        <v>138.048</v>
      </c>
      <c r="U18" s="113">
        <f t="shared" si="2"/>
        <v>131.24800000000002</v>
      </c>
      <c r="V18" s="113">
        <f t="shared" si="2"/>
        <v>153.11500000000001</v>
      </c>
      <c r="W18" s="113">
        <f t="shared" si="2"/>
        <v>159.07900000000004</v>
      </c>
      <c r="X18" s="113">
        <f t="shared" si="2"/>
        <v>190.07400000000001</v>
      </c>
      <c r="Y18" s="113">
        <f t="shared" si="2"/>
        <v>200.56600000000003</v>
      </c>
      <c r="Z18" s="113">
        <f t="shared" si="2"/>
        <v>227.54300000000001</v>
      </c>
      <c r="AA18" s="113">
        <f t="shared" si="2"/>
        <v>222.202</v>
      </c>
      <c r="AB18" s="113">
        <f t="shared" si="2"/>
        <v>200.947</v>
      </c>
      <c r="AC18" s="113">
        <f t="shared" si="2"/>
        <v>197.43499999999997</v>
      </c>
      <c r="AD18" s="113">
        <f t="shared" si="2"/>
        <v>227.99299999999999</v>
      </c>
      <c r="AE18" s="113">
        <f t="shared" si="2"/>
        <v>229.59100000000001</v>
      </c>
      <c r="AF18" s="113">
        <f t="shared" si="2"/>
        <v>217.62799999999999</v>
      </c>
      <c r="AG18" s="113">
        <v>222.60599999999999</v>
      </c>
      <c r="AH18" s="113">
        <v>225.679</v>
      </c>
      <c r="AI18" s="113">
        <f>SUM(AI19:AI27)</f>
        <v>185.78699999999998</v>
      </c>
      <c r="AJ18" s="113">
        <v>266.92</v>
      </c>
      <c r="AK18" s="113">
        <v>226.512</v>
      </c>
      <c r="AL18" s="113">
        <v>203.42100000000002</v>
      </c>
      <c r="AM18" s="113">
        <v>159.30200000000002</v>
      </c>
      <c r="AN18" s="113">
        <f>SUM(AN19:AN27)</f>
        <v>171.53199999999998</v>
      </c>
    </row>
    <row r="19" spans="1:40" ht="15" customHeight="1" x14ac:dyDescent="0.3">
      <c r="A19" t="s">
        <v>153</v>
      </c>
      <c r="B19" s="114" t="str">
        <f>IF('Sumário | Summary'!P1=1,"Contas a receber ","Accounts Receivable")</f>
        <v xml:space="preserve">Contas a receber </v>
      </c>
      <c r="C19" s="116">
        <v>3.9039999999999999</v>
      </c>
      <c r="D19" s="116">
        <v>3.1379999999999999</v>
      </c>
      <c r="E19" s="116">
        <v>2.8540000000000001</v>
      </c>
      <c r="F19" s="116">
        <v>12.082000000000001</v>
      </c>
      <c r="G19" s="116">
        <v>14.808999999999999</v>
      </c>
      <c r="H19" s="116">
        <v>0</v>
      </c>
      <c r="I19" s="116">
        <v>5.95</v>
      </c>
      <c r="J19" s="116">
        <v>4.5679999999999996</v>
      </c>
      <c r="K19" s="116">
        <v>3.4289999999999998</v>
      </c>
      <c r="L19" s="116">
        <v>0.89200000000000002</v>
      </c>
      <c r="M19" s="116">
        <v>3.0129999999999999</v>
      </c>
      <c r="N19" s="116">
        <v>3.0659999999999998</v>
      </c>
      <c r="O19" s="115">
        <v>0.57799999999999996</v>
      </c>
      <c r="P19" s="116">
        <v>1.875</v>
      </c>
      <c r="Q19" s="116">
        <v>27.725999999999999</v>
      </c>
      <c r="R19" s="116">
        <v>24.504000000000001</v>
      </c>
      <c r="S19" s="115">
        <v>24.869</v>
      </c>
      <c r="T19" s="115">
        <v>40.430999999999997</v>
      </c>
      <c r="U19" s="115">
        <v>33.884</v>
      </c>
      <c r="V19" s="115">
        <v>40.204000000000001</v>
      </c>
      <c r="W19" s="115">
        <v>43.264000000000003</v>
      </c>
      <c r="X19" s="115">
        <v>51.287999999999997</v>
      </c>
      <c r="Y19" s="115">
        <v>50.322000000000003</v>
      </c>
      <c r="Z19" s="115">
        <v>35.68</v>
      </c>
      <c r="AA19" s="125">
        <v>35.656999999999996</v>
      </c>
      <c r="AB19" s="125">
        <v>35.652000000000001</v>
      </c>
      <c r="AC19" s="125">
        <v>35.610999999999997</v>
      </c>
      <c r="AD19" s="125">
        <v>35.597000000000001</v>
      </c>
      <c r="AE19" s="125">
        <v>35.588000000000001</v>
      </c>
      <c r="AF19" s="125">
        <v>35.698999999999998</v>
      </c>
      <c r="AG19" s="125">
        <v>35.682000000000002</v>
      </c>
      <c r="AH19" s="125">
        <v>36.113</v>
      </c>
      <c r="AI19" s="125">
        <v>36.097999999999999</v>
      </c>
      <c r="AJ19" s="125">
        <v>36.073999999999998</v>
      </c>
      <c r="AK19" s="125">
        <v>36.031999999999996</v>
      </c>
      <c r="AL19" s="125">
        <v>36.179000000000002</v>
      </c>
      <c r="AM19" s="125">
        <v>0.97699999999999998</v>
      </c>
      <c r="AN19" s="125">
        <v>1.012</v>
      </c>
    </row>
    <row r="20" spans="1:40" ht="15" customHeight="1" x14ac:dyDescent="0.3">
      <c r="A20" t="s">
        <v>154</v>
      </c>
      <c r="B20" s="114" t="str">
        <f>IF('Sumário | Summary'!P1=1,"Estoques","Inventory")</f>
        <v>Estoques</v>
      </c>
      <c r="C20" s="116">
        <v>1246.0930000000001</v>
      </c>
      <c r="D20" s="116">
        <v>1050.02</v>
      </c>
      <c r="E20" s="116">
        <v>832.42100000000005</v>
      </c>
      <c r="F20" s="116">
        <v>787.60299999999995</v>
      </c>
      <c r="G20" s="116">
        <v>860.95</v>
      </c>
      <c r="H20" s="116">
        <v>595.16600000000005</v>
      </c>
      <c r="I20" s="116">
        <v>296.22800000000001</v>
      </c>
      <c r="J20" s="116">
        <v>59.46</v>
      </c>
      <c r="K20" s="116">
        <v>84.590999999999994</v>
      </c>
      <c r="L20" s="116">
        <v>59.83</v>
      </c>
      <c r="M20" s="116">
        <v>84.861999999999995</v>
      </c>
      <c r="N20" s="116">
        <v>43.95</v>
      </c>
      <c r="O20" s="115">
        <v>44.366999999999997</v>
      </c>
      <c r="P20" s="116">
        <v>44.366999999999997</v>
      </c>
      <c r="Q20" s="116">
        <v>44.366999999999997</v>
      </c>
      <c r="R20" s="116">
        <v>44.366999999999997</v>
      </c>
      <c r="S20" s="115">
        <v>47.281999999999996</v>
      </c>
      <c r="T20" s="115">
        <v>48.033999999999999</v>
      </c>
      <c r="U20" s="115">
        <v>48.033999999999999</v>
      </c>
      <c r="V20" s="115">
        <v>48.048999999999999</v>
      </c>
      <c r="W20" s="115">
        <v>47.125</v>
      </c>
      <c r="X20" s="115">
        <v>71.805999999999997</v>
      </c>
      <c r="Y20" s="115">
        <v>71.805999999999997</v>
      </c>
      <c r="Z20" s="115">
        <v>16.795000000000002</v>
      </c>
      <c r="AA20" s="115">
        <v>16.795000000000002</v>
      </c>
      <c r="AB20" s="115">
        <v>44.234000000000002</v>
      </c>
      <c r="AC20" s="115">
        <v>36.796999999999997</v>
      </c>
      <c r="AD20" s="115">
        <v>45.962000000000003</v>
      </c>
      <c r="AE20" s="115">
        <v>45.652999999999999</v>
      </c>
      <c r="AF20" s="115">
        <v>45.884999999999998</v>
      </c>
      <c r="AG20" s="115">
        <v>46.063000000000002</v>
      </c>
      <c r="AH20" s="115">
        <v>46.228000000000002</v>
      </c>
      <c r="AI20" s="115">
        <v>46.530999999999999</v>
      </c>
      <c r="AJ20" s="115">
        <v>30.468</v>
      </c>
      <c r="AK20" s="115">
        <v>46.73</v>
      </c>
      <c r="AL20" s="115">
        <v>46.988</v>
      </c>
      <c r="AM20" s="115">
        <v>47.094000000000001</v>
      </c>
      <c r="AN20" s="115">
        <v>47.302</v>
      </c>
    </row>
    <row r="21" spans="1:40" ht="15" customHeight="1" x14ac:dyDescent="0.3">
      <c r="A21" t="s">
        <v>156</v>
      </c>
      <c r="B21" s="114" t="str">
        <f>IF('Sumário | Summary'!P1=1,"Adiantamento para futuro aumento de capital","Advance for future capital increase")</f>
        <v>Adiantamento para futuro aumento de capital</v>
      </c>
      <c r="C21" s="116">
        <v>26.45</v>
      </c>
      <c r="D21" s="116">
        <v>21.587</v>
      </c>
      <c r="E21" s="116">
        <v>22.146000000000001</v>
      </c>
      <c r="F21" s="116">
        <v>23.125</v>
      </c>
      <c r="G21" s="116">
        <v>24.581</v>
      </c>
      <c r="H21" s="116">
        <v>25.068000000000001</v>
      </c>
      <c r="I21" s="116">
        <v>25.608000000000001</v>
      </c>
      <c r="J21" s="116">
        <v>24.341999999999999</v>
      </c>
      <c r="K21" s="116">
        <v>24.882999999999999</v>
      </c>
      <c r="L21" s="116">
        <v>4.5999999999999999E-2</v>
      </c>
      <c r="M21" s="116">
        <v>4.5999999999999999E-2</v>
      </c>
      <c r="N21" s="116">
        <v>0</v>
      </c>
      <c r="O21" s="115">
        <v>4.5999999999999999E-2</v>
      </c>
      <c r="P21" s="116">
        <v>4.5999999999999999E-2</v>
      </c>
      <c r="Q21" s="116">
        <v>0.29199999999999998</v>
      </c>
      <c r="R21" s="116">
        <v>0.37</v>
      </c>
      <c r="S21" s="115">
        <v>0.45200000000000001</v>
      </c>
      <c r="T21" s="115">
        <v>0.29099999999999998</v>
      </c>
      <c r="U21" s="115">
        <v>0.40300000000000002</v>
      </c>
      <c r="V21" s="115">
        <v>0.33600000000000002</v>
      </c>
      <c r="W21" s="115">
        <v>0.32500000000000001</v>
      </c>
      <c r="X21" s="115">
        <v>0.33100000000000002</v>
      </c>
      <c r="Y21" s="115">
        <v>0.33600000000000002</v>
      </c>
      <c r="Z21" s="115">
        <v>4.0949999999999998</v>
      </c>
      <c r="AA21" s="115">
        <v>0.58199999999999996</v>
      </c>
      <c r="AB21" s="115">
        <v>0.47499999999999998</v>
      </c>
      <c r="AC21" s="115">
        <v>0.443</v>
      </c>
      <c r="AD21" s="115">
        <v>1.04</v>
      </c>
      <c r="AE21" s="115">
        <v>1.038</v>
      </c>
      <c r="AF21" s="115">
        <v>1.0740000000000001</v>
      </c>
      <c r="AG21" s="115">
        <v>1.0660000000000001</v>
      </c>
      <c r="AH21" s="115">
        <v>0.47899999999999998</v>
      </c>
      <c r="AI21" s="115">
        <v>0.48899999999999999</v>
      </c>
      <c r="AJ21" s="115">
        <v>0.23</v>
      </c>
      <c r="AK21" s="115">
        <v>0.27</v>
      </c>
      <c r="AL21" s="115">
        <v>0.215</v>
      </c>
      <c r="AM21" s="115">
        <v>16.574000000000002</v>
      </c>
      <c r="AN21" s="115">
        <v>16.556999999999999</v>
      </c>
    </row>
    <row r="22" spans="1:40" ht="15" customHeight="1" x14ac:dyDescent="0.3">
      <c r="A22" t="s">
        <v>157</v>
      </c>
      <c r="B22" s="114" t="str">
        <f>IF('Sumário | Summary'!P1=1,"Contas-correntes com parceiros nos empreendimentos","Current accounts with partners in projects ")</f>
        <v>Contas-correntes com parceiros nos empreendimentos</v>
      </c>
      <c r="C22" s="116">
        <v>0</v>
      </c>
      <c r="D22" s="116">
        <v>0</v>
      </c>
      <c r="E22" s="116">
        <v>0.109</v>
      </c>
      <c r="F22" s="116">
        <v>0</v>
      </c>
      <c r="G22" s="116">
        <v>0</v>
      </c>
      <c r="H22" s="116">
        <v>0</v>
      </c>
      <c r="I22" s="116">
        <v>0</v>
      </c>
      <c r="J22" s="116">
        <v>0</v>
      </c>
      <c r="K22" s="116">
        <v>0</v>
      </c>
      <c r="L22" s="116">
        <v>0</v>
      </c>
      <c r="M22" s="116">
        <v>0</v>
      </c>
      <c r="N22" s="116">
        <v>0</v>
      </c>
      <c r="O22" s="115">
        <v>0</v>
      </c>
      <c r="P22" s="116">
        <v>0</v>
      </c>
      <c r="Q22" s="116">
        <v>0.375</v>
      </c>
      <c r="R22" s="116">
        <v>0.61199999999999999</v>
      </c>
      <c r="S22" s="115">
        <v>3.5920000000000001</v>
      </c>
      <c r="T22" s="115">
        <v>5.1920000000000002</v>
      </c>
      <c r="U22" s="115">
        <v>3.7170000000000001</v>
      </c>
      <c r="V22" s="115">
        <v>4.5529999999999999</v>
      </c>
      <c r="W22" s="115">
        <v>6.5490000000000004</v>
      </c>
      <c r="X22" s="115">
        <v>6.3079999999999998</v>
      </c>
      <c r="Y22" s="115">
        <v>6.9130000000000003</v>
      </c>
      <c r="Z22" s="115">
        <v>5.7080000000000002</v>
      </c>
      <c r="AA22" s="115">
        <v>5.3840000000000003</v>
      </c>
      <c r="AB22" s="115">
        <v>5.6360000000000001</v>
      </c>
      <c r="AC22" s="115">
        <v>4.7859999999999996</v>
      </c>
      <c r="AD22" s="115">
        <v>5.8949999999999996</v>
      </c>
      <c r="AE22" s="115">
        <v>10.656000000000001</v>
      </c>
      <c r="AF22" s="115">
        <v>8.5329999999999995</v>
      </c>
      <c r="AG22" s="115">
        <v>7.6970000000000001</v>
      </c>
      <c r="AH22" s="115">
        <v>4.0419999999999998</v>
      </c>
      <c r="AI22" s="115">
        <v>1.0549999999999999</v>
      </c>
      <c r="AJ22" s="115">
        <v>2.069</v>
      </c>
      <c r="AK22" s="115">
        <v>1.129</v>
      </c>
      <c r="AL22" s="115">
        <v>1.5609999999999999</v>
      </c>
      <c r="AM22" s="115">
        <v>2.048</v>
      </c>
      <c r="AN22" s="115">
        <v>2.3919999999999999</v>
      </c>
    </row>
    <row r="23" spans="1:40" ht="15" customHeight="1" x14ac:dyDescent="0.3">
      <c r="A23" t="s">
        <v>158</v>
      </c>
      <c r="B23" s="114" t="str">
        <f>IF('Sumário | Summary'!P1=1,"Mútuo a receber","Loan receivables")</f>
        <v>Mútuo a receber</v>
      </c>
      <c r="C23" s="116">
        <v>6.8250000000000002</v>
      </c>
      <c r="D23" s="116">
        <v>7.3369999999999997</v>
      </c>
      <c r="E23" s="116">
        <v>6.8140000000000001</v>
      </c>
      <c r="F23" s="116">
        <v>7.141</v>
      </c>
      <c r="G23" s="116">
        <v>7.4829999999999997</v>
      </c>
      <c r="H23" s="116">
        <v>6.9960000000000004</v>
      </c>
      <c r="I23" s="116">
        <v>5.7709999999999999</v>
      </c>
      <c r="J23" s="116">
        <v>0</v>
      </c>
      <c r="K23" s="116">
        <v>0</v>
      </c>
      <c r="L23" s="116">
        <v>0</v>
      </c>
      <c r="M23" s="116">
        <v>0</v>
      </c>
      <c r="N23" s="116">
        <v>0</v>
      </c>
      <c r="O23" s="115">
        <v>0</v>
      </c>
      <c r="P23" s="116">
        <v>0</v>
      </c>
      <c r="Q23" s="116">
        <v>0</v>
      </c>
      <c r="R23" s="116">
        <v>0</v>
      </c>
      <c r="S23" s="115">
        <v>0</v>
      </c>
      <c r="T23" s="115">
        <v>0</v>
      </c>
      <c r="U23" s="115">
        <v>0</v>
      </c>
      <c r="V23" s="115">
        <v>0</v>
      </c>
      <c r="W23" s="115">
        <v>0</v>
      </c>
      <c r="X23" s="115">
        <v>0</v>
      </c>
      <c r="Y23" s="115">
        <v>0</v>
      </c>
      <c r="Z23" s="115">
        <v>0</v>
      </c>
      <c r="AA23" s="115">
        <v>0</v>
      </c>
      <c r="AB23" s="115">
        <v>0</v>
      </c>
      <c r="AC23" s="115">
        <v>0</v>
      </c>
      <c r="AD23" s="115">
        <v>0</v>
      </c>
      <c r="AE23" s="115">
        <v>0</v>
      </c>
      <c r="AF23" s="115">
        <v>0</v>
      </c>
      <c r="AG23" s="115">
        <v>0</v>
      </c>
      <c r="AH23" s="115">
        <v>0</v>
      </c>
      <c r="AI23" s="115">
        <v>0</v>
      </c>
      <c r="AJ23" s="115">
        <v>0</v>
      </c>
      <c r="AK23" s="115">
        <v>0</v>
      </c>
      <c r="AL23" s="115">
        <v>0</v>
      </c>
      <c r="AM23" s="115">
        <v>0</v>
      </c>
      <c r="AN23" s="115">
        <v>0</v>
      </c>
    </row>
    <row r="24" spans="1:40" ht="15" customHeight="1" x14ac:dyDescent="0.3">
      <c r="A24" t="s">
        <v>159</v>
      </c>
      <c r="B24" s="114" t="str">
        <f>IF('Sumário | Summary'!P1=1,"Impostos a compensar","Tax to be Compensated")</f>
        <v>Impostos a compensar</v>
      </c>
      <c r="C24" s="116">
        <v>92.989000000000004</v>
      </c>
      <c r="D24" s="116">
        <v>98.057000000000002</v>
      </c>
      <c r="E24" s="116">
        <v>100.669</v>
      </c>
      <c r="F24" s="116">
        <v>63.451000000000001</v>
      </c>
      <c r="G24" s="116">
        <v>71.61</v>
      </c>
      <c r="H24" s="116">
        <v>76.007000000000005</v>
      </c>
      <c r="I24" s="116">
        <v>31.501999999999999</v>
      </c>
      <c r="J24" s="116">
        <v>33.701999999999998</v>
      </c>
      <c r="K24" s="116">
        <v>33.229999999999997</v>
      </c>
      <c r="L24" s="116">
        <v>31.539000000000001</v>
      </c>
      <c r="M24" s="116">
        <v>33.024000000000001</v>
      </c>
      <c r="N24" s="116">
        <v>35.979999999999997</v>
      </c>
      <c r="O24" s="115">
        <v>46.984000000000002</v>
      </c>
      <c r="P24" s="116">
        <v>51.677999999999997</v>
      </c>
      <c r="Q24" s="116">
        <v>58.588000000000001</v>
      </c>
      <c r="R24" s="116">
        <v>65.652000000000001</v>
      </c>
      <c r="S24" s="115">
        <v>26.620999999999999</v>
      </c>
      <c r="T24" s="115">
        <v>18.66</v>
      </c>
      <c r="U24" s="115">
        <v>14.622999999999999</v>
      </c>
      <c r="V24" s="115">
        <v>35.246000000000002</v>
      </c>
      <c r="W24" s="115">
        <v>39.152999999999999</v>
      </c>
      <c r="X24" s="115">
        <v>32.283999999999999</v>
      </c>
      <c r="Y24" s="115">
        <v>38.706000000000003</v>
      </c>
      <c r="Z24" s="115">
        <v>52.570999999999998</v>
      </c>
      <c r="AA24" s="115">
        <v>56.332999999999998</v>
      </c>
      <c r="AB24" s="115">
        <v>35.930999999999997</v>
      </c>
      <c r="AC24" s="115">
        <v>42.006999999999998</v>
      </c>
      <c r="AD24" s="115">
        <v>59.744999999999997</v>
      </c>
      <c r="AE24" s="115">
        <v>56.192</v>
      </c>
      <c r="AF24" s="115">
        <v>60.228000000000002</v>
      </c>
      <c r="AG24" s="115">
        <v>63.881</v>
      </c>
      <c r="AH24" s="115">
        <v>70.867000000000004</v>
      </c>
      <c r="AI24" s="115">
        <v>65.5</v>
      </c>
      <c r="AJ24" s="115">
        <v>58.250999999999998</v>
      </c>
      <c r="AK24" s="115">
        <v>2.3130000000000002</v>
      </c>
      <c r="AL24" s="115">
        <v>2.3140000000000001</v>
      </c>
      <c r="AM24" s="115">
        <v>0.70599999999999996</v>
      </c>
      <c r="AN24" s="115">
        <v>12.747</v>
      </c>
    </row>
    <row r="25" spans="1:40" ht="15" customHeight="1" x14ac:dyDescent="0.3">
      <c r="A25" t="s">
        <v>160</v>
      </c>
      <c r="B25" s="114" t="str">
        <f>IF('Sumário | Summary'!P1=1,"Depósitos judiciais","Judicial Deposits")</f>
        <v>Depósitos judiciais</v>
      </c>
      <c r="C25" s="116">
        <v>0</v>
      </c>
      <c r="D25" s="116">
        <v>0.39300000000000002</v>
      </c>
      <c r="E25" s="116">
        <v>0.39100000000000001</v>
      </c>
      <c r="F25" s="116">
        <v>0.40500000000000003</v>
      </c>
      <c r="G25" s="116">
        <v>0.27200000000000002</v>
      </c>
      <c r="H25" s="116">
        <v>0.246</v>
      </c>
      <c r="I25" s="116">
        <v>0</v>
      </c>
      <c r="J25" s="116">
        <v>0</v>
      </c>
      <c r="K25" s="116">
        <v>0</v>
      </c>
      <c r="L25" s="116">
        <v>0</v>
      </c>
      <c r="M25" s="116">
        <v>0</v>
      </c>
      <c r="N25" s="116">
        <v>0</v>
      </c>
      <c r="O25" s="115">
        <v>0.113</v>
      </c>
      <c r="P25" s="116">
        <v>0.1</v>
      </c>
      <c r="Q25" s="116">
        <v>8.5999999999999993E-2</v>
      </c>
      <c r="R25" s="116">
        <v>0.16400000000000001</v>
      </c>
      <c r="S25" s="115">
        <v>0.16600000000000001</v>
      </c>
      <c r="T25" s="115">
        <v>0.16400000000000001</v>
      </c>
      <c r="U25" s="115">
        <v>6.9000000000000006E-2</v>
      </c>
      <c r="V25" s="115">
        <v>6.2E-2</v>
      </c>
      <c r="W25" s="115">
        <v>6.0999999999999999E-2</v>
      </c>
      <c r="X25" s="115">
        <v>3.2749999999999999</v>
      </c>
      <c r="Y25" s="115">
        <v>3.2749999999999999</v>
      </c>
      <c r="Z25" s="115">
        <v>3.2629999999999999</v>
      </c>
      <c r="AA25" s="115">
        <v>3.2629999999999999</v>
      </c>
      <c r="AB25" s="115">
        <v>3.3130000000000002</v>
      </c>
      <c r="AC25" s="115">
        <v>3.3239999999999998</v>
      </c>
      <c r="AD25" s="115">
        <v>3.3130000000000002</v>
      </c>
      <c r="AE25" s="115">
        <v>3.3130000000000002</v>
      </c>
      <c r="AF25" s="115">
        <v>3.3130000000000002</v>
      </c>
      <c r="AG25" s="115">
        <v>3.3130000000000002</v>
      </c>
      <c r="AH25" s="115">
        <v>3.3130000000000002</v>
      </c>
      <c r="AI25" s="115">
        <v>3.3130000000000002</v>
      </c>
      <c r="AJ25" s="115">
        <v>3.3519999999999999</v>
      </c>
      <c r="AK25" s="115">
        <v>3.5110000000000001</v>
      </c>
      <c r="AL25" s="115">
        <v>3.5129999999999999</v>
      </c>
      <c r="AM25" s="115">
        <v>3.5139999999999998</v>
      </c>
      <c r="AN25" s="115">
        <v>3.4420000000000002</v>
      </c>
    </row>
    <row r="26" spans="1:40" ht="15" customHeight="1" x14ac:dyDescent="0.3">
      <c r="A26" t="s">
        <v>161</v>
      </c>
      <c r="B26" s="114" t="str">
        <f>IF('Sumário | Summary'!P1=1,"Demais contas a receber","Other receivables")</f>
        <v>Demais contas a receber</v>
      </c>
      <c r="C26" s="116">
        <v>24.437000000000001</v>
      </c>
      <c r="D26" s="116">
        <v>36.994999999999997</v>
      </c>
      <c r="E26" s="116">
        <v>30.477</v>
      </c>
      <c r="F26" s="116">
        <v>29.407</v>
      </c>
      <c r="G26" s="116">
        <v>25.533000000000001</v>
      </c>
      <c r="H26" s="116">
        <v>29.4</v>
      </c>
      <c r="I26" s="116">
        <v>22.306999999999999</v>
      </c>
      <c r="J26" s="116">
        <v>24.053000000000001</v>
      </c>
      <c r="K26" s="116">
        <v>30.707000000000001</v>
      </c>
      <c r="L26" s="116">
        <v>0.04</v>
      </c>
      <c r="M26" s="116">
        <v>38.094999999999999</v>
      </c>
      <c r="N26" s="116">
        <v>33.954000000000001</v>
      </c>
      <c r="O26" s="115">
        <v>7.1829999999999998</v>
      </c>
      <c r="P26" s="116">
        <v>3.169</v>
      </c>
      <c r="Q26" s="116">
        <v>28.66</v>
      </c>
      <c r="R26" s="116">
        <v>31.369</v>
      </c>
      <c r="S26" s="115">
        <v>26.026</v>
      </c>
      <c r="T26" s="115">
        <v>25.276</v>
      </c>
      <c r="U26" s="115">
        <v>30.518000000000001</v>
      </c>
      <c r="V26" s="115">
        <v>24.664999999999999</v>
      </c>
      <c r="W26" s="115">
        <v>22.602</v>
      </c>
      <c r="X26" s="115">
        <v>24.782</v>
      </c>
      <c r="Y26" s="115">
        <v>29.207999999999998</v>
      </c>
      <c r="Z26" s="115">
        <v>109.431</v>
      </c>
      <c r="AA26" s="115">
        <v>104.188</v>
      </c>
      <c r="AB26" s="115">
        <v>75.706000000000003</v>
      </c>
      <c r="AC26" s="115">
        <v>74.466999999999999</v>
      </c>
      <c r="AD26" s="115">
        <v>76.441000000000003</v>
      </c>
      <c r="AE26" s="115">
        <v>77.150999999999996</v>
      </c>
      <c r="AF26" s="115">
        <v>62.896000000000001</v>
      </c>
      <c r="AG26" s="115">
        <v>64.903999999999996</v>
      </c>
      <c r="AH26" s="115">
        <v>64.637</v>
      </c>
      <c r="AI26" s="115">
        <v>32.801000000000002</v>
      </c>
      <c r="AJ26" s="115">
        <v>136.476</v>
      </c>
      <c r="AK26" s="115">
        <v>136.797</v>
      </c>
      <c r="AL26" s="115">
        <v>40.228000000000002</v>
      </c>
      <c r="AM26" s="115">
        <v>5.9889999999999999</v>
      </c>
      <c r="AN26" s="115">
        <v>5.6609999999999996</v>
      </c>
    </row>
    <row r="27" spans="1:40" ht="15" customHeight="1" x14ac:dyDescent="0.3">
      <c r="A27" t="s">
        <v>162</v>
      </c>
      <c r="B27" s="114" t="str">
        <f>IF('Sumário | Summary'!P1=1,"Títulos e valores mobiliários","Securities")</f>
        <v>Títulos e valores mobiliários</v>
      </c>
      <c r="C27" s="116">
        <v>0</v>
      </c>
      <c r="D27" s="116">
        <v>0</v>
      </c>
      <c r="E27" s="116">
        <v>0</v>
      </c>
      <c r="F27" s="116">
        <v>0</v>
      </c>
      <c r="G27" s="116">
        <v>0</v>
      </c>
      <c r="H27" s="116">
        <v>0</v>
      </c>
      <c r="I27" s="116">
        <v>0</v>
      </c>
      <c r="J27" s="116">
        <v>0</v>
      </c>
      <c r="K27" s="116">
        <v>0</v>
      </c>
      <c r="L27" s="116">
        <v>0</v>
      </c>
      <c r="M27" s="116">
        <v>0</v>
      </c>
      <c r="N27" s="116">
        <v>0</v>
      </c>
      <c r="O27" s="115">
        <v>0</v>
      </c>
      <c r="P27" s="116">
        <v>0</v>
      </c>
      <c r="Q27" s="116">
        <v>0</v>
      </c>
      <c r="R27" s="116">
        <v>0</v>
      </c>
      <c r="S27" s="115">
        <v>0</v>
      </c>
      <c r="T27" s="115">
        <v>0</v>
      </c>
      <c r="U27" s="115">
        <v>0</v>
      </c>
      <c r="V27" s="115">
        <v>0</v>
      </c>
      <c r="W27" s="115">
        <v>0</v>
      </c>
      <c r="X27" s="115">
        <v>0</v>
      </c>
      <c r="Y27" s="115">
        <v>0</v>
      </c>
      <c r="Z27" s="115">
        <v>0</v>
      </c>
      <c r="AA27" s="115">
        <v>0</v>
      </c>
      <c r="AB27" s="115">
        <v>0</v>
      </c>
      <c r="AC27" s="115">
        <v>0</v>
      </c>
      <c r="AD27" s="115">
        <v>0</v>
      </c>
      <c r="AE27" s="115">
        <v>0</v>
      </c>
      <c r="AF27" s="115">
        <v>0</v>
      </c>
      <c r="AG27" s="115">
        <v>0</v>
      </c>
      <c r="AH27" s="115">
        <v>0</v>
      </c>
      <c r="AI27" s="115">
        <v>0</v>
      </c>
      <c r="AJ27" s="115">
        <v>0</v>
      </c>
      <c r="AK27" s="115">
        <v>0</v>
      </c>
      <c r="AL27" s="115">
        <v>72.423000000000002</v>
      </c>
      <c r="AM27" s="115">
        <v>82.4</v>
      </c>
      <c r="AN27" s="115">
        <v>82.418999999999997</v>
      </c>
    </row>
    <row r="28" spans="1:40" ht="15" customHeight="1" x14ac:dyDescent="0.3">
      <c r="B28" s="24" t="str">
        <f>IF('Sumário | Summary'!P1=1,"Ativo Permanente","Permanent assets " )</f>
        <v>Ativo Permanente</v>
      </c>
      <c r="C28" s="113">
        <v>1600.7650000000001</v>
      </c>
      <c r="D28" s="113">
        <v>1781.367</v>
      </c>
      <c r="E28" s="113">
        <v>2375.3430000000003</v>
      </c>
      <c r="F28" s="113">
        <v>2485.2330000000002</v>
      </c>
      <c r="G28" s="113">
        <v>2298.605</v>
      </c>
      <c r="H28" s="113">
        <v>2518.7309999999998</v>
      </c>
      <c r="I28" s="113">
        <v>2026.847</v>
      </c>
      <c r="J28" s="113">
        <v>2215.0040000000004</v>
      </c>
      <c r="K28" s="113">
        <v>2167.9769999999999</v>
      </c>
      <c r="L28" s="113">
        <v>2134.1450000000004</v>
      </c>
      <c r="M28" s="113">
        <v>2082.8050000000003</v>
      </c>
      <c r="N28" s="113">
        <v>2089.1819999999998</v>
      </c>
      <c r="O28" s="113">
        <f t="shared" ref="O28:AF28" si="3">SUM(O29:O33)</f>
        <v>2079.018</v>
      </c>
      <c r="P28" s="113">
        <f t="shared" si="3"/>
        <v>2164.7060000000001</v>
      </c>
      <c r="Q28" s="113">
        <f t="shared" si="3"/>
        <v>2155.5530000000003</v>
      </c>
      <c r="R28" s="113">
        <f t="shared" si="3"/>
        <v>2501.9440000000004</v>
      </c>
      <c r="S28" s="113">
        <f t="shared" si="3"/>
        <v>2518.8489999999997</v>
      </c>
      <c r="T28" s="113">
        <f t="shared" si="3"/>
        <v>2509.9009999999998</v>
      </c>
      <c r="U28" s="113">
        <f t="shared" si="3"/>
        <v>2500.6889999999999</v>
      </c>
      <c r="V28" s="113">
        <f t="shared" si="3"/>
        <v>2528.826</v>
      </c>
      <c r="W28" s="113">
        <f t="shared" si="3"/>
        <v>2524.0120000000002</v>
      </c>
      <c r="X28" s="113">
        <f t="shared" si="3"/>
        <v>2514.2339999999999</v>
      </c>
      <c r="Y28" s="113">
        <f t="shared" si="3"/>
        <v>2014.51</v>
      </c>
      <c r="Z28" s="113">
        <f t="shared" si="3"/>
        <v>2289.5149999999999</v>
      </c>
      <c r="AA28" s="113">
        <f t="shared" si="3"/>
        <v>2173.6999999999998</v>
      </c>
      <c r="AB28" s="113">
        <f t="shared" si="3"/>
        <v>1845.9950000000001</v>
      </c>
      <c r="AC28" s="113">
        <f t="shared" si="3"/>
        <v>1874.0350000000001</v>
      </c>
      <c r="AD28" s="113">
        <f t="shared" si="3"/>
        <v>2041.037</v>
      </c>
      <c r="AE28" s="113">
        <f t="shared" si="3"/>
        <v>2042.173</v>
      </c>
      <c r="AF28" s="113">
        <f t="shared" si="3"/>
        <v>2040.8</v>
      </c>
      <c r="AG28" s="113">
        <v>2050.4769999999999</v>
      </c>
      <c r="AH28" s="113">
        <v>2035.5750000000003</v>
      </c>
      <c r="AI28" s="113">
        <f>SUM(AI29:AI33)</f>
        <v>894.99599999999998</v>
      </c>
      <c r="AJ28" s="113">
        <v>858.80399999999986</v>
      </c>
      <c r="AK28" s="113">
        <v>866.09999999999991</v>
      </c>
      <c r="AL28" s="113">
        <v>815.71400000000017</v>
      </c>
      <c r="AM28" s="113">
        <v>816.697</v>
      </c>
      <c r="AN28" s="113">
        <f>SUM(AN29:AN33)</f>
        <v>809.01599999999985</v>
      </c>
    </row>
    <row r="29" spans="1:40" ht="15" customHeight="1" x14ac:dyDescent="0.3">
      <c r="A29" t="s">
        <v>163</v>
      </c>
      <c r="B29" s="114" t="str">
        <f>IF('Sumário | Summary'!P1=1,"Investimentos","Investments")</f>
        <v>Investimentos</v>
      </c>
      <c r="C29" s="115">
        <v>15.801</v>
      </c>
      <c r="D29" s="115">
        <v>19.161999999999999</v>
      </c>
      <c r="E29" s="115">
        <v>22.952000000000002</v>
      </c>
      <c r="F29" s="115">
        <v>24.045999999999999</v>
      </c>
      <c r="G29" s="115">
        <v>32.521999999999998</v>
      </c>
      <c r="H29" s="115">
        <v>31.117999999999999</v>
      </c>
      <c r="I29" s="115">
        <v>30.215</v>
      </c>
      <c r="J29" s="115">
        <v>30.100999999999999</v>
      </c>
      <c r="K29" s="115">
        <v>29.402000000000001</v>
      </c>
      <c r="L29" s="115">
        <v>29.818000000000001</v>
      </c>
      <c r="M29" s="115">
        <v>19.783999999999999</v>
      </c>
      <c r="N29" s="115">
        <v>18.696999999999999</v>
      </c>
      <c r="O29" s="115">
        <v>17.893000000000001</v>
      </c>
      <c r="P29" s="115">
        <v>17.266999999999999</v>
      </c>
      <c r="Q29" s="115">
        <v>17.931000000000001</v>
      </c>
      <c r="R29" s="115">
        <v>39.948999999999998</v>
      </c>
      <c r="S29" s="115">
        <v>39.97</v>
      </c>
      <c r="T29" s="115">
        <v>39.905000000000001</v>
      </c>
      <c r="U29" s="115">
        <v>39.668999999999997</v>
      </c>
      <c r="V29" s="115">
        <v>35.244</v>
      </c>
      <c r="W29" s="115">
        <v>39.345999999999997</v>
      </c>
      <c r="X29" s="115">
        <v>38.622999999999998</v>
      </c>
      <c r="Y29" s="115">
        <v>37.996000000000002</v>
      </c>
      <c r="Z29" s="115">
        <v>374.12099999999998</v>
      </c>
      <c r="AA29" s="115">
        <v>373.19900000000001</v>
      </c>
      <c r="AB29" s="115">
        <v>52.335999999999999</v>
      </c>
      <c r="AC29" s="115">
        <v>53.404000000000003</v>
      </c>
      <c r="AD29" s="115">
        <v>92.948999999999998</v>
      </c>
      <c r="AE29" s="115">
        <v>95.626000000000005</v>
      </c>
      <c r="AF29" s="115">
        <v>94.03</v>
      </c>
      <c r="AG29" s="115">
        <v>97.631</v>
      </c>
      <c r="AH29" s="115">
        <v>92.468999999999994</v>
      </c>
      <c r="AI29" s="115">
        <v>95.331000000000003</v>
      </c>
      <c r="AJ29" s="115">
        <v>95.381</v>
      </c>
      <c r="AK29" s="115">
        <v>89.436999999999998</v>
      </c>
      <c r="AL29" s="115">
        <v>37.296999999999997</v>
      </c>
      <c r="AM29" s="115">
        <v>35.561999999999998</v>
      </c>
      <c r="AN29" s="115">
        <v>35.698999999999998</v>
      </c>
    </row>
    <row r="30" spans="1:40" ht="15" customHeight="1" x14ac:dyDescent="0.3">
      <c r="A30" t="s">
        <v>164</v>
      </c>
      <c r="B30" s="114" t="str">
        <f>IF('Sumário | Summary'!P1=1,"Propriedades para investimento","Investment properties")</f>
        <v>Propriedades para investimento</v>
      </c>
      <c r="C30" s="115">
        <v>1581.232</v>
      </c>
      <c r="D30" s="115">
        <v>1757.6949999999999</v>
      </c>
      <c r="E30" s="115">
        <v>2347.681</v>
      </c>
      <c r="F30" s="115">
        <v>2455.9760000000001</v>
      </c>
      <c r="G30" s="115">
        <v>2259.3389999999999</v>
      </c>
      <c r="H30" s="115">
        <v>2478.5149999999999</v>
      </c>
      <c r="I30" s="115">
        <v>1989.8150000000001</v>
      </c>
      <c r="J30" s="115">
        <v>2184</v>
      </c>
      <c r="K30" s="115">
        <v>2137.5479999999998</v>
      </c>
      <c r="L30" s="115">
        <v>2103.5120000000002</v>
      </c>
      <c r="M30" s="115">
        <v>2058.7620000000002</v>
      </c>
      <c r="N30" s="115">
        <v>1875.117</v>
      </c>
      <c r="O30" s="115">
        <v>1866.8579999999999</v>
      </c>
      <c r="P30" s="115">
        <v>1953.0540000000001</v>
      </c>
      <c r="Q30" s="115">
        <v>1947.578</v>
      </c>
      <c r="R30" s="115">
        <v>2451.7040000000002</v>
      </c>
      <c r="S30" s="115">
        <v>2471.2959999999998</v>
      </c>
      <c r="T30" s="115">
        <v>2461.1909999999998</v>
      </c>
      <c r="U30" s="115">
        <v>2452.105</v>
      </c>
      <c r="V30" s="115">
        <v>2482.0549999999998</v>
      </c>
      <c r="W30" s="115">
        <v>2472.3420000000001</v>
      </c>
      <c r="X30" s="115">
        <v>2462.7750000000001</v>
      </c>
      <c r="Y30" s="115">
        <v>1963.5550000000001</v>
      </c>
      <c r="Z30" s="115">
        <v>1902.643</v>
      </c>
      <c r="AA30" s="115">
        <v>1787.597</v>
      </c>
      <c r="AB30" s="115">
        <v>1780.7380000000001</v>
      </c>
      <c r="AC30" s="115">
        <v>1807.7460000000001</v>
      </c>
      <c r="AD30" s="115">
        <v>1934.26</v>
      </c>
      <c r="AE30" s="115">
        <v>1933.077</v>
      </c>
      <c r="AF30" s="115">
        <v>1933.6220000000001</v>
      </c>
      <c r="AG30" s="115">
        <v>1938.2909999999999</v>
      </c>
      <c r="AH30" s="115">
        <v>1931.65</v>
      </c>
      <c r="AI30" s="115">
        <v>793.96299999999997</v>
      </c>
      <c r="AJ30" s="115">
        <v>753.86699999999996</v>
      </c>
      <c r="AK30" s="115">
        <v>768.01199999999994</v>
      </c>
      <c r="AL30" s="115">
        <v>769.96900000000005</v>
      </c>
      <c r="AM30" s="115">
        <v>772.76099999999997</v>
      </c>
      <c r="AN30" s="115">
        <v>764.928</v>
      </c>
    </row>
    <row r="31" spans="1:40" ht="15" customHeight="1" x14ac:dyDescent="0.3">
      <c r="A31" t="s">
        <v>165</v>
      </c>
      <c r="B31" s="114" t="str">
        <f>IF('Sumário | Summary'!P1=1,"Imobilizado","Fixed Assets")</f>
        <v>Imobilizado</v>
      </c>
      <c r="C31" s="115">
        <v>3.2549999999999999</v>
      </c>
      <c r="D31" s="115">
        <v>3.2349999999999999</v>
      </c>
      <c r="E31" s="115">
        <v>3.2210000000000001</v>
      </c>
      <c r="F31" s="115">
        <v>3.641</v>
      </c>
      <c r="G31" s="115">
        <v>5.2729999999999997</v>
      </c>
      <c r="H31" s="115">
        <v>7.6769999999999996</v>
      </c>
      <c r="I31" s="115">
        <v>6.367</v>
      </c>
      <c r="J31" s="115">
        <v>0.47799999999999998</v>
      </c>
      <c r="K31" s="115">
        <v>0.55600000000000005</v>
      </c>
      <c r="L31" s="115">
        <v>0.36399999999999999</v>
      </c>
      <c r="M31" s="115">
        <v>0.32600000000000001</v>
      </c>
      <c r="N31" s="115">
        <v>191.38499999999999</v>
      </c>
      <c r="O31" s="115">
        <v>190.26499999999999</v>
      </c>
      <c r="P31" s="115">
        <v>190.39400000000001</v>
      </c>
      <c r="Q31" s="115">
        <v>189.577</v>
      </c>
      <c r="R31" s="115">
        <v>2.5270000000000001</v>
      </c>
      <c r="S31" s="115">
        <v>1.121</v>
      </c>
      <c r="T31" s="115">
        <v>2.1219999999999999</v>
      </c>
      <c r="U31" s="115">
        <v>0.97299999999999998</v>
      </c>
      <c r="V31" s="115">
        <v>1.9930000000000001</v>
      </c>
      <c r="W31" s="115">
        <v>1.91</v>
      </c>
      <c r="X31" s="115">
        <v>1.83</v>
      </c>
      <c r="Y31" s="115">
        <v>0.65800000000000003</v>
      </c>
      <c r="Z31" s="115">
        <v>0.32300000000000001</v>
      </c>
      <c r="AA31" s="115">
        <v>0.28899999999999998</v>
      </c>
      <c r="AB31" s="115">
        <v>0.26500000000000001</v>
      </c>
      <c r="AC31" s="115">
        <v>0.249</v>
      </c>
      <c r="AD31" s="115">
        <v>0.23300000000000001</v>
      </c>
      <c r="AE31" s="115">
        <v>0.22</v>
      </c>
      <c r="AF31" s="115">
        <v>0.20499999999999999</v>
      </c>
      <c r="AG31" s="115">
        <v>0.92200000000000004</v>
      </c>
      <c r="AH31" s="115">
        <v>0.92</v>
      </c>
      <c r="AI31" s="115">
        <v>0.80900000000000005</v>
      </c>
      <c r="AJ31" s="115">
        <v>1.1080000000000001</v>
      </c>
      <c r="AK31" s="115">
        <v>0.71299999999999997</v>
      </c>
      <c r="AL31" s="115">
        <v>0.69499999999999995</v>
      </c>
      <c r="AM31" s="115">
        <v>0.67600000000000005</v>
      </c>
      <c r="AN31" s="115">
        <v>0.877</v>
      </c>
    </row>
    <row r="32" spans="1:40" ht="15" customHeight="1" x14ac:dyDescent="0.3">
      <c r="A32" t="s">
        <v>166</v>
      </c>
      <c r="B32" s="114" t="str">
        <f>IF('Sumário | Summary'!P1=1,"Intangíveis","Intangible")</f>
        <v>Intangíveis</v>
      </c>
      <c r="C32" s="115">
        <v>0.47699999999999998</v>
      </c>
      <c r="D32" s="115">
        <v>1.2749999999999999</v>
      </c>
      <c r="E32" s="115">
        <v>1.4890000000000001</v>
      </c>
      <c r="F32" s="115">
        <v>1.57</v>
      </c>
      <c r="G32" s="115">
        <v>1.4710000000000001</v>
      </c>
      <c r="H32" s="115">
        <v>1.421</v>
      </c>
      <c r="I32" s="115">
        <v>0.45</v>
      </c>
      <c r="J32" s="115">
        <v>0.42499999999999999</v>
      </c>
      <c r="K32" s="115">
        <v>0.47099999999999997</v>
      </c>
      <c r="L32" s="115">
        <v>0.45100000000000001</v>
      </c>
      <c r="M32" s="115">
        <v>3.9329999999999998</v>
      </c>
      <c r="N32" s="115">
        <v>3.9830000000000001</v>
      </c>
      <c r="O32" s="115">
        <v>4.0019999999999998</v>
      </c>
      <c r="P32" s="115">
        <v>3.9910000000000001</v>
      </c>
      <c r="Q32" s="115">
        <v>0.46700000000000003</v>
      </c>
      <c r="R32" s="115">
        <v>7.7640000000000002</v>
      </c>
      <c r="S32" s="115">
        <v>6.4619999999999997</v>
      </c>
      <c r="T32" s="115">
        <v>6.6829999999999998</v>
      </c>
      <c r="U32" s="115">
        <v>7.9420000000000002</v>
      </c>
      <c r="V32" s="115">
        <v>9.5340000000000007</v>
      </c>
      <c r="W32" s="115">
        <v>10.414</v>
      </c>
      <c r="X32" s="115">
        <v>11.006</v>
      </c>
      <c r="Y32" s="115">
        <v>12.301</v>
      </c>
      <c r="Z32" s="115">
        <v>12.428000000000001</v>
      </c>
      <c r="AA32" s="115">
        <v>12.615</v>
      </c>
      <c r="AB32" s="115">
        <v>12.656000000000001</v>
      </c>
      <c r="AC32" s="115">
        <v>12.635999999999999</v>
      </c>
      <c r="AD32" s="115">
        <v>13.595000000000001</v>
      </c>
      <c r="AE32" s="115">
        <v>13.25</v>
      </c>
      <c r="AF32" s="115">
        <v>12.943</v>
      </c>
      <c r="AG32" s="115">
        <v>13.632999999999999</v>
      </c>
      <c r="AH32" s="115">
        <v>10.536</v>
      </c>
      <c r="AI32" s="115">
        <v>4.8929999999999998</v>
      </c>
      <c r="AJ32" s="115">
        <v>8.4480000000000004</v>
      </c>
      <c r="AK32" s="115">
        <v>7.9379999999999997</v>
      </c>
      <c r="AL32" s="115">
        <v>7.7530000000000001</v>
      </c>
      <c r="AM32" s="115">
        <v>7.6980000000000004</v>
      </c>
      <c r="AN32" s="115">
        <v>7.5119999999999996</v>
      </c>
    </row>
    <row r="33" spans="1:40" ht="15" customHeight="1" x14ac:dyDescent="0.3">
      <c r="A33" t="s">
        <v>167</v>
      </c>
      <c r="B33" s="114" t="str">
        <f>IF('Sumário | Summary'!P1=1,"Outros Investimentos","Other Investments")</f>
        <v>Outros Investimentos</v>
      </c>
      <c r="C33" s="115" t="s">
        <v>73</v>
      </c>
      <c r="D33" s="115" t="s">
        <v>73</v>
      </c>
      <c r="E33" s="115" t="s">
        <v>73</v>
      </c>
      <c r="F33" s="115" t="s">
        <v>73</v>
      </c>
      <c r="G33" s="115" t="s">
        <v>73</v>
      </c>
      <c r="H33" s="115" t="s">
        <v>73</v>
      </c>
      <c r="I33" s="115" t="s">
        <v>73</v>
      </c>
      <c r="J33" s="115" t="s">
        <v>73</v>
      </c>
      <c r="K33" s="115" t="s">
        <v>73</v>
      </c>
      <c r="L33" s="115" t="s">
        <v>73</v>
      </c>
      <c r="M33" s="115" t="s">
        <v>73</v>
      </c>
      <c r="N33" s="115" t="s">
        <v>73</v>
      </c>
      <c r="O33" s="115">
        <v>0</v>
      </c>
      <c r="P33" s="115">
        <v>0</v>
      </c>
      <c r="Q33" s="115">
        <v>0</v>
      </c>
      <c r="R33" s="115">
        <v>0</v>
      </c>
      <c r="S33" s="115">
        <v>0</v>
      </c>
      <c r="T33" s="115">
        <v>0</v>
      </c>
      <c r="U33" s="115">
        <v>0</v>
      </c>
      <c r="V33" s="115">
        <v>0</v>
      </c>
      <c r="W33" s="115">
        <v>0</v>
      </c>
      <c r="X33" s="115">
        <v>0</v>
      </c>
      <c r="Y33" s="115">
        <v>0</v>
      </c>
      <c r="Z33" s="115">
        <v>0</v>
      </c>
      <c r="AA33" s="115">
        <v>0</v>
      </c>
      <c r="AB33" s="115">
        <v>0</v>
      </c>
      <c r="AC33" s="115">
        <v>0</v>
      </c>
      <c r="AD33" s="115">
        <v>0</v>
      </c>
      <c r="AE33" s="115">
        <v>0</v>
      </c>
      <c r="AF33" s="115">
        <v>0</v>
      </c>
      <c r="AG33" s="115">
        <v>0</v>
      </c>
      <c r="AH33" s="115">
        <v>0</v>
      </c>
      <c r="AI33" s="115">
        <v>0</v>
      </c>
      <c r="AJ33" s="115">
        <v>0</v>
      </c>
      <c r="AK33" s="115">
        <v>0</v>
      </c>
      <c r="AL33" s="115">
        <v>0</v>
      </c>
      <c r="AM33" s="115">
        <v>0</v>
      </c>
      <c r="AN33" s="115">
        <v>0</v>
      </c>
    </row>
    <row r="34" spans="1:40" ht="14.25" customHeight="1" x14ac:dyDescent="0.3">
      <c r="A34" t="s">
        <v>168</v>
      </c>
      <c r="B34" s="119" t="str">
        <f>IF('Sumário | Summary'!P1=1,"PASSIVO","Liabilities")</f>
        <v>PASSIVO</v>
      </c>
      <c r="C34" s="113">
        <v>2510.6990000000001</v>
      </c>
      <c r="D34" s="113">
        <v>2486.3599999999997</v>
      </c>
      <c r="E34" s="113">
        <v>2558.1240000000003</v>
      </c>
      <c r="F34" s="113">
        <v>2668.7550000000001</v>
      </c>
      <c r="G34" s="113">
        <v>2585.6760000000004</v>
      </c>
      <c r="H34" s="113">
        <v>2613.5970000000002</v>
      </c>
      <c r="I34" s="113">
        <v>1862.61</v>
      </c>
      <c r="J34" s="113">
        <v>1646.046</v>
      </c>
      <c r="K34" s="113">
        <v>1798.29</v>
      </c>
      <c r="L34" s="113">
        <v>1724.1379999999999</v>
      </c>
      <c r="M34" s="113">
        <v>1693.259</v>
      </c>
      <c r="N34" s="113">
        <v>1666.547</v>
      </c>
      <c r="O34" s="113">
        <f t="shared" ref="O34:AF34" si="4">O35+O52</f>
        <v>1597.3339999999998</v>
      </c>
      <c r="P34" s="113">
        <f t="shared" si="4"/>
        <v>1930.7729999999997</v>
      </c>
      <c r="Q34" s="113">
        <f t="shared" si="4"/>
        <v>1676.1459999999997</v>
      </c>
      <c r="R34" s="113">
        <f t="shared" si="4"/>
        <v>1747.0169999999998</v>
      </c>
      <c r="S34" s="113">
        <f t="shared" si="4"/>
        <v>1644.4619999999998</v>
      </c>
      <c r="T34" s="113">
        <f t="shared" si="4"/>
        <v>1624.8650000000002</v>
      </c>
      <c r="U34" s="113">
        <f t="shared" si="4"/>
        <v>1577.1019999999996</v>
      </c>
      <c r="V34" s="113">
        <f t="shared" si="4"/>
        <v>1583.0309999999999</v>
      </c>
      <c r="W34" s="113">
        <f t="shared" si="4"/>
        <v>1500.6830000000002</v>
      </c>
      <c r="X34" s="113">
        <f t="shared" si="4"/>
        <v>1801.3019999999999</v>
      </c>
      <c r="Y34" s="113">
        <f t="shared" si="4"/>
        <v>1769.2219999999998</v>
      </c>
      <c r="Z34" s="113">
        <f t="shared" si="4"/>
        <v>1755.8650000000002</v>
      </c>
      <c r="AA34" s="113">
        <f t="shared" si="4"/>
        <v>1566.8760000000002</v>
      </c>
      <c r="AB34" s="113">
        <f t="shared" si="4"/>
        <v>1402.095</v>
      </c>
      <c r="AC34" s="113">
        <f t="shared" si="4"/>
        <v>1183.067</v>
      </c>
      <c r="AD34" s="113">
        <f t="shared" si="4"/>
        <v>1177.0559999999998</v>
      </c>
      <c r="AE34" s="113">
        <f t="shared" si="4"/>
        <v>1174.1799999999998</v>
      </c>
      <c r="AF34" s="113">
        <f t="shared" si="4"/>
        <v>1142.8220000000001</v>
      </c>
      <c r="AG34" s="113">
        <v>1159.297</v>
      </c>
      <c r="AH34" s="113">
        <v>1127.0930000000001</v>
      </c>
      <c r="AI34" s="113">
        <f>AI35+AI52</f>
        <v>1419.212</v>
      </c>
      <c r="AJ34" s="113">
        <v>1223.3400000000001</v>
      </c>
      <c r="AK34" s="113">
        <v>1064.0229999999999</v>
      </c>
      <c r="AL34" s="113">
        <v>959.0390000000001</v>
      </c>
      <c r="AM34" s="113">
        <v>965.61599999999999</v>
      </c>
      <c r="AN34" s="113">
        <f>AN35+AN52</f>
        <v>604.34900000000005</v>
      </c>
    </row>
    <row r="35" spans="1:40" ht="15" customHeight="1" x14ac:dyDescent="0.3">
      <c r="A35" t="s">
        <v>169</v>
      </c>
      <c r="B35" s="24" t="str">
        <f>IF('Sumário | Summary'!P1=1,"Passivo Circulante","Current Liabilities")</f>
        <v>Passivo Circulante</v>
      </c>
      <c r="C35" s="113">
        <v>460.916</v>
      </c>
      <c r="D35" s="113">
        <v>606.85659999999996</v>
      </c>
      <c r="E35" s="113">
        <v>595.7894</v>
      </c>
      <c r="F35" s="113">
        <v>533.60580000000004</v>
      </c>
      <c r="G35" s="113">
        <v>504.8254</v>
      </c>
      <c r="H35" s="113">
        <v>601.41800000000001</v>
      </c>
      <c r="I35" s="113">
        <v>402.66300000000001</v>
      </c>
      <c r="J35" s="113">
        <v>317.79599999999999</v>
      </c>
      <c r="K35" s="113">
        <v>335.97699999999998</v>
      </c>
      <c r="L35" s="113">
        <v>303.19200000000001</v>
      </c>
      <c r="M35" s="113">
        <v>384.80099999999999</v>
      </c>
      <c r="N35" s="113">
        <v>348.971</v>
      </c>
      <c r="O35" s="113">
        <f t="shared" ref="O35:AF35" si="5">SUM(O36:O51)</f>
        <v>334.47600000000006</v>
      </c>
      <c r="P35" s="113">
        <f t="shared" si="5"/>
        <v>406.28399999999999</v>
      </c>
      <c r="Q35" s="113">
        <f t="shared" si="5"/>
        <v>271.55099999999999</v>
      </c>
      <c r="R35" s="113">
        <f t="shared" si="5"/>
        <v>255.59599999999998</v>
      </c>
      <c r="S35" s="113">
        <f t="shared" si="5"/>
        <v>207.38799999999998</v>
      </c>
      <c r="T35" s="113">
        <f t="shared" si="5"/>
        <v>183.27599999999998</v>
      </c>
      <c r="U35" s="113">
        <f t="shared" si="5"/>
        <v>185.94799999999995</v>
      </c>
      <c r="V35" s="113">
        <f t="shared" si="5"/>
        <v>194.36</v>
      </c>
      <c r="W35" s="113">
        <f t="shared" si="5"/>
        <v>175.41299999999998</v>
      </c>
      <c r="X35" s="113">
        <f t="shared" si="5"/>
        <v>287.19900000000001</v>
      </c>
      <c r="Y35" s="113">
        <f t="shared" si="5"/>
        <v>295.81</v>
      </c>
      <c r="Z35" s="113">
        <f t="shared" si="5"/>
        <v>335.23000000000013</v>
      </c>
      <c r="AA35" s="113">
        <f t="shared" si="5"/>
        <v>215.68099999999998</v>
      </c>
      <c r="AB35" s="113">
        <f t="shared" si="5"/>
        <v>200.35699999999997</v>
      </c>
      <c r="AC35" s="113">
        <f t="shared" si="5"/>
        <v>71.72999999999999</v>
      </c>
      <c r="AD35" s="113">
        <f t="shared" si="5"/>
        <v>87.616</v>
      </c>
      <c r="AE35" s="113">
        <f t="shared" si="5"/>
        <v>76.451999999999984</v>
      </c>
      <c r="AF35" s="113">
        <f t="shared" si="5"/>
        <v>95.182999999999993</v>
      </c>
      <c r="AG35" s="113">
        <v>108.99400000000001</v>
      </c>
      <c r="AH35" s="113">
        <v>75.873000000000005</v>
      </c>
      <c r="AI35" s="113">
        <f>SUM(AI36:AI51)</f>
        <v>459.94599999999991</v>
      </c>
      <c r="AJ35" s="113">
        <v>326.90900000000011</v>
      </c>
      <c r="AK35" s="113">
        <v>204.10800000000003</v>
      </c>
      <c r="AL35" s="113">
        <v>217.11699999999996</v>
      </c>
      <c r="AM35" s="113">
        <v>215.803</v>
      </c>
      <c r="AN35" s="113">
        <f>SUM(AN36:AN51)</f>
        <v>97.78</v>
      </c>
    </row>
    <row r="36" spans="1:40" ht="15" customHeight="1" x14ac:dyDescent="0.3">
      <c r="A36" t="s">
        <v>170</v>
      </c>
      <c r="B36" s="114" t="str">
        <f>IF('Sumário | Summary'!P1=1,"Empréstimos e financiamentos","Loans and Financing")</f>
        <v>Empréstimos e financiamentos</v>
      </c>
      <c r="C36" s="115">
        <v>68.334000000000003</v>
      </c>
      <c r="D36" s="115">
        <v>194.434</v>
      </c>
      <c r="E36" s="115">
        <v>227.84299999999999</v>
      </c>
      <c r="F36" s="115">
        <v>238.17400000000001</v>
      </c>
      <c r="G36" s="115">
        <v>253.31200000000001</v>
      </c>
      <c r="H36" s="115">
        <v>254.375</v>
      </c>
      <c r="I36" s="115">
        <v>64.619</v>
      </c>
      <c r="J36" s="115">
        <v>62.280999999999999</v>
      </c>
      <c r="K36" s="115">
        <v>63.908999999999999</v>
      </c>
      <c r="L36" s="115">
        <v>63.378999999999998</v>
      </c>
      <c r="M36" s="115">
        <v>66.486000000000004</v>
      </c>
      <c r="N36" s="115">
        <v>37.26</v>
      </c>
      <c r="O36" s="115">
        <v>46.152999999999999</v>
      </c>
      <c r="P36" s="115">
        <v>36.819000000000003</v>
      </c>
      <c r="Q36" s="115">
        <v>43.877000000000002</v>
      </c>
      <c r="R36" s="115">
        <v>2.2349999999999999</v>
      </c>
      <c r="S36" s="115">
        <v>4.3330000000000002</v>
      </c>
      <c r="T36" s="115">
        <v>4.4039999999999999</v>
      </c>
      <c r="U36" s="115">
        <v>4.49</v>
      </c>
      <c r="V36" s="115">
        <v>4.5780000000000003</v>
      </c>
      <c r="W36" s="115">
        <v>4.681</v>
      </c>
      <c r="X36" s="115">
        <v>4.76</v>
      </c>
      <c r="Y36" s="115">
        <v>4.8529999999999998</v>
      </c>
      <c r="Z36" s="115">
        <v>0</v>
      </c>
      <c r="AA36" s="115">
        <v>0</v>
      </c>
      <c r="AB36" s="115">
        <v>0</v>
      </c>
      <c r="AC36" s="115">
        <v>0</v>
      </c>
      <c r="AD36" s="115">
        <v>0</v>
      </c>
      <c r="AE36" s="115">
        <v>0</v>
      </c>
      <c r="AF36" s="115">
        <v>0</v>
      </c>
      <c r="AG36" s="115">
        <v>0</v>
      </c>
      <c r="AH36" s="115">
        <v>0</v>
      </c>
      <c r="AI36" s="115">
        <v>0</v>
      </c>
      <c r="AJ36" s="115">
        <v>0</v>
      </c>
      <c r="AK36" s="115">
        <v>0</v>
      </c>
      <c r="AL36" s="115">
        <v>0</v>
      </c>
      <c r="AM36" s="115">
        <v>0</v>
      </c>
      <c r="AN36" s="115">
        <v>0</v>
      </c>
    </row>
    <row r="37" spans="1:40" ht="15" customHeight="1" x14ac:dyDescent="0.3">
      <c r="A37" t="s">
        <v>171</v>
      </c>
      <c r="B37" s="114" t="str">
        <f>IF('Sumário | Summary'!P1=1,"Debêntures","Debentures")</f>
        <v>Debêntures</v>
      </c>
      <c r="C37" s="115">
        <v>258.84500000000003</v>
      </c>
      <c r="D37" s="115">
        <v>280.23200000000003</v>
      </c>
      <c r="E37" s="115">
        <v>225.2</v>
      </c>
      <c r="F37" s="115">
        <v>152.761</v>
      </c>
      <c r="G37" s="115">
        <v>98.801000000000002</v>
      </c>
      <c r="H37" s="115">
        <v>83.885999999999996</v>
      </c>
      <c r="I37" s="115">
        <v>141.858</v>
      </c>
      <c r="J37" s="115">
        <v>158.46600000000001</v>
      </c>
      <c r="K37" s="115">
        <v>183.84800000000001</v>
      </c>
      <c r="L37" s="115">
        <v>194.01300000000001</v>
      </c>
      <c r="M37" s="115">
        <v>255.50200000000001</v>
      </c>
      <c r="N37" s="115">
        <v>261.05900000000003</v>
      </c>
      <c r="O37" s="115">
        <v>236.60400000000001</v>
      </c>
      <c r="P37" s="115">
        <v>243.74799999999999</v>
      </c>
      <c r="Q37" s="115">
        <v>120.00700000000001</v>
      </c>
      <c r="R37" s="115">
        <v>134.505</v>
      </c>
      <c r="S37" s="115">
        <v>140.07599999999999</v>
      </c>
      <c r="T37" s="115">
        <v>130.655</v>
      </c>
      <c r="U37" s="115">
        <v>131.654</v>
      </c>
      <c r="V37" s="115">
        <v>129.15899999999999</v>
      </c>
      <c r="W37" s="115">
        <v>122.914</v>
      </c>
      <c r="X37" s="115">
        <v>244.339</v>
      </c>
      <c r="Y37" s="115">
        <v>245.52099999999999</v>
      </c>
      <c r="Z37" s="115">
        <v>251.095</v>
      </c>
      <c r="AA37" s="115">
        <v>151.87799999999999</v>
      </c>
      <c r="AB37" s="115">
        <v>122.285</v>
      </c>
      <c r="AC37" s="115">
        <v>13.502000000000001</v>
      </c>
      <c r="AD37" s="115">
        <v>13.502000000000001</v>
      </c>
      <c r="AE37" s="115">
        <v>19.172000000000001</v>
      </c>
      <c r="AF37" s="115">
        <v>41.597000000000001</v>
      </c>
      <c r="AG37" s="115">
        <v>47.570999999999998</v>
      </c>
      <c r="AH37" s="115">
        <v>13.744999999999999</v>
      </c>
      <c r="AI37" s="115">
        <v>115.467</v>
      </c>
      <c r="AJ37" s="115">
        <v>137.292</v>
      </c>
      <c r="AK37" s="115">
        <v>46.868000000000002</v>
      </c>
      <c r="AL37" s="115">
        <v>134.48699999999999</v>
      </c>
      <c r="AM37" s="115">
        <v>146.77699999999999</v>
      </c>
      <c r="AN37" s="115">
        <v>12.638999999999999</v>
      </c>
    </row>
    <row r="38" spans="1:40" ht="15" customHeight="1" x14ac:dyDescent="0.3">
      <c r="A38" t="s">
        <v>172</v>
      </c>
      <c r="B38" s="114" t="str">
        <f>IF('Sumário | Summary'!P1=1,"Notas Promissórias","Promissory Notes")</f>
        <v>Notas Promissórias</v>
      </c>
      <c r="C38" s="115">
        <v>0</v>
      </c>
      <c r="D38" s="115">
        <v>0</v>
      </c>
      <c r="E38" s="115">
        <v>19.146999999999998</v>
      </c>
      <c r="F38" s="115">
        <v>24.106999999999999</v>
      </c>
      <c r="G38" s="115">
        <v>28.611999999999998</v>
      </c>
      <c r="H38" s="115">
        <v>168.25399999999999</v>
      </c>
      <c r="I38" s="115">
        <v>35.866</v>
      </c>
      <c r="J38" s="115">
        <v>39.091999999999999</v>
      </c>
      <c r="K38" s="115">
        <v>0</v>
      </c>
      <c r="L38" s="115">
        <v>0</v>
      </c>
      <c r="M38" s="115">
        <v>0</v>
      </c>
      <c r="N38" s="115">
        <v>0</v>
      </c>
      <c r="O38" s="115">
        <v>0</v>
      </c>
      <c r="P38" s="115">
        <v>0</v>
      </c>
      <c r="Q38" s="115">
        <v>0</v>
      </c>
      <c r="R38" s="115">
        <v>0</v>
      </c>
      <c r="S38" s="115">
        <v>0</v>
      </c>
      <c r="T38" s="115">
        <v>0</v>
      </c>
      <c r="U38" s="115">
        <v>0</v>
      </c>
      <c r="V38" s="115">
        <v>0</v>
      </c>
      <c r="W38" s="115">
        <v>0</v>
      </c>
      <c r="X38" s="115">
        <v>0</v>
      </c>
      <c r="Y38" s="115">
        <v>0</v>
      </c>
      <c r="Z38" s="115">
        <v>0</v>
      </c>
      <c r="AA38" s="115">
        <v>0</v>
      </c>
      <c r="AB38" s="115">
        <v>0</v>
      </c>
      <c r="AC38" s="115">
        <v>0</v>
      </c>
      <c r="AD38" s="115">
        <v>0</v>
      </c>
      <c r="AE38" s="115">
        <v>0</v>
      </c>
      <c r="AF38" s="115">
        <v>0</v>
      </c>
      <c r="AG38" s="115">
        <v>0</v>
      </c>
      <c r="AH38" s="115">
        <v>0</v>
      </c>
      <c r="AI38" s="115">
        <v>0</v>
      </c>
      <c r="AJ38" s="115">
        <v>0</v>
      </c>
      <c r="AK38" s="115">
        <v>0</v>
      </c>
      <c r="AL38" s="115">
        <v>0</v>
      </c>
      <c r="AM38" s="115">
        <v>0</v>
      </c>
      <c r="AN38" s="115">
        <v>0</v>
      </c>
    </row>
    <row r="39" spans="1:40" ht="15" customHeight="1" x14ac:dyDescent="0.3">
      <c r="A39" t="s">
        <v>173</v>
      </c>
      <c r="B39" s="114" t="str">
        <f>IF('Sumário | Summary'!P1=1,"Fornecedores","Suppliers")</f>
        <v>Fornecedores</v>
      </c>
      <c r="C39" s="115">
        <v>30.667999999999999</v>
      </c>
      <c r="D39" s="115">
        <v>31.76</v>
      </c>
      <c r="E39" s="115">
        <v>25.312999999999999</v>
      </c>
      <c r="F39" s="115">
        <v>19.702999999999999</v>
      </c>
      <c r="G39" s="115">
        <v>17.247</v>
      </c>
      <c r="H39" s="115">
        <v>16.114000000000001</v>
      </c>
      <c r="I39" s="115">
        <v>11.127000000000001</v>
      </c>
      <c r="J39" s="115">
        <v>11.151</v>
      </c>
      <c r="K39" s="115">
        <v>9.4469999999999992</v>
      </c>
      <c r="L39" s="115">
        <v>7.7430000000000003</v>
      </c>
      <c r="M39" s="115">
        <v>7.649</v>
      </c>
      <c r="N39" s="115">
        <v>9.8859999999999992</v>
      </c>
      <c r="O39" s="115">
        <v>7.5229999999999997</v>
      </c>
      <c r="P39" s="115">
        <v>8.6430000000000007</v>
      </c>
      <c r="Q39" s="115">
        <v>8.3439999999999994</v>
      </c>
      <c r="R39" s="115">
        <v>11.446</v>
      </c>
      <c r="S39" s="115">
        <v>7.7169999999999996</v>
      </c>
      <c r="T39" s="115">
        <v>6.0540000000000003</v>
      </c>
      <c r="U39" s="115">
        <v>7.1550000000000002</v>
      </c>
      <c r="V39" s="115">
        <v>10.096</v>
      </c>
      <c r="W39" s="115">
        <v>6.7130000000000001</v>
      </c>
      <c r="X39" s="115">
        <v>8.8130000000000006</v>
      </c>
      <c r="Y39" s="115">
        <v>10.601000000000001</v>
      </c>
      <c r="Z39" s="115">
        <v>18.045999999999999</v>
      </c>
      <c r="AA39" s="115">
        <v>10.391999999999999</v>
      </c>
      <c r="AB39" s="115">
        <v>10.455</v>
      </c>
      <c r="AC39" s="115">
        <v>11.792999999999999</v>
      </c>
      <c r="AD39" s="115">
        <v>28.811</v>
      </c>
      <c r="AE39" s="115">
        <v>24.338999999999999</v>
      </c>
      <c r="AF39" s="115">
        <v>11.112</v>
      </c>
      <c r="AG39" s="115">
        <v>9.2620000000000005</v>
      </c>
      <c r="AH39" s="115">
        <v>11.468</v>
      </c>
      <c r="AI39" s="115">
        <v>9.3010000000000002</v>
      </c>
      <c r="AJ39" s="115">
        <v>21.425000000000001</v>
      </c>
      <c r="AK39" s="115">
        <v>13.631</v>
      </c>
      <c r="AL39" s="115">
        <v>14.489000000000001</v>
      </c>
      <c r="AM39" s="115">
        <v>10.042999999999999</v>
      </c>
      <c r="AN39" s="115">
        <v>15.214</v>
      </c>
    </row>
    <row r="40" spans="1:40" ht="15" customHeight="1" x14ac:dyDescent="0.3">
      <c r="A40" t="s">
        <v>199</v>
      </c>
      <c r="B40" s="114" t="str">
        <f>IF('Sumário | Summary'!P1=1,"Contas a pagar por aquisição de imóveis","Accounts payable due to real estate acquisition ")</f>
        <v>Contas a pagar por aquisição de imóveis</v>
      </c>
      <c r="C40" s="115">
        <v>0</v>
      </c>
      <c r="D40" s="115">
        <v>0</v>
      </c>
      <c r="E40" s="115">
        <v>0</v>
      </c>
      <c r="F40" s="115">
        <v>0</v>
      </c>
      <c r="G40" s="115">
        <v>0</v>
      </c>
      <c r="H40" s="115">
        <v>0</v>
      </c>
      <c r="I40" s="115">
        <v>0</v>
      </c>
      <c r="J40" s="115">
        <v>0</v>
      </c>
      <c r="K40" s="115">
        <v>0</v>
      </c>
      <c r="L40" s="115">
        <v>0</v>
      </c>
      <c r="M40" s="115">
        <v>0</v>
      </c>
      <c r="N40" s="115">
        <v>0</v>
      </c>
      <c r="O40" s="115">
        <v>0</v>
      </c>
      <c r="P40" s="115">
        <v>0</v>
      </c>
      <c r="Q40" s="115">
        <v>0</v>
      </c>
      <c r="R40" s="115">
        <v>0</v>
      </c>
      <c r="S40" s="115">
        <v>0</v>
      </c>
      <c r="T40" s="115">
        <v>0</v>
      </c>
      <c r="U40" s="115">
        <v>0</v>
      </c>
      <c r="V40" s="115">
        <v>0</v>
      </c>
      <c r="W40" s="115">
        <v>0</v>
      </c>
      <c r="X40" s="115">
        <v>0</v>
      </c>
      <c r="Y40" s="115">
        <v>0</v>
      </c>
      <c r="Z40" s="115">
        <v>0</v>
      </c>
      <c r="AA40" s="115">
        <v>0</v>
      </c>
      <c r="AB40" s="115">
        <v>0</v>
      </c>
      <c r="AC40" s="115">
        <v>0</v>
      </c>
      <c r="AD40" s="115">
        <v>0</v>
      </c>
      <c r="AE40" s="115">
        <v>0</v>
      </c>
      <c r="AF40" s="115">
        <v>0</v>
      </c>
      <c r="AG40" s="115">
        <v>0</v>
      </c>
      <c r="AH40" s="115">
        <v>0</v>
      </c>
      <c r="AI40" s="115">
        <v>0</v>
      </c>
      <c r="AJ40" s="115">
        <v>0</v>
      </c>
      <c r="AK40" s="115">
        <v>0</v>
      </c>
      <c r="AL40" s="115">
        <v>0</v>
      </c>
      <c r="AM40" s="115">
        <v>0</v>
      </c>
      <c r="AN40" s="115">
        <v>0</v>
      </c>
    </row>
    <row r="41" spans="1:40" ht="15" customHeight="1" x14ac:dyDescent="0.3">
      <c r="A41" t="s">
        <v>175</v>
      </c>
      <c r="B41" s="114" t="str">
        <f>IF('Sumário | Summary'!P1=1,"Impostos e contribuições a recolher","Tax and Contributions")</f>
        <v>Impostos e contribuições a recolher</v>
      </c>
      <c r="C41" s="115">
        <v>13.601000000000001</v>
      </c>
      <c r="D41" s="115">
        <v>11.872999999999999</v>
      </c>
      <c r="E41" s="115">
        <v>13.28</v>
      </c>
      <c r="F41" s="115">
        <v>13.345000000000001</v>
      </c>
      <c r="G41" s="115">
        <v>14.234999999999999</v>
      </c>
      <c r="H41" s="115">
        <v>13.214</v>
      </c>
      <c r="I41" s="115">
        <v>103.042</v>
      </c>
      <c r="J41" s="115">
        <v>9.4009999999999998</v>
      </c>
      <c r="K41" s="115">
        <v>14.776</v>
      </c>
      <c r="L41" s="115">
        <v>11.441000000000001</v>
      </c>
      <c r="M41" s="115">
        <v>10.044</v>
      </c>
      <c r="N41" s="115">
        <v>11.170999999999999</v>
      </c>
      <c r="O41" s="115">
        <v>12.779</v>
      </c>
      <c r="P41" s="115">
        <v>17.561</v>
      </c>
      <c r="Q41" s="115">
        <v>21.454000000000001</v>
      </c>
      <c r="R41" s="115">
        <v>26.462</v>
      </c>
      <c r="S41" s="115">
        <v>9.3040000000000003</v>
      </c>
      <c r="T41" s="115">
        <v>9.9890000000000008</v>
      </c>
      <c r="U41" s="115">
        <v>9.2059999999999995</v>
      </c>
      <c r="V41" s="115">
        <v>8.7710000000000008</v>
      </c>
      <c r="W41" s="115">
        <v>8.5139999999999993</v>
      </c>
      <c r="X41" s="115">
        <v>9.0269999999999992</v>
      </c>
      <c r="Y41" s="115">
        <v>9.3059999999999992</v>
      </c>
      <c r="Z41" s="115">
        <v>19.760999999999999</v>
      </c>
      <c r="AA41" s="115">
        <v>13.387</v>
      </c>
      <c r="AB41" s="115">
        <v>10.159000000000001</v>
      </c>
      <c r="AC41" s="115">
        <v>11.878</v>
      </c>
      <c r="AD41" s="115">
        <v>11.599</v>
      </c>
      <c r="AE41" s="115">
        <v>9.5069999999999997</v>
      </c>
      <c r="AF41" s="115">
        <v>11.214</v>
      </c>
      <c r="AG41" s="115">
        <v>12.167</v>
      </c>
      <c r="AH41" s="115">
        <v>15.239000000000001</v>
      </c>
      <c r="AI41" s="115">
        <v>5.99</v>
      </c>
      <c r="AJ41" s="115">
        <v>133.12700000000001</v>
      </c>
      <c r="AK41" s="115">
        <v>11.705</v>
      </c>
      <c r="AL41" s="115">
        <v>28.805</v>
      </c>
      <c r="AM41" s="115">
        <v>17.609000000000002</v>
      </c>
      <c r="AN41" s="115">
        <v>12.936999999999999</v>
      </c>
    </row>
    <row r="42" spans="1:40" ht="15" customHeight="1" x14ac:dyDescent="0.3">
      <c r="A42" t="s">
        <v>176</v>
      </c>
      <c r="B42" s="114" t="str">
        <f>IF('Sumário | Summary'!P1=1,"Debitos com parceiros nos empreendimentos","Current accounts with venture partners ")</f>
        <v>Debitos com parceiros nos empreendimentos</v>
      </c>
      <c r="C42" s="115">
        <v>0</v>
      </c>
      <c r="D42" s="115">
        <v>0</v>
      </c>
      <c r="E42" s="115">
        <v>0</v>
      </c>
      <c r="F42" s="115">
        <v>0</v>
      </c>
      <c r="G42" s="115">
        <v>0</v>
      </c>
      <c r="H42" s="115">
        <v>0</v>
      </c>
      <c r="I42" s="115">
        <v>0</v>
      </c>
      <c r="J42" s="115">
        <v>0</v>
      </c>
      <c r="K42" s="115">
        <v>0</v>
      </c>
      <c r="L42" s="115">
        <v>0</v>
      </c>
      <c r="M42" s="115">
        <v>0</v>
      </c>
      <c r="N42" s="115">
        <v>0</v>
      </c>
      <c r="O42" s="115">
        <v>0</v>
      </c>
      <c r="P42" s="115">
        <v>0</v>
      </c>
      <c r="Q42" s="115">
        <v>-6.0999999999999999E-2</v>
      </c>
      <c r="R42" s="115">
        <v>-1.1259999999999999</v>
      </c>
      <c r="S42" s="115">
        <v>2.0840000000000001</v>
      </c>
      <c r="T42" s="115">
        <v>5.1479999999999997</v>
      </c>
      <c r="U42" s="115">
        <v>1.3779999999999999</v>
      </c>
      <c r="V42" s="115">
        <v>1.4910000000000001</v>
      </c>
      <c r="W42" s="115">
        <v>1.5249999999999999</v>
      </c>
      <c r="X42" s="115">
        <v>2.0680000000000001</v>
      </c>
      <c r="Y42" s="115">
        <v>3.145</v>
      </c>
      <c r="Z42" s="115">
        <v>1.4219999999999999</v>
      </c>
      <c r="AA42" s="115">
        <v>3.4369999999999998</v>
      </c>
      <c r="AB42" s="115">
        <v>3.1859999999999999</v>
      </c>
      <c r="AC42" s="115">
        <v>3.2909999999999999</v>
      </c>
      <c r="AD42" s="115">
        <v>3.464</v>
      </c>
      <c r="AE42" s="115">
        <v>3</v>
      </c>
      <c r="AF42" s="115">
        <v>2.6459999999999999</v>
      </c>
      <c r="AG42" s="115">
        <v>2.1389999999999998</v>
      </c>
      <c r="AH42" s="115">
        <v>1.4910000000000001</v>
      </c>
      <c r="AI42" s="115">
        <v>0.81799999999999995</v>
      </c>
      <c r="AJ42" s="115">
        <v>0.41599999999999998</v>
      </c>
      <c r="AK42" s="115">
        <v>1.2629999999999999</v>
      </c>
      <c r="AL42" s="115">
        <v>0.20200000000000001</v>
      </c>
      <c r="AM42" s="115">
        <v>0.191</v>
      </c>
      <c r="AN42" s="115">
        <v>0.191</v>
      </c>
    </row>
    <row r="43" spans="1:40" ht="15" customHeight="1" x14ac:dyDescent="0.3">
      <c r="A43" t="s">
        <v>177</v>
      </c>
      <c r="B43" s="114" t="str">
        <f>IF('Sumário | Summary'!P1=1,"Impostos e contribuições diferidos","Tax and Contributions - Deferred")</f>
        <v>Impostos e contribuições diferidos</v>
      </c>
      <c r="C43" s="115">
        <v>1.377</v>
      </c>
      <c r="D43" s="115">
        <v>1.3460000000000001</v>
      </c>
      <c r="E43" s="115">
        <v>3.2280000000000002</v>
      </c>
      <c r="F43" s="115">
        <v>2.8860000000000001</v>
      </c>
      <c r="G43" s="115">
        <v>2.673</v>
      </c>
      <c r="H43" s="115">
        <v>2.2210000000000001</v>
      </c>
      <c r="I43" s="115">
        <v>0.69899999999999995</v>
      </c>
      <c r="J43" s="115">
        <v>0.434</v>
      </c>
      <c r="K43" s="115">
        <v>0.34599999999999997</v>
      </c>
      <c r="L43" s="115">
        <v>0.314</v>
      </c>
      <c r="M43" s="115">
        <v>0.309</v>
      </c>
      <c r="N43" s="115">
        <v>0.26400000000000001</v>
      </c>
      <c r="O43" s="115">
        <v>0.127</v>
      </c>
      <c r="P43" s="115">
        <v>0.123</v>
      </c>
      <c r="Q43" s="115">
        <v>0.104</v>
      </c>
      <c r="R43" s="115">
        <v>9.8000000000000004E-2</v>
      </c>
      <c r="S43" s="115">
        <v>9.2999999999999999E-2</v>
      </c>
      <c r="T43" s="115">
        <v>0.08</v>
      </c>
      <c r="U43" s="115">
        <v>7.4999999999999997E-2</v>
      </c>
      <c r="V43" s="115">
        <v>7.8E-2</v>
      </c>
      <c r="W43" s="115">
        <v>4.9000000000000002E-2</v>
      </c>
      <c r="X43" s="115">
        <v>0.05</v>
      </c>
      <c r="Y43" s="115">
        <v>5.1999999999999998E-2</v>
      </c>
      <c r="Z43" s="115">
        <v>4.4999999999999998E-2</v>
      </c>
      <c r="AA43" s="115">
        <v>5.1999999999999998E-2</v>
      </c>
      <c r="AB43" s="115">
        <v>5.2999999999999999E-2</v>
      </c>
      <c r="AC43" s="115">
        <v>4.1000000000000002E-2</v>
      </c>
      <c r="AD43" s="115">
        <v>4.3999999999999997E-2</v>
      </c>
      <c r="AE43" s="115">
        <v>3.5000000000000003E-2</v>
      </c>
      <c r="AF43" s="115">
        <v>3.5000000000000003E-2</v>
      </c>
      <c r="AG43" s="115">
        <v>4.5999999999999999E-2</v>
      </c>
      <c r="AH43" s="115">
        <v>3.3000000000000002E-2</v>
      </c>
      <c r="AI43" s="115">
        <v>3.2000000000000001E-2</v>
      </c>
      <c r="AJ43" s="115">
        <v>3.5000000000000003E-2</v>
      </c>
      <c r="AK43" s="115">
        <v>3.2000000000000001E-2</v>
      </c>
      <c r="AL43" s="115">
        <v>0.14099999999999999</v>
      </c>
      <c r="AM43" s="115">
        <v>0.17899999999999999</v>
      </c>
      <c r="AN43" s="115">
        <v>0.17699999999999999</v>
      </c>
    </row>
    <row r="44" spans="1:40" ht="15" customHeight="1" x14ac:dyDescent="0.3">
      <c r="A44" t="s">
        <v>178</v>
      </c>
      <c r="B44" s="114" t="str">
        <f>IF('Sumário | Summary'!P1=1,"Adiantamentos de clientes","Advancement from Clients")</f>
        <v>Adiantamentos de clientes</v>
      </c>
      <c r="C44" s="115">
        <v>0.70599999999999996</v>
      </c>
      <c r="D44" s="115">
        <v>2.879</v>
      </c>
      <c r="E44" s="115">
        <v>2.2000000000000002</v>
      </c>
      <c r="F44" s="115">
        <v>1.9039999999999999</v>
      </c>
      <c r="G44" s="115">
        <v>1.8</v>
      </c>
      <c r="H44" s="115">
        <v>4.01</v>
      </c>
      <c r="I44" s="115">
        <v>0.51800000000000002</v>
      </c>
      <c r="J44" s="115">
        <v>0.7</v>
      </c>
      <c r="K44" s="115">
        <v>35.875</v>
      </c>
      <c r="L44" s="115">
        <v>4.157</v>
      </c>
      <c r="M44" s="115">
        <v>0.77400000000000002</v>
      </c>
      <c r="N44" s="115">
        <v>0.75900000000000001</v>
      </c>
      <c r="O44" s="115">
        <v>0.33100000000000002</v>
      </c>
      <c r="P44" s="115">
        <v>0.36399999999999999</v>
      </c>
      <c r="Q44" s="115">
        <v>0.40100000000000002</v>
      </c>
      <c r="R44" s="115">
        <v>0.45200000000000001</v>
      </c>
      <c r="S44" s="115">
        <v>0.185</v>
      </c>
      <c r="T44" s="115">
        <v>0.13100000000000001</v>
      </c>
      <c r="U44" s="115">
        <v>0.63900000000000001</v>
      </c>
      <c r="V44" s="115">
        <v>0.214</v>
      </c>
      <c r="W44" s="115">
        <v>0.16500000000000001</v>
      </c>
      <c r="X44" s="115">
        <v>1.147</v>
      </c>
      <c r="Y44" s="115">
        <v>1.454</v>
      </c>
      <c r="Z44" s="115">
        <v>0</v>
      </c>
      <c r="AA44" s="115">
        <v>0</v>
      </c>
      <c r="AB44" s="115">
        <v>0</v>
      </c>
      <c r="AC44" s="115">
        <v>2.4E-2</v>
      </c>
      <c r="AD44" s="115">
        <v>0</v>
      </c>
      <c r="AE44" s="115">
        <v>0</v>
      </c>
      <c r="AF44" s="115">
        <v>0</v>
      </c>
      <c r="AG44" s="115">
        <v>0.16500000000000001</v>
      </c>
      <c r="AH44" s="115">
        <v>0.20200000000000001</v>
      </c>
      <c r="AI44" s="115">
        <v>299.613</v>
      </c>
      <c r="AJ44" s="115">
        <v>0.06</v>
      </c>
      <c r="AK44" s="115">
        <v>0</v>
      </c>
      <c r="AL44" s="115">
        <v>2.1999999999999999E-2</v>
      </c>
      <c r="AM44" s="115">
        <v>0.16800000000000001</v>
      </c>
      <c r="AN44" s="115">
        <v>0.185</v>
      </c>
    </row>
    <row r="45" spans="1:40" ht="15" customHeight="1" x14ac:dyDescent="0.3">
      <c r="A45" t="s">
        <v>179</v>
      </c>
      <c r="B45" s="114" t="str">
        <f>IF('Sumário | Summary'!P1=1,"Adiantamentos de clientes - Permutas","Advancement from Clients - Swap")</f>
        <v>Adiantamentos de clientes - Permutas</v>
      </c>
      <c r="C45" s="115">
        <v>27.613</v>
      </c>
      <c r="D45" s="115">
        <v>27.613</v>
      </c>
      <c r="E45" s="115">
        <v>27.613</v>
      </c>
      <c r="F45" s="115">
        <v>27.613</v>
      </c>
      <c r="G45" s="115">
        <v>27.613</v>
      </c>
      <c r="H45" s="115">
        <v>0.55700000000000005</v>
      </c>
      <c r="I45" s="115">
        <v>0</v>
      </c>
      <c r="J45" s="115">
        <v>0</v>
      </c>
      <c r="K45" s="115">
        <v>0</v>
      </c>
      <c r="L45" s="115">
        <v>0</v>
      </c>
      <c r="M45" s="115">
        <v>0</v>
      </c>
      <c r="N45" s="115">
        <v>0</v>
      </c>
      <c r="O45" s="115">
        <v>0.55700000000000005</v>
      </c>
      <c r="P45" s="115">
        <v>0.55700000000000005</v>
      </c>
      <c r="Q45" s="115">
        <v>0.55700000000000005</v>
      </c>
      <c r="R45" s="115">
        <v>0.55700000000000005</v>
      </c>
      <c r="S45" s="115">
        <v>0.55700000000000005</v>
      </c>
      <c r="T45" s="115">
        <v>0.55700000000000005</v>
      </c>
      <c r="U45" s="115">
        <v>0.55700000000000005</v>
      </c>
      <c r="V45" s="115">
        <v>0.55700000000000005</v>
      </c>
      <c r="W45" s="115">
        <v>0.55700000000000005</v>
      </c>
      <c r="X45" s="115">
        <v>0.55700000000000005</v>
      </c>
      <c r="Y45" s="115">
        <v>0.55700000000000005</v>
      </c>
      <c r="Z45" s="115">
        <v>0.55700000000000005</v>
      </c>
      <c r="AA45" s="115">
        <v>0.55700000000000005</v>
      </c>
      <c r="AB45" s="115">
        <v>0.55700000000000005</v>
      </c>
      <c r="AC45" s="115">
        <v>0.55700000000000005</v>
      </c>
      <c r="AD45" s="115">
        <v>0.55700000000000005</v>
      </c>
      <c r="AE45" s="115">
        <v>0.55700000000000005</v>
      </c>
      <c r="AF45" s="115">
        <v>0.55700000000000005</v>
      </c>
      <c r="AG45" s="115">
        <v>0</v>
      </c>
      <c r="AH45" s="115">
        <v>0</v>
      </c>
      <c r="AI45" s="115">
        <v>0.55700000000000005</v>
      </c>
      <c r="AJ45" s="115">
        <v>0</v>
      </c>
      <c r="AK45" s="115">
        <v>0</v>
      </c>
      <c r="AL45" s="115">
        <v>0</v>
      </c>
      <c r="AM45" s="115">
        <v>0</v>
      </c>
      <c r="AN45" s="115">
        <v>0</v>
      </c>
    </row>
    <row r="46" spans="1:40" ht="15" customHeight="1" x14ac:dyDescent="0.3">
      <c r="A46" t="s">
        <v>180</v>
      </c>
      <c r="B46" s="114" t="str">
        <f>IF('Sumário | Summary'!P1=1,"Partes relacionadas","Related parties")</f>
        <v>Partes relacionadas</v>
      </c>
      <c r="C46" s="115">
        <v>0</v>
      </c>
      <c r="D46" s="115">
        <v>0</v>
      </c>
      <c r="E46" s="115">
        <v>13.571</v>
      </c>
      <c r="F46" s="115">
        <v>0</v>
      </c>
      <c r="G46" s="115">
        <v>0</v>
      </c>
      <c r="H46" s="115">
        <v>0</v>
      </c>
      <c r="I46" s="115">
        <v>0</v>
      </c>
      <c r="J46" s="115">
        <v>0</v>
      </c>
      <c r="K46" s="115">
        <v>0</v>
      </c>
      <c r="L46" s="115">
        <v>0</v>
      </c>
      <c r="M46" s="115">
        <v>0</v>
      </c>
      <c r="N46" s="115">
        <v>0</v>
      </c>
      <c r="O46" s="115">
        <v>0</v>
      </c>
      <c r="P46" s="115">
        <v>0</v>
      </c>
      <c r="Q46" s="115">
        <v>0.2</v>
      </c>
      <c r="R46" s="115">
        <v>0.191</v>
      </c>
      <c r="S46" s="115">
        <v>0.06</v>
      </c>
      <c r="T46" s="115">
        <v>0.126</v>
      </c>
      <c r="U46" s="115">
        <v>0.13700000000000001</v>
      </c>
      <c r="V46" s="115">
        <v>0.16700000000000001</v>
      </c>
      <c r="W46" s="115">
        <v>0.158</v>
      </c>
      <c r="X46" s="115">
        <v>0.17499999999999999</v>
      </c>
      <c r="Y46" s="115">
        <v>0.17100000000000001</v>
      </c>
      <c r="Z46" s="115">
        <v>2.298</v>
      </c>
      <c r="AA46" s="115">
        <v>0.27500000000000002</v>
      </c>
      <c r="AB46" s="115">
        <v>0.34300000000000003</v>
      </c>
      <c r="AC46" s="115">
        <v>0.26800000000000002</v>
      </c>
      <c r="AD46" s="115">
        <v>0.23899999999999999</v>
      </c>
      <c r="AE46" s="115">
        <v>0.13500000000000001</v>
      </c>
      <c r="AF46" s="115">
        <v>0.05</v>
      </c>
      <c r="AG46" s="115">
        <v>4.2000000000000003E-2</v>
      </c>
      <c r="AH46" s="115">
        <v>0.09</v>
      </c>
      <c r="AI46" s="115">
        <v>2.7E-2</v>
      </c>
      <c r="AJ46" s="115">
        <v>0.57499999999999996</v>
      </c>
      <c r="AK46" s="115">
        <v>3.6999999999999998E-2</v>
      </c>
      <c r="AL46" s="115">
        <v>3.3000000000000002E-2</v>
      </c>
      <c r="AM46" s="115">
        <v>5.1999999999999998E-2</v>
      </c>
      <c r="AN46" s="115">
        <v>18.364000000000001</v>
      </c>
    </row>
    <row r="47" spans="1:40" ht="15" customHeight="1" x14ac:dyDescent="0.3">
      <c r="A47" t="s">
        <v>181</v>
      </c>
      <c r="B47" s="114" t="str">
        <f>IF('Sumário | Summary'!P1=1,"Receita res-sperata a apropriar","Key Money to be Recognized")</f>
        <v>Receita res-sperata a apropriar</v>
      </c>
      <c r="C47" s="115">
        <v>11.66</v>
      </c>
      <c r="D47" s="115">
        <v>10.909600000000001</v>
      </c>
      <c r="E47" s="115">
        <v>10.265400000000001</v>
      </c>
      <c r="F47" s="115">
        <v>9.2997999999999994</v>
      </c>
      <c r="G47" s="115">
        <v>8.2873999999999999</v>
      </c>
      <c r="H47" s="115">
        <v>7.6429999999999998</v>
      </c>
      <c r="I47" s="115">
        <v>7.0540000000000003</v>
      </c>
      <c r="J47" s="115">
        <v>6.56</v>
      </c>
      <c r="K47" s="115">
        <v>5.7610000000000001</v>
      </c>
      <c r="L47" s="115">
        <v>5.1440000000000001</v>
      </c>
      <c r="M47" s="115">
        <v>4.1150000000000002</v>
      </c>
      <c r="N47" s="115">
        <v>3.706</v>
      </c>
      <c r="O47" s="115">
        <v>3.347</v>
      </c>
      <c r="P47" s="115">
        <v>8.3439999999999994</v>
      </c>
      <c r="Q47" s="115">
        <v>7.4470000000000001</v>
      </c>
      <c r="R47" s="115">
        <v>6.718</v>
      </c>
      <c r="S47" s="115">
        <v>4.3920000000000003</v>
      </c>
      <c r="T47" s="115">
        <v>4.0590000000000002</v>
      </c>
      <c r="U47" s="115">
        <v>3.85</v>
      </c>
      <c r="V47" s="115">
        <v>3.7170000000000001</v>
      </c>
      <c r="W47" s="115">
        <v>3.7330000000000001</v>
      </c>
      <c r="X47" s="115">
        <v>3.3860000000000001</v>
      </c>
      <c r="Y47" s="115">
        <v>3.8180000000000001</v>
      </c>
      <c r="Z47" s="115">
        <v>3.3940000000000001</v>
      </c>
      <c r="AA47" s="115">
        <v>3.548</v>
      </c>
      <c r="AB47" s="115">
        <v>3.2959999999999998</v>
      </c>
      <c r="AC47" s="115">
        <v>3.2810000000000001</v>
      </c>
      <c r="AD47" s="115">
        <v>1.8180000000000001</v>
      </c>
      <c r="AE47" s="115">
        <v>1.7050000000000001</v>
      </c>
      <c r="AF47" s="115">
        <v>2.9049999999999998</v>
      </c>
      <c r="AG47" s="115">
        <v>2.6709999999999998</v>
      </c>
      <c r="AH47" s="115">
        <v>2.7719999999999998</v>
      </c>
      <c r="AI47" s="115">
        <v>2.722</v>
      </c>
      <c r="AJ47" s="115">
        <v>1.3859999999999999</v>
      </c>
      <c r="AK47" s="115">
        <v>1.4</v>
      </c>
      <c r="AL47" s="115">
        <v>1.181</v>
      </c>
      <c r="AM47" s="115">
        <v>1.216</v>
      </c>
      <c r="AN47" s="115">
        <v>1.321</v>
      </c>
    </row>
    <row r="48" spans="1:40" ht="15" customHeight="1" x14ac:dyDescent="0.3">
      <c r="A48" t="s">
        <v>182</v>
      </c>
      <c r="B48" s="114" t="str">
        <f>IF('Sumário | Summary'!P1=1,"Dividendos a pagar","Dividends Payable")</f>
        <v>Dividendos a pagar</v>
      </c>
      <c r="C48" s="115">
        <v>5.5419999999999998</v>
      </c>
      <c r="D48" s="115">
        <v>7.0000000000000001E-3</v>
      </c>
      <c r="E48" s="115">
        <v>7.0000000000000001E-3</v>
      </c>
      <c r="F48" s="115">
        <v>7.0000000000000001E-3</v>
      </c>
      <c r="G48" s="115">
        <v>7.0000000000000001E-3</v>
      </c>
      <c r="H48" s="115">
        <v>7.0000000000000001E-3</v>
      </c>
      <c r="I48" s="115">
        <v>1.2E-2</v>
      </c>
      <c r="J48" s="115">
        <v>1.2E-2</v>
      </c>
      <c r="K48" s="115">
        <v>1.2E-2</v>
      </c>
      <c r="L48" s="115">
        <v>1.2E-2</v>
      </c>
      <c r="M48" s="115">
        <v>1.2E-2</v>
      </c>
      <c r="N48" s="115">
        <v>1.7000000000000001E-2</v>
      </c>
      <c r="O48" s="115">
        <v>2.621</v>
      </c>
      <c r="P48" s="115">
        <v>1.7000000000000001E-2</v>
      </c>
      <c r="Q48" s="115">
        <v>1.4999999999999999E-2</v>
      </c>
      <c r="R48" s="115">
        <v>7.8070000000000004</v>
      </c>
      <c r="S48" s="115">
        <v>7.8070000000000004</v>
      </c>
      <c r="T48" s="115">
        <v>1.4999999999999999E-2</v>
      </c>
      <c r="U48" s="115">
        <v>1.708</v>
      </c>
      <c r="V48" s="115">
        <v>10.941000000000001</v>
      </c>
      <c r="W48" s="115">
        <v>12.045999999999999</v>
      </c>
      <c r="X48" s="115">
        <v>5.0000000000000001E-3</v>
      </c>
      <c r="Y48" s="115">
        <v>5.0000000000000001E-3</v>
      </c>
      <c r="Z48" s="115">
        <v>4.4999999999999998E-2</v>
      </c>
      <c r="AA48" s="115">
        <v>5.6230000000000002</v>
      </c>
      <c r="AB48" s="115">
        <v>4.4999999999999998E-2</v>
      </c>
      <c r="AC48" s="115">
        <v>4.5999999999999999E-2</v>
      </c>
      <c r="AD48" s="115">
        <v>4.5999999999999999E-2</v>
      </c>
      <c r="AE48" s="115">
        <v>4.5999999999999999E-2</v>
      </c>
      <c r="AF48" s="115">
        <v>4.2999999999999997E-2</v>
      </c>
      <c r="AG48" s="115">
        <v>4.2000000000000003E-2</v>
      </c>
      <c r="AH48" s="115">
        <v>4.2000000000000003E-2</v>
      </c>
      <c r="AI48" s="115">
        <v>0.28000000000000003</v>
      </c>
      <c r="AJ48" s="115">
        <v>0.28000000000000003</v>
      </c>
      <c r="AK48" s="115">
        <v>0.28000000000000003</v>
      </c>
      <c r="AL48" s="115">
        <v>0.29499999999999998</v>
      </c>
      <c r="AM48" s="115">
        <v>0.29499999999999998</v>
      </c>
      <c r="AN48" s="115">
        <v>0.29799999999999999</v>
      </c>
    </row>
    <row r="49" spans="1:40" ht="15" customHeight="1" x14ac:dyDescent="0.3">
      <c r="A49" t="s">
        <v>183</v>
      </c>
      <c r="B49" s="114" t="str">
        <f>IF('Sumário | Summary'!P1=1,"CDU a apropriar","Key Money to Recognize ")</f>
        <v>CDU a apropriar</v>
      </c>
      <c r="C49" s="115" t="s">
        <v>73</v>
      </c>
      <c r="D49" s="115" t="s">
        <v>73</v>
      </c>
      <c r="E49" s="115" t="s">
        <v>73</v>
      </c>
      <c r="F49" s="115" t="s">
        <v>73</v>
      </c>
      <c r="G49" s="115" t="s">
        <v>73</v>
      </c>
      <c r="H49" s="115" t="s">
        <v>73</v>
      </c>
      <c r="I49" s="115" t="s">
        <v>73</v>
      </c>
      <c r="J49" s="115" t="s">
        <v>73</v>
      </c>
      <c r="K49" s="115" t="s">
        <v>73</v>
      </c>
      <c r="L49" s="115" t="s">
        <v>73</v>
      </c>
      <c r="M49" s="115" t="s">
        <v>73</v>
      </c>
      <c r="N49" s="115" t="s">
        <v>73</v>
      </c>
      <c r="O49" s="115">
        <v>0</v>
      </c>
      <c r="P49" s="115">
        <v>0</v>
      </c>
      <c r="Q49" s="115">
        <v>0</v>
      </c>
      <c r="R49" s="115">
        <v>0</v>
      </c>
      <c r="S49" s="115">
        <v>0</v>
      </c>
      <c r="T49" s="115">
        <v>0</v>
      </c>
      <c r="U49" s="115">
        <v>0</v>
      </c>
      <c r="V49" s="115">
        <v>0</v>
      </c>
      <c r="W49" s="115">
        <v>0</v>
      </c>
      <c r="X49" s="115">
        <v>0</v>
      </c>
      <c r="Y49" s="115">
        <v>0</v>
      </c>
      <c r="Z49" s="115">
        <v>0</v>
      </c>
      <c r="AA49" s="115">
        <v>0</v>
      </c>
      <c r="AB49" s="115">
        <v>0</v>
      </c>
      <c r="AC49" s="115">
        <v>0</v>
      </c>
      <c r="AD49" s="115">
        <v>0</v>
      </c>
      <c r="AE49" s="115">
        <v>0</v>
      </c>
      <c r="AF49" s="115">
        <v>0</v>
      </c>
      <c r="AG49" s="115">
        <v>0</v>
      </c>
      <c r="AH49" s="115">
        <v>0</v>
      </c>
      <c r="AI49" s="115">
        <v>0</v>
      </c>
      <c r="AJ49" s="115">
        <v>0</v>
      </c>
      <c r="AK49" s="115">
        <v>0</v>
      </c>
      <c r="AL49" s="115">
        <v>0</v>
      </c>
      <c r="AM49" s="115">
        <v>0</v>
      </c>
      <c r="AN49" s="115">
        <v>0</v>
      </c>
    </row>
    <row r="50" spans="1:40" ht="15" customHeight="1" x14ac:dyDescent="0.3">
      <c r="A50" t="s">
        <v>184</v>
      </c>
      <c r="B50" s="114" t="str">
        <f>IF('Sumário | Summary'!P1=1,"Passivo de arrendamento","Lease liability")</f>
        <v>Passivo de arrendamento</v>
      </c>
      <c r="C50" s="115">
        <v>0</v>
      </c>
      <c r="D50" s="115">
        <v>0</v>
      </c>
      <c r="E50" s="115">
        <v>0</v>
      </c>
      <c r="F50" s="115">
        <v>0</v>
      </c>
      <c r="G50" s="115">
        <v>0</v>
      </c>
      <c r="H50" s="115">
        <v>0</v>
      </c>
      <c r="I50" s="115">
        <v>0</v>
      </c>
      <c r="J50" s="115">
        <v>0</v>
      </c>
      <c r="K50" s="115">
        <v>0</v>
      </c>
      <c r="L50" s="115">
        <v>0</v>
      </c>
      <c r="M50" s="115">
        <v>0</v>
      </c>
      <c r="N50" s="115">
        <v>0</v>
      </c>
      <c r="O50" s="115">
        <v>0</v>
      </c>
      <c r="P50" s="115">
        <v>0</v>
      </c>
      <c r="Q50" s="115">
        <v>0</v>
      </c>
      <c r="R50" s="115">
        <v>0</v>
      </c>
      <c r="S50" s="115">
        <v>0</v>
      </c>
      <c r="T50" s="115">
        <v>0</v>
      </c>
      <c r="U50" s="115">
        <v>0</v>
      </c>
      <c r="V50" s="115">
        <v>0</v>
      </c>
      <c r="W50" s="115">
        <v>0</v>
      </c>
      <c r="X50" s="115">
        <v>0</v>
      </c>
      <c r="Y50" s="115">
        <v>0</v>
      </c>
      <c r="Z50" s="115">
        <v>0</v>
      </c>
      <c r="AA50" s="115">
        <v>0</v>
      </c>
      <c r="AB50" s="115">
        <v>0</v>
      </c>
      <c r="AC50" s="115">
        <v>0</v>
      </c>
      <c r="AD50" s="115">
        <v>1.95</v>
      </c>
      <c r="AE50" s="115">
        <v>0.98</v>
      </c>
      <c r="AF50" s="115">
        <v>0.96599999999999997</v>
      </c>
      <c r="AG50" s="115">
        <v>0.95199999999999996</v>
      </c>
      <c r="AH50" s="115">
        <v>0.93799999999999994</v>
      </c>
      <c r="AI50" s="115">
        <v>0.92400000000000004</v>
      </c>
      <c r="AJ50" s="115">
        <v>0.91</v>
      </c>
      <c r="AK50" s="115">
        <v>0.89700000000000002</v>
      </c>
      <c r="AL50" s="115">
        <v>0.88400000000000001</v>
      </c>
      <c r="AM50" s="115">
        <v>0.871</v>
      </c>
      <c r="AN50" s="115">
        <v>0.85799999999999998</v>
      </c>
    </row>
    <row r="51" spans="1:40" ht="15" customHeight="1" x14ac:dyDescent="0.3">
      <c r="A51" t="s">
        <v>185</v>
      </c>
      <c r="B51" s="114" t="str">
        <f>IF('Sumário | Summary'!P1=1,"Demais contas a pagar","Other Accounts Payable")</f>
        <v>Demais contas a pagar</v>
      </c>
      <c r="C51" s="115">
        <v>42.57</v>
      </c>
      <c r="D51" s="115">
        <v>45.802999999999997</v>
      </c>
      <c r="E51" s="115">
        <v>28.122</v>
      </c>
      <c r="F51" s="115">
        <v>43.805999999999997</v>
      </c>
      <c r="G51" s="115">
        <v>52.238</v>
      </c>
      <c r="H51" s="115">
        <v>51.137</v>
      </c>
      <c r="I51" s="115">
        <v>37.868000000000002</v>
      </c>
      <c r="J51" s="115">
        <v>29.699000000000002</v>
      </c>
      <c r="K51" s="115">
        <v>22.003</v>
      </c>
      <c r="L51" s="115">
        <v>16.989000000000001</v>
      </c>
      <c r="M51" s="115">
        <v>39.909999999999997</v>
      </c>
      <c r="N51" s="115">
        <v>24.849</v>
      </c>
      <c r="O51" s="115">
        <v>24.434000000000001</v>
      </c>
      <c r="P51" s="115">
        <v>90.108000000000004</v>
      </c>
      <c r="Q51" s="115">
        <v>69.206000000000003</v>
      </c>
      <c r="R51" s="115">
        <v>66.251000000000005</v>
      </c>
      <c r="S51" s="115">
        <v>30.78</v>
      </c>
      <c r="T51" s="115">
        <v>22.058</v>
      </c>
      <c r="U51" s="115">
        <v>25.099</v>
      </c>
      <c r="V51" s="115">
        <v>24.591000000000001</v>
      </c>
      <c r="W51" s="115">
        <v>14.358000000000001</v>
      </c>
      <c r="X51" s="115">
        <v>12.872</v>
      </c>
      <c r="Y51" s="115">
        <v>16.327000000000002</v>
      </c>
      <c r="Z51" s="115">
        <v>38.567</v>
      </c>
      <c r="AA51" s="115">
        <v>26.532</v>
      </c>
      <c r="AB51" s="115">
        <v>49.978000000000002</v>
      </c>
      <c r="AC51" s="115">
        <v>27.048999999999999</v>
      </c>
      <c r="AD51" s="115">
        <v>25.585999999999999</v>
      </c>
      <c r="AE51" s="115">
        <v>16.975999999999999</v>
      </c>
      <c r="AF51" s="115">
        <v>24.058</v>
      </c>
      <c r="AG51" s="115">
        <v>33.936999999999998</v>
      </c>
      <c r="AH51" s="115">
        <v>29.853000000000002</v>
      </c>
      <c r="AI51" s="115">
        <v>24.215</v>
      </c>
      <c r="AJ51" s="115">
        <v>31.402999999999999</v>
      </c>
      <c r="AK51" s="115">
        <v>127.995</v>
      </c>
      <c r="AL51" s="115">
        <v>36.578000000000003</v>
      </c>
      <c r="AM51" s="115">
        <v>38.402000000000001</v>
      </c>
      <c r="AN51" s="115">
        <v>35.595999999999997</v>
      </c>
    </row>
    <row r="52" spans="1:40" ht="15" customHeight="1" x14ac:dyDescent="0.3">
      <c r="A52" t="s">
        <v>186</v>
      </c>
      <c r="B52" s="24" t="str">
        <f>IF('Sumário | Summary'!P1=1,"Exigível a longo prazo","Long-term liabilities")</f>
        <v>Exigível a longo prazo</v>
      </c>
      <c r="C52" s="113">
        <v>2049.7829999999999</v>
      </c>
      <c r="D52" s="113">
        <v>1879.5033999999998</v>
      </c>
      <c r="E52" s="113">
        <v>1962.3346000000001</v>
      </c>
      <c r="F52" s="113">
        <v>2135.1492000000003</v>
      </c>
      <c r="G52" s="113">
        <v>2080.8506000000002</v>
      </c>
      <c r="H52" s="113">
        <v>2012.1790000000001</v>
      </c>
      <c r="I52" s="113">
        <v>1459.9469999999999</v>
      </c>
      <c r="J52" s="113">
        <v>1328.25</v>
      </c>
      <c r="K52" s="113">
        <v>1462.3130000000001</v>
      </c>
      <c r="L52" s="113">
        <v>1420.9459999999999</v>
      </c>
      <c r="M52" s="113">
        <v>1308.4580000000001</v>
      </c>
      <c r="N52" s="113">
        <v>1317.576</v>
      </c>
      <c r="O52" s="113">
        <f t="shared" ref="O52:AF52" si="6">SUM(O53:O63)</f>
        <v>1262.8579999999997</v>
      </c>
      <c r="P52" s="113">
        <f t="shared" si="6"/>
        <v>1524.4889999999998</v>
      </c>
      <c r="Q52" s="113">
        <f t="shared" si="6"/>
        <v>1404.5949999999998</v>
      </c>
      <c r="R52" s="113">
        <f t="shared" si="6"/>
        <v>1491.4209999999998</v>
      </c>
      <c r="S52" s="113">
        <f t="shared" si="6"/>
        <v>1437.0739999999998</v>
      </c>
      <c r="T52" s="113">
        <f t="shared" si="6"/>
        <v>1441.5890000000002</v>
      </c>
      <c r="U52" s="113">
        <f t="shared" si="6"/>
        <v>1391.1539999999998</v>
      </c>
      <c r="V52" s="113">
        <f t="shared" si="6"/>
        <v>1388.671</v>
      </c>
      <c r="W52" s="113">
        <f t="shared" si="6"/>
        <v>1325.2700000000002</v>
      </c>
      <c r="X52" s="113">
        <f t="shared" si="6"/>
        <v>1514.1029999999998</v>
      </c>
      <c r="Y52" s="113">
        <f t="shared" si="6"/>
        <v>1473.4119999999998</v>
      </c>
      <c r="Z52" s="113">
        <f t="shared" si="6"/>
        <v>1420.635</v>
      </c>
      <c r="AA52" s="113">
        <f t="shared" si="6"/>
        <v>1351.1950000000002</v>
      </c>
      <c r="AB52" s="113">
        <f t="shared" si="6"/>
        <v>1201.7380000000001</v>
      </c>
      <c r="AC52" s="113">
        <f t="shared" si="6"/>
        <v>1111.337</v>
      </c>
      <c r="AD52" s="113">
        <f t="shared" si="6"/>
        <v>1089.4399999999998</v>
      </c>
      <c r="AE52" s="113">
        <f t="shared" si="6"/>
        <v>1097.7279999999998</v>
      </c>
      <c r="AF52" s="113">
        <f t="shared" si="6"/>
        <v>1047.6390000000001</v>
      </c>
      <c r="AG52" s="113">
        <v>1050.3030000000001</v>
      </c>
      <c r="AH52" s="113">
        <v>1051.22</v>
      </c>
      <c r="AI52" s="113">
        <f>SUM(AI53:AI63)</f>
        <v>959.26600000000008</v>
      </c>
      <c r="AJ52" s="113">
        <v>896.43100000000004</v>
      </c>
      <c r="AK52" s="113">
        <v>859.91499999999996</v>
      </c>
      <c r="AL52" s="113">
        <v>741.92200000000014</v>
      </c>
      <c r="AM52" s="113">
        <v>749.81299999999999</v>
      </c>
      <c r="AN52" s="113">
        <f>SUM(AN53:AN63)</f>
        <v>506.56900000000007</v>
      </c>
    </row>
    <row r="53" spans="1:40" ht="15" customHeight="1" x14ac:dyDescent="0.3">
      <c r="A53" t="s">
        <v>187</v>
      </c>
      <c r="B53" s="114" t="str">
        <f>IF('Sumário | Summary'!P1=1,"Empréstimos e financiamentos","Loans and Financing")</f>
        <v>Empréstimos e financiamentos</v>
      </c>
      <c r="C53" s="115">
        <v>1399.104</v>
      </c>
      <c r="D53" s="115">
        <v>1251.203</v>
      </c>
      <c r="E53" s="115">
        <v>1224.5419999999999</v>
      </c>
      <c r="F53" s="115">
        <v>1199.443</v>
      </c>
      <c r="G53" s="115">
        <v>1193.7950000000001</v>
      </c>
      <c r="H53" s="115">
        <v>1128.961</v>
      </c>
      <c r="I53" s="115">
        <v>811.38599999999997</v>
      </c>
      <c r="J53" s="115">
        <v>795.53599999999994</v>
      </c>
      <c r="K53" s="115">
        <v>759.10799999999995</v>
      </c>
      <c r="L53" s="115">
        <v>730.29899999999998</v>
      </c>
      <c r="M53" s="115">
        <v>725.51400000000001</v>
      </c>
      <c r="N53" s="115">
        <v>505.15600000000001</v>
      </c>
      <c r="O53" s="115">
        <v>500.07299999999998</v>
      </c>
      <c r="P53" s="115">
        <v>467.79899999999998</v>
      </c>
      <c r="Q53" s="115">
        <v>465.77800000000002</v>
      </c>
      <c r="R53" s="115">
        <v>179.077</v>
      </c>
      <c r="S53" s="115">
        <v>57.521999999999998</v>
      </c>
      <c r="T53" s="115">
        <v>56.441000000000003</v>
      </c>
      <c r="U53" s="115">
        <v>55.337000000000003</v>
      </c>
      <c r="V53" s="115">
        <v>54.209000000000003</v>
      </c>
      <c r="W53" s="115">
        <v>53.055999999999997</v>
      </c>
      <c r="X53" s="115">
        <v>51.878999999999998</v>
      </c>
      <c r="Y53" s="115">
        <v>50.677</v>
      </c>
      <c r="Z53" s="115">
        <v>0</v>
      </c>
      <c r="AA53" s="115">
        <v>0</v>
      </c>
      <c r="AB53" s="115">
        <v>0</v>
      </c>
      <c r="AC53" s="115">
        <v>0</v>
      </c>
      <c r="AD53" s="115">
        <v>0</v>
      </c>
      <c r="AE53" s="115">
        <v>0</v>
      </c>
      <c r="AF53" s="115">
        <v>0</v>
      </c>
      <c r="AG53" s="115">
        <v>0</v>
      </c>
      <c r="AH53" s="115">
        <v>0</v>
      </c>
      <c r="AI53" s="115">
        <v>0</v>
      </c>
      <c r="AJ53" s="115">
        <v>0</v>
      </c>
      <c r="AK53" s="115">
        <v>0</v>
      </c>
      <c r="AL53" s="115">
        <v>0</v>
      </c>
      <c r="AM53" s="115">
        <v>0</v>
      </c>
      <c r="AN53" s="115">
        <v>0</v>
      </c>
    </row>
    <row r="54" spans="1:40" ht="15" customHeight="1" x14ac:dyDescent="0.3">
      <c r="A54" t="s">
        <v>188</v>
      </c>
      <c r="B54" s="114" t="str">
        <f>IF('Sumário | Summary'!P1=1,"Debêntures","Debentures")</f>
        <v>Debêntures</v>
      </c>
      <c r="C54" s="115">
        <v>479.839</v>
      </c>
      <c r="D54" s="115">
        <v>462.55200000000002</v>
      </c>
      <c r="E54" s="115">
        <v>439.70400000000001</v>
      </c>
      <c r="F54" s="115">
        <v>643.06600000000003</v>
      </c>
      <c r="G54" s="115">
        <v>606.89400000000001</v>
      </c>
      <c r="H54" s="115">
        <v>606.06600000000003</v>
      </c>
      <c r="I54" s="115">
        <v>490.238</v>
      </c>
      <c r="J54" s="115">
        <v>376.51299999999998</v>
      </c>
      <c r="K54" s="115">
        <v>670.27099999999996</v>
      </c>
      <c r="L54" s="115">
        <v>664.39400000000001</v>
      </c>
      <c r="M54" s="115">
        <v>560.81700000000001</v>
      </c>
      <c r="N54" s="115">
        <v>792.5</v>
      </c>
      <c r="O54" s="115">
        <v>744.61199999999997</v>
      </c>
      <c r="P54" s="115">
        <v>1046.002</v>
      </c>
      <c r="Q54" s="115">
        <v>929.00699999999995</v>
      </c>
      <c r="R54" s="115">
        <v>1299.21</v>
      </c>
      <c r="S54" s="115">
        <v>1247.047</v>
      </c>
      <c r="T54" s="115">
        <v>1254.1020000000001</v>
      </c>
      <c r="U54" s="115">
        <v>1205.1869999999999</v>
      </c>
      <c r="V54" s="115">
        <v>1201.873</v>
      </c>
      <c r="W54" s="115">
        <v>1135.1959999999999</v>
      </c>
      <c r="X54" s="115">
        <v>1325.079</v>
      </c>
      <c r="Y54" s="115">
        <v>1286.627</v>
      </c>
      <c r="Z54" s="115">
        <v>1287.8679999999999</v>
      </c>
      <c r="AA54" s="115">
        <v>1217.1010000000001</v>
      </c>
      <c r="AB54" s="115">
        <v>1068.4929999999999</v>
      </c>
      <c r="AC54" s="115">
        <v>978.05200000000002</v>
      </c>
      <c r="AD54" s="115">
        <v>953.70100000000002</v>
      </c>
      <c r="AE54" s="115">
        <v>961.68799999999999</v>
      </c>
      <c r="AF54" s="115">
        <v>915.36099999999999</v>
      </c>
      <c r="AG54" s="115">
        <v>917.59199999999998</v>
      </c>
      <c r="AH54" s="115">
        <v>918.524</v>
      </c>
      <c r="AI54" s="115">
        <v>827.81200000000001</v>
      </c>
      <c r="AJ54" s="115">
        <v>842.01800000000003</v>
      </c>
      <c r="AK54" s="115">
        <v>801.56600000000003</v>
      </c>
      <c r="AL54" s="115">
        <v>684.83</v>
      </c>
      <c r="AM54" s="115">
        <v>691.399</v>
      </c>
      <c r="AN54" s="115">
        <v>452.76100000000002</v>
      </c>
    </row>
    <row r="55" spans="1:40" ht="15" customHeight="1" x14ac:dyDescent="0.3">
      <c r="A55" t="s">
        <v>189</v>
      </c>
      <c r="B55" s="114" t="str">
        <f>IF('Sumário | Summary'!P1=1,"Notas Promissórias","Promissory Notes")</f>
        <v>Notas Promissórias</v>
      </c>
      <c r="C55" s="115">
        <v>0</v>
      </c>
      <c r="D55" s="115">
        <v>0</v>
      </c>
      <c r="E55" s="115">
        <v>135</v>
      </c>
      <c r="F55" s="115">
        <v>135</v>
      </c>
      <c r="G55" s="115">
        <v>127.5</v>
      </c>
      <c r="H55" s="115">
        <v>127.5</v>
      </c>
      <c r="I55" s="115">
        <v>120</v>
      </c>
      <c r="J55" s="115">
        <v>120</v>
      </c>
      <c r="K55" s="115">
        <v>0</v>
      </c>
      <c r="L55" s="115">
        <v>0</v>
      </c>
      <c r="M55" s="115">
        <v>0</v>
      </c>
      <c r="N55" s="115">
        <v>0</v>
      </c>
      <c r="O55" s="115">
        <v>0</v>
      </c>
      <c r="P55" s="115">
        <v>0</v>
      </c>
      <c r="Q55" s="115">
        <v>0</v>
      </c>
      <c r="R55" s="115">
        <v>0</v>
      </c>
      <c r="S55" s="115">
        <v>0</v>
      </c>
      <c r="T55" s="115">
        <v>0</v>
      </c>
      <c r="U55" s="115">
        <v>0</v>
      </c>
      <c r="V55" s="115">
        <v>0</v>
      </c>
      <c r="W55" s="115">
        <v>0</v>
      </c>
      <c r="X55" s="115">
        <v>0</v>
      </c>
      <c r="Y55" s="115">
        <v>0</v>
      </c>
      <c r="Z55" s="115">
        <v>0</v>
      </c>
      <c r="AA55" s="115">
        <v>0</v>
      </c>
      <c r="AB55" s="115">
        <v>0</v>
      </c>
      <c r="AC55" s="115">
        <v>0</v>
      </c>
      <c r="AD55" s="115">
        <v>0</v>
      </c>
      <c r="AE55" s="115">
        <v>0</v>
      </c>
      <c r="AF55" s="115">
        <v>0</v>
      </c>
      <c r="AG55" s="115">
        <v>0</v>
      </c>
      <c r="AH55" s="115">
        <v>0</v>
      </c>
      <c r="AI55" s="115">
        <v>0</v>
      </c>
      <c r="AJ55" s="115">
        <v>0</v>
      </c>
      <c r="AK55" s="115">
        <v>0</v>
      </c>
      <c r="AL55" s="115">
        <v>0</v>
      </c>
      <c r="AM55" s="115">
        <v>0</v>
      </c>
      <c r="AN55" s="115">
        <v>0</v>
      </c>
    </row>
    <row r="56" spans="1:40" ht="15" customHeight="1" x14ac:dyDescent="0.3">
      <c r="A56" t="s">
        <v>190</v>
      </c>
      <c r="B56" s="114" t="str">
        <f>IF('Sumário | Summary'!P1=1,"Impostos e contribuições diferidos","Tax and Contributions - Deferred")</f>
        <v>Impostos e contribuições diferidos</v>
      </c>
      <c r="C56" s="115">
        <v>11.08</v>
      </c>
      <c r="D56" s="115">
        <v>10.6</v>
      </c>
      <c r="E56" s="115">
        <v>10.260999999999999</v>
      </c>
      <c r="F56" s="115">
        <v>9.6660000000000004</v>
      </c>
      <c r="G56" s="115">
        <v>9.1180000000000003</v>
      </c>
      <c r="H56" s="115">
        <v>8.76</v>
      </c>
      <c r="I56" s="115">
        <v>8.4369999999999994</v>
      </c>
      <c r="J56" s="115">
        <v>8.1349999999999998</v>
      </c>
      <c r="K56" s="115">
        <v>7.5890000000000004</v>
      </c>
      <c r="L56" s="115">
        <v>4.4080000000000004</v>
      </c>
      <c r="M56" s="115">
        <v>3.6110000000000002</v>
      </c>
      <c r="N56" s="115">
        <v>3.2</v>
      </c>
      <c r="O56" s="115">
        <v>2.8889999999999998</v>
      </c>
      <c r="P56" s="115">
        <v>2.524</v>
      </c>
      <c r="Q56" s="115">
        <v>2.1309999999999998</v>
      </c>
      <c r="R56" s="115">
        <v>1.8979999999999999</v>
      </c>
      <c r="S56" s="115">
        <v>1.6379999999999999</v>
      </c>
      <c r="T56" s="115">
        <v>1.502</v>
      </c>
      <c r="U56" s="115">
        <v>1.417</v>
      </c>
      <c r="V56" s="115">
        <v>1.3540000000000001</v>
      </c>
      <c r="W56" s="115">
        <v>1.381</v>
      </c>
      <c r="X56" s="115">
        <v>1.262</v>
      </c>
      <c r="Y56" s="115">
        <v>1.3480000000000001</v>
      </c>
      <c r="Z56" s="115">
        <v>1.258</v>
      </c>
      <c r="AA56" s="115">
        <v>1.3280000000000001</v>
      </c>
      <c r="AB56" s="115">
        <v>1.218</v>
      </c>
      <c r="AC56" s="115">
        <v>1.1819999999999999</v>
      </c>
      <c r="AD56" s="115">
        <v>1.125</v>
      </c>
      <c r="AE56" s="115">
        <v>1.052</v>
      </c>
      <c r="AF56" s="115">
        <v>1.071</v>
      </c>
      <c r="AG56" s="115">
        <v>1.1499999999999999</v>
      </c>
      <c r="AH56" s="115">
        <v>1.1499999999999999</v>
      </c>
      <c r="AI56" s="115">
        <v>1.099</v>
      </c>
      <c r="AJ56" s="115">
        <v>0.63300000000000001</v>
      </c>
      <c r="AK56" s="115">
        <v>0.63300000000000001</v>
      </c>
      <c r="AL56" s="115">
        <v>0.59399999999999997</v>
      </c>
      <c r="AM56" s="115">
        <v>0.63400000000000001</v>
      </c>
      <c r="AN56" s="115">
        <v>0.59799999999999998</v>
      </c>
    </row>
    <row r="57" spans="1:40" x14ac:dyDescent="0.3">
      <c r="A57" t="s">
        <v>191</v>
      </c>
      <c r="B57" s="114" t="str">
        <f>IF('Sumário | Summary'!P1=1,"Receita res-sperata a apropriar","Key Money to be Recognized")</f>
        <v>Receita res-sperata a apropriar</v>
      </c>
      <c r="C57" s="115">
        <v>46.64</v>
      </c>
      <c r="D57" s="115">
        <v>43.638400000000004</v>
      </c>
      <c r="E57" s="115">
        <v>41.061599999999999</v>
      </c>
      <c r="F57" s="115">
        <v>37.199199999999998</v>
      </c>
      <c r="G57" s="115">
        <v>33.1496</v>
      </c>
      <c r="H57" s="115">
        <v>30.571999999999999</v>
      </c>
      <c r="I57" s="115">
        <v>28.216000000000001</v>
      </c>
      <c r="J57" s="115">
        <v>26.24</v>
      </c>
      <c r="K57" s="115">
        <v>23.045000000000002</v>
      </c>
      <c r="L57" s="115">
        <v>20.576000000000001</v>
      </c>
      <c r="M57" s="115">
        <v>16.457999999999998</v>
      </c>
      <c r="N57" s="115">
        <v>14.824</v>
      </c>
      <c r="O57" s="115">
        <v>13.388</v>
      </c>
      <c r="P57" s="115">
        <v>6.2939999999999996</v>
      </c>
      <c r="Q57" s="115">
        <v>5.6180000000000003</v>
      </c>
      <c r="R57" s="115">
        <v>5.0679999999999996</v>
      </c>
      <c r="S57" s="115">
        <v>5.8209999999999997</v>
      </c>
      <c r="T57" s="115">
        <v>5.3810000000000002</v>
      </c>
      <c r="U57" s="115">
        <v>5.1029999999999998</v>
      </c>
      <c r="V57" s="115">
        <v>4.9269999999999996</v>
      </c>
      <c r="W57" s="115">
        <v>4.9480000000000004</v>
      </c>
      <c r="X57" s="115">
        <v>4.4880000000000004</v>
      </c>
      <c r="Y57" s="115">
        <v>5.5490000000000004</v>
      </c>
      <c r="Z57" s="115">
        <v>4.8339999999999996</v>
      </c>
      <c r="AA57" s="115">
        <v>5.0529999999999999</v>
      </c>
      <c r="AB57" s="115">
        <v>4.6929999999999996</v>
      </c>
      <c r="AC57" s="115">
        <v>4.7290000000000001</v>
      </c>
      <c r="AD57" s="115">
        <v>5.7119999999999997</v>
      </c>
      <c r="AE57" s="115">
        <v>5.6689999999999996</v>
      </c>
      <c r="AF57" s="115">
        <v>4.4610000000000003</v>
      </c>
      <c r="AG57" s="115">
        <v>5.0430000000000001</v>
      </c>
      <c r="AH57" s="115">
        <v>5.0019999999999998</v>
      </c>
      <c r="AI57" s="115">
        <v>4.4770000000000003</v>
      </c>
      <c r="AJ57" s="115">
        <v>7.22</v>
      </c>
      <c r="AK57" s="115">
        <v>11.521000000000001</v>
      </c>
      <c r="AL57" s="115">
        <v>11.571</v>
      </c>
      <c r="AM57" s="115">
        <v>13.204000000000001</v>
      </c>
      <c r="AN57" s="115">
        <v>8.7899999999999991</v>
      </c>
    </row>
    <row r="58" spans="1:40" x14ac:dyDescent="0.3">
      <c r="A58" t="s">
        <v>192</v>
      </c>
      <c r="B58" s="114" t="str">
        <f>IF('Sumário | Summary'!P1=1,"Demais contas a pagar","Other accounts payable")</f>
        <v>Demais contas a pagar</v>
      </c>
      <c r="C58" s="115">
        <v>1.504</v>
      </c>
      <c r="D58" s="115">
        <v>0</v>
      </c>
      <c r="E58" s="115">
        <v>0.33400000000000002</v>
      </c>
      <c r="F58" s="115">
        <v>0.32100000000000001</v>
      </c>
      <c r="G58" s="115">
        <v>0</v>
      </c>
      <c r="H58" s="115">
        <v>0</v>
      </c>
      <c r="I58" s="115">
        <v>0</v>
      </c>
      <c r="J58" s="115">
        <v>0</v>
      </c>
      <c r="K58" s="115">
        <v>0</v>
      </c>
      <c r="L58" s="115">
        <v>4.0000000000000001E-3</v>
      </c>
      <c r="M58" s="115">
        <v>0</v>
      </c>
      <c r="N58" s="115">
        <v>0</v>
      </c>
      <c r="O58" s="115">
        <v>0</v>
      </c>
      <c r="P58" s="115">
        <v>0</v>
      </c>
      <c r="Q58" s="115">
        <v>0</v>
      </c>
      <c r="R58" s="115">
        <v>2E-3</v>
      </c>
      <c r="S58" s="115">
        <v>1E-3</v>
      </c>
      <c r="T58" s="115">
        <v>1E-3</v>
      </c>
      <c r="U58" s="115">
        <v>2E-3</v>
      </c>
      <c r="V58" s="115">
        <v>0</v>
      </c>
      <c r="W58" s="115">
        <v>3.992</v>
      </c>
      <c r="X58" s="115">
        <v>3.847</v>
      </c>
      <c r="Y58" s="115">
        <v>4.468</v>
      </c>
      <c r="Z58" s="115">
        <v>4.2130000000000001</v>
      </c>
      <c r="AA58" s="115">
        <v>4.2119999999999997</v>
      </c>
      <c r="AB58" s="115">
        <v>3.7069999999999999</v>
      </c>
      <c r="AC58" s="115">
        <v>3.4609999999999999</v>
      </c>
      <c r="AD58" s="115">
        <v>3.2170000000000001</v>
      </c>
      <c r="AE58" s="115">
        <v>2.98</v>
      </c>
      <c r="AF58" s="115">
        <v>0</v>
      </c>
      <c r="AG58" s="115">
        <v>0.01</v>
      </c>
      <c r="AH58" s="115">
        <v>1.7999999999999999E-2</v>
      </c>
      <c r="AI58" s="115">
        <v>0.02</v>
      </c>
      <c r="AJ58" s="115">
        <v>0.122</v>
      </c>
      <c r="AK58" s="115">
        <v>0</v>
      </c>
      <c r="AL58" s="115">
        <v>0</v>
      </c>
      <c r="AM58" s="115">
        <v>0</v>
      </c>
      <c r="AN58" s="115">
        <v>0</v>
      </c>
    </row>
    <row r="59" spans="1:40" ht="15" customHeight="1" x14ac:dyDescent="0.3">
      <c r="A59" t="s">
        <v>193</v>
      </c>
      <c r="B59" s="114" t="str">
        <f>IF('Sumário | Summary'!P1=1,"Contas a pagar por aquisição de imóveis","Accounts payable due to real estate acquisition")</f>
        <v>Contas a pagar por aquisição de imóveis</v>
      </c>
      <c r="C59" s="115" t="s">
        <v>73</v>
      </c>
      <c r="D59" s="115" t="s">
        <v>73</v>
      </c>
      <c r="E59" s="115" t="s">
        <v>73</v>
      </c>
      <c r="F59" s="115" t="s">
        <v>73</v>
      </c>
      <c r="G59" s="115" t="s">
        <v>73</v>
      </c>
      <c r="H59" s="115" t="s">
        <v>73</v>
      </c>
      <c r="I59" s="115" t="s">
        <v>73</v>
      </c>
      <c r="J59" s="115" t="s">
        <v>73</v>
      </c>
      <c r="K59" s="115" t="s">
        <v>73</v>
      </c>
      <c r="L59" s="115" t="s">
        <v>73</v>
      </c>
      <c r="M59" s="115" t="s">
        <v>73</v>
      </c>
      <c r="N59" s="115" t="s">
        <v>73</v>
      </c>
      <c r="O59" s="115">
        <v>0</v>
      </c>
      <c r="P59" s="115" t="s">
        <v>73</v>
      </c>
      <c r="Q59" s="115">
        <v>0</v>
      </c>
      <c r="R59" s="115">
        <v>0</v>
      </c>
      <c r="S59" s="115">
        <v>118.825</v>
      </c>
      <c r="T59" s="115">
        <v>118.78100000000001</v>
      </c>
      <c r="U59" s="115">
        <v>118.733</v>
      </c>
      <c r="V59" s="115">
        <v>118.77800000000001</v>
      </c>
      <c r="W59" s="115">
        <v>118.806</v>
      </c>
      <c r="X59" s="115">
        <v>118.809</v>
      </c>
      <c r="Y59" s="115">
        <v>118.83499999999999</v>
      </c>
      <c r="Z59" s="115">
        <v>118.922</v>
      </c>
      <c r="AA59" s="115">
        <v>118.965</v>
      </c>
      <c r="AB59" s="115">
        <v>118.926</v>
      </c>
      <c r="AC59" s="115">
        <v>118.999</v>
      </c>
      <c r="AD59" s="115">
        <v>118.999</v>
      </c>
      <c r="AE59" s="115">
        <v>118.999</v>
      </c>
      <c r="AF59" s="115">
        <v>118.999</v>
      </c>
      <c r="AG59" s="115">
        <v>118.982</v>
      </c>
      <c r="AH59" s="115">
        <v>118.907</v>
      </c>
      <c r="AI59" s="115">
        <v>118.89400000000001</v>
      </c>
      <c r="AJ59" s="115">
        <v>39.630000000000003</v>
      </c>
      <c r="AK59" s="115">
        <v>39.631</v>
      </c>
      <c r="AL59" s="115">
        <v>39.637999999999998</v>
      </c>
      <c r="AM59" s="115">
        <v>39.668999999999997</v>
      </c>
      <c r="AN59" s="115">
        <v>39.649000000000001</v>
      </c>
    </row>
    <row r="60" spans="1:40" ht="15" customHeight="1" x14ac:dyDescent="0.3">
      <c r="A60" t="s">
        <v>194</v>
      </c>
      <c r="B60" s="114" t="str">
        <f>IF('Sumário | Summary'!P1=1,"Provisões para riscos trabalhistas, fiscais e cíveis","Provisions for labor, tax and civil contingencies")</f>
        <v>Provisões para riscos trabalhistas, fiscais e cíveis</v>
      </c>
      <c r="C60" s="115">
        <v>3.1030000000000002</v>
      </c>
      <c r="D60" s="115">
        <v>2.9969999999999999</v>
      </c>
      <c r="E60" s="115">
        <v>2.919</v>
      </c>
      <c r="F60" s="115">
        <v>1.9410000000000001</v>
      </c>
      <c r="G60" s="115">
        <v>1.881</v>
      </c>
      <c r="H60" s="115">
        <v>1.8069999999999999</v>
      </c>
      <c r="I60" s="115">
        <v>1.67</v>
      </c>
      <c r="J60" s="115">
        <v>1.8260000000000001</v>
      </c>
      <c r="K60" s="115">
        <v>2.2999999999999998</v>
      </c>
      <c r="L60" s="115">
        <v>1.2649999999999999</v>
      </c>
      <c r="M60" s="115">
        <v>2.0579999999999998</v>
      </c>
      <c r="N60" s="115">
        <v>1.8959999999999999</v>
      </c>
      <c r="O60" s="115">
        <v>1.8959999999999999</v>
      </c>
      <c r="P60" s="115">
        <v>1.87</v>
      </c>
      <c r="Q60" s="115">
        <v>2.0609999999999999</v>
      </c>
      <c r="R60" s="115">
        <v>6.1660000000000004</v>
      </c>
      <c r="S60" s="115">
        <v>6.22</v>
      </c>
      <c r="T60" s="115">
        <v>5.3810000000000002</v>
      </c>
      <c r="U60" s="115">
        <v>5.375</v>
      </c>
      <c r="V60" s="115">
        <v>7.53</v>
      </c>
      <c r="W60" s="115">
        <v>7.891</v>
      </c>
      <c r="X60" s="115">
        <v>8.7390000000000008</v>
      </c>
      <c r="Y60" s="115">
        <v>5.9080000000000004</v>
      </c>
      <c r="Z60" s="115">
        <v>3.54</v>
      </c>
      <c r="AA60" s="115">
        <v>4.5359999999999996</v>
      </c>
      <c r="AB60" s="115">
        <v>4.7009999999999996</v>
      </c>
      <c r="AC60" s="115">
        <v>4.9139999999999997</v>
      </c>
      <c r="AD60" s="115">
        <v>4.4269999999999996</v>
      </c>
      <c r="AE60" s="115">
        <v>4.3650000000000002</v>
      </c>
      <c r="AF60" s="115">
        <v>5.008</v>
      </c>
      <c r="AG60" s="115">
        <v>5.0199999999999996</v>
      </c>
      <c r="AH60" s="115">
        <v>5.3419999999999996</v>
      </c>
      <c r="AI60" s="115">
        <v>4.9130000000000003</v>
      </c>
      <c r="AJ60" s="115">
        <v>4.9790000000000001</v>
      </c>
      <c r="AK60" s="115">
        <v>4.9539999999999997</v>
      </c>
      <c r="AL60" s="115">
        <v>3.895</v>
      </c>
      <c r="AM60" s="115">
        <v>3.726</v>
      </c>
      <c r="AN60" s="115">
        <v>3.8</v>
      </c>
    </row>
    <row r="61" spans="1:40" x14ac:dyDescent="0.3">
      <c r="A61" t="s">
        <v>195</v>
      </c>
      <c r="B61" s="114" t="str">
        <f>IF('Sumário | Summary'!P1=1,"Adiantamentos de clientes - permuta","Advances from customers - exchange")</f>
        <v>Adiantamentos de clientes - permuta</v>
      </c>
      <c r="C61" s="115">
        <v>108.51300000000001</v>
      </c>
      <c r="D61" s="115">
        <v>108.51300000000001</v>
      </c>
      <c r="E61" s="115">
        <v>108.51300000000001</v>
      </c>
      <c r="F61" s="115">
        <v>108.51300000000001</v>
      </c>
      <c r="G61" s="115">
        <v>108.51300000000001</v>
      </c>
      <c r="H61" s="115">
        <v>108.51300000000001</v>
      </c>
      <c r="I61" s="115" t="s">
        <v>73</v>
      </c>
      <c r="J61" s="115" t="s">
        <v>73</v>
      </c>
      <c r="K61" s="115" t="s">
        <v>73</v>
      </c>
      <c r="L61" s="115" t="s">
        <v>73</v>
      </c>
      <c r="M61" s="115" t="s">
        <v>73</v>
      </c>
      <c r="N61" s="115" t="s">
        <v>73</v>
      </c>
      <c r="O61" s="21">
        <v>0</v>
      </c>
      <c r="P61" s="115">
        <v>0</v>
      </c>
      <c r="Q61" s="115">
        <v>0</v>
      </c>
      <c r="R61" s="115">
        <v>0</v>
      </c>
      <c r="S61" s="21">
        <v>0</v>
      </c>
      <c r="T61" s="21">
        <v>0</v>
      </c>
      <c r="U61" s="21">
        <v>0</v>
      </c>
      <c r="V61" s="21">
        <v>0</v>
      </c>
      <c r="W61" s="115">
        <v>0</v>
      </c>
      <c r="X61" s="115">
        <v>0</v>
      </c>
      <c r="Y61" s="115">
        <v>0</v>
      </c>
      <c r="Z61" s="115">
        <v>0</v>
      </c>
      <c r="AA61" s="115">
        <v>0</v>
      </c>
      <c r="AB61" s="115">
        <v>0</v>
      </c>
      <c r="AC61" s="115">
        <v>0</v>
      </c>
      <c r="AD61" s="115">
        <v>0</v>
      </c>
      <c r="AE61" s="115">
        <v>0</v>
      </c>
      <c r="AF61" s="115">
        <v>0</v>
      </c>
      <c r="AG61" s="115">
        <v>0</v>
      </c>
      <c r="AH61" s="115">
        <v>0</v>
      </c>
      <c r="AI61" s="115">
        <v>0</v>
      </c>
      <c r="AJ61" s="115">
        <v>0</v>
      </c>
      <c r="AK61" s="115">
        <v>0</v>
      </c>
      <c r="AL61" s="115">
        <v>0</v>
      </c>
      <c r="AM61" s="115">
        <v>0</v>
      </c>
      <c r="AN61" s="115">
        <v>0</v>
      </c>
    </row>
    <row r="62" spans="1:40" ht="15.75" customHeight="1" x14ac:dyDescent="0.3">
      <c r="A62" t="s">
        <v>183</v>
      </c>
      <c r="B62" s="114" t="str">
        <f>IF('Sumário | Summary'!P1=1,"CDU a apropriar","Key Money to Recognize ")</f>
        <v>CDU a apropriar</v>
      </c>
      <c r="C62" s="115" t="s">
        <v>73</v>
      </c>
      <c r="D62" s="115" t="s">
        <v>73</v>
      </c>
      <c r="E62" s="115" t="s">
        <v>73</v>
      </c>
      <c r="F62" s="115" t="s">
        <v>73</v>
      </c>
      <c r="G62" s="115" t="s">
        <v>73</v>
      </c>
      <c r="H62" s="115" t="s">
        <v>73</v>
      </c>
      <c r="I62" s="115" t="s">
        <v>73</v>
      </c>
      <c r="J62" s="115" t="s">
        <v>73</v>
      </c>
      <c r="K62" s="115" t="s">
        <v>73</v>
      </c>
      <c r="L62" s="115" t="s">
        <v>73</v>
      </c>
      <c r="M62" s="115" t="s">
        <v>73</v>
      </c>
      <c r="N62" s="115" t="s">
        <v>73</v>
      </c>
      <c r="O62" s="21">
        <v>0</v>
      </c>
      <c r="P62" s="115">
        <v>0</v>
      </c>
      <c r="Q62" s="115">
        <v>0</v>
      </c>
      <c r="R62" s="115">
        <v>0</v>
      </c>
      <c r="S62" s="21">
        <v>0</v>
      </c>
      <c r="T62" s="21">
        <v>0</v>
      </c>
      <c r="U62" s="21">
        <v>0</v>
      </c>
      <c r="V62" s="21">
        <v>0</v>
      </c>
      <c r="W62" s="21">
        <v>0</v>
      </c>
      <c r="X62" s="21">
        <v>0</v>
      </c>
      <c r="Y62" s="21">
        <v>0</v>
      </c>
      <c r="Z62" s="21">
        <v>0</v>
      </c>
      <c r="AA62" s="21">
        <v>0</v>
      </c>
      <c r="AB62" s="21">
        <v>0</v>
      </c>
      <c r="AC62" s="21">
        <v>0</v>
      </c>
      <c r="AD62" s="21">
        <v>0</v>
      </c>
      <c r="AE62" s="21">
        <v>0</v>
      </c>
      <c r="AF62" s="21">
        <v>0</v>
      </c>
      <c r="AG62" s="21">
        <v>0</v>
      </c>
      <c r="AH62" s="21">
        <v>0</v>
      </c>
      <c r="AI62" s="21">
        <v>0</v>
      </c>
      <c r="AJ62" s="21">
        <v>0</v>
      </c>
      <c r="AK62" s="21">
        <v>0</v>
      </c>
      <c r="AL62" s="21">
        <v>0</v>
      </c>
      <c r="AM62" s="21">
        <v>0</v>
      </c>
      <c r="AN62" s="21">
        <v>0</v>
      </c>
    </row>
    <row r="63" spans="1:40" ht="15" customHeight="1" x14ac:dyDescent="0.3">
      <c r="A63" t="s">
        <v>196</v>
      </c>
      <c r="B63" s="114" t="str">
        <f>IF('Sumário | Summary'!P1=1,"Passivo de arrendamento","Lease liability")</f>
        <v>Passivo de arrendamento</v>
      </c>
      <c r="C63" s="115">
        <v>0</v>
      </c>
      <c r="D63" s="115">
        <v>0</v>
      </c>
      <c r="E63" s="115">
        <v>0</v>
      </c>
      <c r="F63" s="115">
        <v>0</v>
      </c>
      <c r="G63" s="115">
        <v>0</v>
      </c>
      <c r="H63" s="115">
        <v>0</v>
      </c>
      <c r="I63" s="115">
        <v>0</v>
      </c>
      <c r="J63" s="115">
        <v>0</v>
      </c>
      <c r="K63" s="115">
        <v>0</v>
      </c>
      <c r="L63" s="115">
        <v>0</v>
      </c>
      <c r="M63" s="115">
        <v>0</v>
      </c>
      <c r="N63" s="115">
        <v>0</v>
      </c>
      <c r="O63" s="115">
        <v>0</v>
      </c>
      <c r="P63" s="115">
        <v>0</v>
      </c>
      <c r="Q63" s="115">
        <v>0</v>
      </c>
      <c r="R63" s="115">
        <v>0</v>
      </c>
      <c r="S63" s="115">
        <v>0</v>
      </c>
      <c r="T63" s="115">
        <v>0</v>
      </c>
      <c r="U63" s="115">
        <v>0</v>
      </c>
      <c r="V63" s="115">
        <v>0</v>
      </c>
      <c r="W63" s="115">
        <v>0</v>
      </c>
      <c r="X63" s="115">
        <v>0</v>
      </c>
      <c r="Y63" s="115">
        <v>0</v>
      </c>
      <c r="Z63" s="115">
        <v>0</v>
      </c>
      <c r="AA63" s="115">
        <v>0</v>
      </c>
      <c r="AB63" s="115">
        <v>0</v>
      </c>
      <c r="AC63" s="115">
        <v>0</v>
      </c>
      <c r="AD63" s="115">
        <v>2.2589999999999999</v>
      </c>
      <c r="AE63" s="115">
        <v>2.9750000000000001</v>
      </c>
      <c r="AF63" s="115">
        <v>2.7389999999999999</v>
      </c>
      <c r="AG63" s="115">
        <v>2.5059999999999998</v>
      </c>
      <c r="AH63" s="115">
        <v>2.2770000000000001</v>
      </c>
      <c r="AI63" s="115">
        <v>2.0510000000000002</v>
      </c>
      <c r="AJ63" s="115">
        <v>1.829</v>
      </c>
      <c r="AK63" s="115">
        <v>1.61</v>
      </c>
      <c r="AL63" s="115">
        <v>1.3939999999999999</v>
      </c>
      <c r="AM63" s="115">
        <v>1.181</v>
      </c>
      <c r="AN63" s="115">
        <v>0.97099999999999997</v>
      </c>
    </row>
    <row r="64" spans="1:40" s="123" customFormat="1" x14ac:dyDescent="0.3">
      <c r="A64" t="s">
        <v>197</v>
      </c>
      <c r="B64" s="24" t="str">
        <f>IF('Sumário | Summary'!P1=1,"Participação de não controladores","Minority Shareholders")</f>
        <v>Participação de não controladores</v>
      </c>
      <c r="C64" s="113">
        <v>185.74199999999999</v>
      </c>
      <c r="D64" s="113">
        <v>184.822</v>
      </c>
      <c r="E64" s="113">
        <v>185.685</v>
      </c>
      <c r="F64" s="113">
        <v>183.59</v>
      </c>
      <c r="G64" s="113">
        <v>1.9E-2</v>
      </c>
      <c r="H64" s="113">
        <v>2.1999999999999999E-2</v>
      </c>
      <c r="I64" s="113">
        <v>8.0000000000000002E-3</v>
      </c>
      <c r="J64" s="113">
        <v>2.4E-2</v>
      </c>
      <c r="K64" s="113">
        <v>3.3000000000000002E-2</v>
      </c>
      <c r="L64" s="113">
        <v>4.2000000000000003E-2</v>
      </c>
      <c r="M64" s="113">
        <v>4.7E-2</v>
      </c>
      <c r="N64" s="113">
        <v>0.05</v>
      </c>
      <c r="O64" s="113">
        <v>5.5E-2</v>
      </c>
      <c r="P64" s="113">
        <v>6.0999999999999999E-2</v>
      </c>
      <c r="Q64" s="113">
        <v>6.7000000000000004E-2</v>
      </c>
      <c r="R64" s="113">
        <v>7.1999999999999995E-2</v>
      </c>
      <c r="S64" s="113">
        <v>-0.45100000000000001</v>
      </c>
      <c r="T64" s="113">
        <v>-0.753</v>
      </c>
      <c r="U64" s="113">
        <v>0.311</v>
      </c>
      <c r="V64" s="113">
        <v>-1.956</v>
      </c>
      <c r="W64" s="113">
        <v>0.29499999999999998</v>
      </c>
      <c r="X64" s="113">
        <v>0.249</v>
      </c>
      <c r="Y64" s="113">
        <v>-1.3260000000000001</v>
      </c>
      <c r="Z64" s="113">
        <v>0.11600000000000001</v>
      </c>
      <c r="AA64" s="113">
        <v>0.01</v>
      </c>
      <c r="AB64" s="113">
        <v>-4.3999999999999997E-2</v>
      </c>
      <c r="AC64" s="113">
        <v>-0.36299999999999999</v>
      </c>
      <c r="AD64" s="113">
        <v>2.2330000000000001</v>
      </c>
      <c r="AE64" s="113">
        <v>0.113</v>
      </c>
      <c r="AF64" s="113">
        <v>1.196</v>
      </c>
      <c r="AG64" s="113">
        <v>1.7889999999999999</v>
      </c>
      <c r="AH64" s="113">
        <v>0.48799999999999999</v>
      </c>
      <c r="AI64" s="113">
        <v>0.50600000000000001</v>
      </c>
      <c r="AJ64" s="113">
        <v>8.2289999999999992</v>
      </c>
      <c r="AK64" s="113">
        <v>0.34499999999999997</v>
      </c>
      <c r="AL64" s="113">
        <v>3.2530000000000001</v>
      </c>
      <c r="AM64" s="113">
        <v>0</v>
      </c>
      <c r="AN64" s="113">
        <v>0</v>
      </c>
    </row>
    <row r="65" spans="1:40" x14ac:dyDescent="0.3">
      <c r="A65" t="s">
        <v>198</v>
      </c>
      <c r="B65" s="24" t="str">
        <f>IF('Sumário | Summary'!P1=1,"Patrimônio Líquido","Shareholders' Equity")</f>
        <v>Patrimônio Líquido</v>
      </c>
      <c r="C65" s="113">
        <v>1203.087</v>
      </c>
      <c r="D65" s="113">
        <v>1190.171</v>
      </c>
      <c r="E65" s="113">
        <v>1173.2329999999999</v>
      </c>
      <c r="F65" s="113">
        <v>1175.68</v>
      </c>
      <c r="G65" s="113">
        <v>1155.4390000000001</v>
      </c>
      <c r="H65" s="113">
        <v>1139.2460000000001</v>
      </c>
      <c r="I65" s="113">
        <v>1168.068</v>
      </c>
      <c r="J65" s="113">
        <v>1161.008</v>
      </c>
      <c r="K65" s="113">
        <v>1168.5550000000001</v>
      </c>
      <c r="L65" s="113">
        <v>1194.58</v>
      </c>
      <c r="M65" s="113">
        <v>1179.202</v>
      </c>
      <c r="N65" s="113">
        <v>1045.423</v>
      </c>
      <c r="O65" s="113">
        <f t="shared" ref="O65:AF65" si="7">O6-O34-O64</f>
        <v>1048.6220000000001</v>
      </c>
      <c r="P65" s="113">
        <f t="shared" si="7"/>
        <v>1031.3540000000005</v>
      </c>
      <c r="Q65" s="113">
        <f t="shared" si="7"/>
        <v>1040.7510000000007</v>
      </c>
      <c r="R65" s="113">
        <f t="shared" si="7"/>
        <v>1904.0260000000005</v>
      </c>
      <c r="S65" s="113">
        <f t="shared" si="7"/>
        <v>1907.0539999999999</v>
      </c>
      <c r="T65" s="113">
        <f t="shared" si="7"/>
        <v>1830.5299999999995</v>
      </c>
      <c r="U65" s="113">
        <f t="shared" si="7"/>
        <v>1790.0300000000002</v>
      </c>
      <c r="V65" s="113">
        <f t="shared" si="7"/>
        <v>1627.6470000000002</v>
      </c>
      <c r="W65" s="113">
        <f t="shared" si="7"/>
        <v>1636.1069999999997</v>
      </c>
      <c r="X65" s="113">
        <f t="shared" si="7"/>
        <v>1641.2260000000001</v>
      </c>
      <c r="Y65" s="113">
        <f t="shared" si="7"/>
        <v>1651.6640000000007</v>
      </c>
      <c r="Z65" s="113">
        <f t="shared" si="7"/>
        <v>1665.2889999999998</v>
      </c>
      <c r="AA65" s="113">
        <f t="shared" si="7"/>
        <v>1652.1439999999996</v>
      </c>
      <c r="AB65" s="113">
        <f t="shared" si="7"/>
        <v>1543.3449999999998</v>
      </c>
      <c r="AC65" s="113">
        <f t="shared" si="7"/>
        <v>1550.4640000000002</v>
      </c>
      <c r="AD65" s="113">
        <f t="shared" si="7"/>
        <v>1526.454283</v>
      </c>
      <c r="AE65" s="113">
        <f t="shared" si="7"/>
        <v>1511.4000000000003</v>
      </c>
      <c r="AF65" s="113">
        <f t="shared" si="7"/>
        <v>1507.0659999999998</v>
      </c>
      <c r="AG65" s="113">
        <v>1510.731</v>
      </c>
      <c r="AH65" s="113">
        <v>1516.277</v>
      </c>
      <c r="AI65" s="113">
        <f>AI6-AI34-AI64</f>
        <v>1523.124</v>
      </c>
      <c r="AJ65" s="113">
        <v>2005.9419999999993</v>
      </c>
      <c r="AK65" s="113">
        <v>1573.3039999999996</v>
      </c>
      <c r="AL65" s="113">
        <v>1073.7880000000002</v>
      </c>
      <c r="AM65" s="113">
        <v>1091.9450000000002</v>
      </c>
      <c r="AN65" s="113">
        <f>AN6-AN34-AN64</f>
        <v>1038.1729999999998</v>
      </c>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880E-B5BD-44ED-BEE3-BE4400CEC4BD}">
  <dimension ref="A1:WVB197"/>
  <sheetViews>
    <sheetView showGridLines="0" showRowColHeaders="0" zoomScaleNormal="100" workbookViewId="0">
      <pane xSplit="2" ySplit="5" topLeftCell="BK6" activePane="bottomRight" state="frozen"/>
      <selection activeCell="D4" sqref="D4"/>
      <selection pane="topRight" activeCell="D4" sqref="D4"/>
      <selection pane="bottomLeft" activeCell="D4" sqref="D4"/>
      <selection pane="bottomRight" activeCell="D4" sqref="D4"/>
    </sheetView>
  </sheetViews>
  <sheetFormatPr defaultRowHeight="14.4" outlineLevelRow="1" outlineLevelCol="1" x14ac:dyDescent="0.3"/>
  <cols>
    <col min="1" max="1" width="23.44140625" hidden="1" customWidth="1"/>
    <col min="2" max="2" width="43.21875" customWidth="1"/>
    <col min="3" max="37" width="14.33203125" style="39" hidden="1" customWidth="1" outlineLevel="1"/>
    <col min="38" max="38" width="14.33203125" style="39" customWidth="1" collapsed="1"/>
    <col min="39" max="46" width="14.33203125" style="39" customWidth="1"/>
    <col min="47" max="47" width="14.6640625" style="39" bestFit="1" customWidth="1"/>
    <col min="48" max="60" width="14.6640625" bestFit="1" customWidth="1"/>
    <col min="61" max="72" width="15.33203125" bestFit="1" customWidth="1"/>
  </cols>
  <sheetData>
    <row r="1" spans="1:72" x14ac:dyDescent="0.3">
      <c r="B1" s="41" t="s">
        <v>0</v>
      </c>
      <c r="AM1" s="39" t="s">
        <v>200</v>
      </c>
      <c r="AN1" s="39" t="s">
        <v>200</v>
      </c>
      <c r="AO1" s="39" t="s">
        <v>200</v>
      </c>
      <c r="BG1" s="1"/>
      <c r="BH1" s="1"/>
      <c r="BI1" s="1"/>
      <c r="BJ1" s="1"/>
      <c r="BK1" s="1"/>
      <c r="BL1" s="1"/>
      <c r="BM1" s="1"/>
      <c r="BN1" s="1"/>
      <c r="BO1" s="1"/>
      <c r="BP1" s="1"/>
      <c r="BQ1" s="1"/>
      <c r="BR1" s="1"/>
      <c r="BS1" s="1"/>
      <c r="BT1" s="1"/>
    </row>
    <row r="2" spans="1:72" x14ac:dyDescent="0.3">
      <c r="B2" s="41" t="s">
        <v>98</v>
      </c>
      <c r="BD2" s="126"/>
      <c r="BG2" s="1"/>
      <c r="BH2" s="1"/>
      <c r="BI2" s="1"/>
      <c r="BJ2" s="1"/>
      <c r="BK2" s="1"/>
      <c r="BL2" s="1"/>
      <c r="BM2" s="1"/>
      <c r="BN2" s="1"/>
      <c r="BO2" s="1"/>
      <c r="BP2" s="1"/>
      <c r="BQ2" s="1"/>
      <c r="BR2" s="1"/>
      <c r="BS2" s="1"/>
      <c r="BT2" s="1"/>
    </row>
    <row r="3" spans="1:72" s="3" customFormat="1" x14ac:dyDescent="0.3">
      <c r="B3" s="42">
        <v>1</v>
      </c>
      <c r="AU3" s="4"/>
      <c r="AV3" s="4"/>
      <c r="AW3" s="4"/>
      <c r="AX3" s="4"/>
      <c r="AY3" s="4"/>
      <c r="AZ3" s="4"/>
      <c r="BA3" s="4"/>
      <c r="BB3" s="4"/>
      <c r="BC3" s="4"/>
      <c r="BD3" s="4"/>
      <c r="BE3" s="4"/>
      <c r="BF3" s="4"/>
      <c r="BG3" s="4"/>
      <c r="BH3" s="4"/>
      <c r="BI3" s="4"/>
      <c r="BJ3" s="4"/>
      <c r="BK3" s="4"/>
      <c r="BL3" s="4"/>
      <c r="BM3" s="4"/>
      <c r="BN3" s="4"/>
      <c r="BO3" s="4"/>
      <c r="BP3" s="4"/>
      <c r="BQ3" s="4"/>
      <c r="BR3" s="4"/>
      <c r="BS3" s="4"/>
      <c r="BT3" s="4"/>
    </row>
    <row r="4" spans="1:72" ht="6.75" customHeight="1" x14ac:dyDescent="0.3">
      <c r="B4" s="5"/>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BN4" s="43"/>
      <c r="BO4" s="43"/>
      <c r="BP4" s="43"/>
      <c r="BQ4" s="43"/>
      <c r="BR4" s="43"/>
      <c r="BS4" s="43"/>
      <c r="BT4" s="43"/>
    </row>
    <row r="5" spans="1:72" s="7" customFormat="1" ht="18.75" customHeight="1" x14ac:dyDescent="0.3">
      <c r="B5" s="8" t="str">
        <f>IF('Sumário | Summary'!P1=1,"Portfólio em Operação","Portfolio in Operation")</f>
        <v>Portfólio em Operação</v>
      </c>
      <c r="C5" s="128">
        <v>39508</v>
      </c>
      <c r="D5" s="128">
        <v>39600</v>
      </c>
      <c r="E5" s="128">
        <v>39692</v>
      </c>
      <c r="F5" s="128">
        <v>39783</v>
      </c>
      <c r="G5" s="128">
        <v>39873</v>
      </c>
      <c r="H5" s="128">
        <v>39965</v>
      </c>
      <c r="I5" s="128">
        <v>40057</v>
      </c>
      <c r="J5" s="128">
        <v>40148</v>
      </c>
      <c r="K5" s="128">
        <v>40238</v>
      </c>
      <c r="L5" s="128">
        <v>40330</v>
      </c>
      <c r="M5" s="128">
        <v>40422</v>
      </c>
      <c r="N5" s="128">
        <v>40513</v>
      </c>
      <c r="O5" s="128">
        <v>40603</v>
      </c>
      <c r="P5" s="128">
        <v>40695</v>
      </c>
      <c r="Q5" s="128">
        <v>40787</v>
      </c>
      <c r="R5" s="128">
        <v>40878</v>
      </c>
      <c r="S5" s="128">
        <v>40969</v>
      </c>
      <c r="T5" s="128">
        <v>41061</v>
      </c>
      <c r="U5" s="128">
        <v>41153</v>
      </c>
      <c r="V5" s="128">
        <v>41244</v>
      </c>
      <c r="W5" s="128">
        <v>41334</v>
      </c>
      <c r="X5" s="128">
        <v>41426</v>
      </c>
      <c r="Y5" s="128">
        <v>41518</v>
      </c>
      <c r="Z5" s="128">
        <v>41609</v>
      </c>
      <c r="AA5" s="128">
        <v>41699</v>
      </c>
      <c r="AB5" s="128">
        <v>41791</v>
      </c>
      <c r="AC5" s="128">
        <v>41883</v>
      </c>
      <c r="AD5" s="128">
        <v>41974</v>
      </c>
      <c r="AE5" s="128">
        <v>42064</v>
      </c>
      <c r="AF5" s="128">
        <v>42156</v>
      </c>
      <c r="AG5" s="128">
        <v>42248</v>
      </c>
      <c r="AH5" s="128">
        <v>42339</v>
      </c>
      <c r="AI5" s="128">
        <v>42430</v>
      </c>
      <c r="AJ5" s="128">
        <v>42522</v>
      </c>
      <c r="AK5" s="128">
        <v>42614</v>
      </c>
      <c r="AL5" s="128">
        <v>42705</v>
      </c>
      <c r="AM5" s="128">
        <v>42795</v>
      </c>
      <c r="AN5" s="128">
        <v>42887</v>
      </c>
      <c r="AO5" s="128">
        <v>42979</v>
      </c>
      <c r="AP5" s="128">
        <v>43070</v>
      </c>
      <c r="AQ5" s="128">
        <v>43160</v>
      </c>
      <c r="AR5" s="128">
        <v>43252</v>
      </c>
      <c r="AS5" s="128">
        <v>43344</v>
      </c>
      <c r="AT5" s="128">
        <v>43435</v>
      </c>
      <c r="AU5" s="128">
        <v>43525</v>
      </c>
      <c r="AV5" s="128">
        <v>43618</v>
      </c>
      <c r="AW5" s="128">
        <v>43710</v>
      </c>
      <c r="AX5" s="128">
        <v>43800</v>
      </c>
      <c r="AY5" s="128">
        <v>43891</v>
      </c>
      <c r="AZ5" s="128">
        <v>43983</v>
      </c>
      <c r="BA5" s="128">
        <v>44075</v>
      </c>
      <c r="BB5" s="128">
        <v>44166</v>
      </c>
      <c r="BC5" s="128">
        <v>44256</v>
      </c>
      <c r="BD5" s="128">
        <v>44348</v>
      </c>
      <c r="BE5" s="128">
        <v>44440</v>
      </c>
      <c r="BF5" s="128">
        <v>44561</v>
      </c>
      <c r="BG5" s="128">
        <v>44651</v>
      </c>
      <c r="BH5" s="128">
        <v>44742</v>
      </c>
      <c r="BI5" s="128">
        <v>44834</v>
      </c>
      <c r="BJ5" s="128">
        <v>44926</v>
      </c>
      <c r="BK5" s="128">
        <v>45016</v>
      </c>
      <c r="BL5" s="128">
        <v>45107</v>
      </c>
      <c r="BM5" s="128">
        <v>45199</v>
      </c>
      <c r="BN5" s="128">
        <v>45291</v>
      </c>
      <c r="BO5" s="128">
        <v>45382</v>
      </c>
      <c r="BP5" s="128">
        <v>45473</v>
      </c>
      <c r="BQ5" s="128">
        <v>45565</v>
      </c>
      <c r="BR5" s="128">
        <v>45657</v>
      </c>
      <c r="BS5" s="128">
        <v>45747</v>
      </c>
      <c r="BT5" s="128">
        <v>45838</v>
      </c>
    </row>
    <row r="6" spans="1:72" s="7" customFormat="1" ht="18.75" customHeight="1" x14ac:dyDescent="0.3">
      <c r="B6" s="129" t="str">
        <f>IF('Sumário | Summary'!P1=1,"ABL Total do Empreendimento (m²)","Total building GLA (sqm)")</f>
        <v>ABL Total do Empreendimento (m²)</v>
      </c>
      <c r="C6" s="130" t="s">
        <v>201</v>
      </c>
      <c r="D6" s="130" t="s">
        <v>202</v>
      </c>
      <c r="E6" s="130" t="s">
        <v>203</v>
      </c>
      <c r="F6" s="130" t="s">
        <v>204</v>
      </c>
      <c r="G6" s="130" t="s">
        <v>205</v>
      </c>
      <c r="H6" s="130" t="s">
        <v>206</v>
      </c>
      <c r="I6" s="130" t="s">
        <v>207</v>
      </c>
      <c r="J6" s="130" t="s">
        <v>208</v>
      </c>
      <c r="K6" s="130" t="s">
        <v>209</v>
      </c>
      <c r="L6" s="130" t="s">
        <v>210</v>
      </c>
      <c r="M6" s="130" t="s">
        <v>211</v>
      </c>
      <c r="N6" s="130" t="s">
        <v>212</v>
      </c>
      <c r="O6" s="130" t="s">
        <v>213</v>
      </c>
      <c r="P6" s="130" t="s">
        <v>214</v>
      </c>
      <c r="Q6" s="130" t="s">
        <v>215</v>
      </c>
      <c r="R6" s="130" t="s">
        <v>216</v>
      </c>
      <c r="S6" s="130" t="s">
        <v>1</v>
      </c>
      <c r="T6" s="130" t="s">
        <v>2</v>
      </c>
      <c r="U6" s="130" t="s">
        <v>3</v>
      </c>
      <c r="V6" s="130" t="s">
        <v>4</v>
      </c>
      <c r="W6" s="130" t="s">
        <v>5</v>
      </c>
      <c r="X6" s="130" t="s">
        <v>6</v>
      </c>
      <c r="Y6" s="130" t="s">
        <v>7</v>
      </c>
      <c r="Z6" s="130" t="s">
        <v>8</v>
      </c>
      <c r="AA6" s="130" t="s">
        <v>9</v>
      </c>
      <c r="AB6" s="130" t="s">
        <v>10</v>
      </c>
      <c r="AC6" s="130" t="s">
        <v>11</v>
      </c>
      <c r="AD6" s="130" t="s">
        <v>12</v>
      </c>
      <c r="AE6" s="130" t="s">
        <v>13</v>
      </c>
      <c r="AF6" s="130" t="s">
        <v>14</v>
      </c>
      <c r="AG6" s="130" t="s">
        <v>15</v>
      </c>
      <c r="AH6" s="130" t="s">
        <v>16</v>
      </c>
      <c r="AI6" s="130" t="s">
        <v>17</v>
      </c>
      <c r="AJ6" s="130" t="s">
        <v>18</v>
      </c>
      <c r="AK6" s="130" t="s">
        <v>19</v>
      </c>
      <c r="AL6" s="130" t="s">
        <v>20</v>
      </c>
      <c r="AM6" s="130" t="s">
        <v>21</v>
      </c>
      <c r="AN6" s="130" t="s">
        <v>22</v>
      </c>
      <c r="AO6" s="130" t="s">
        <v>23</v>
      </c>
      <c r="AP6" s="130" t="s">
        <v>24</v>
      </c>
      <c r="AQ6" s="130" t="s">
        <v>25</v>
      </c>
      <c r="AR6" s="130" t="s">
        <v>26</v>
      </c>
      <c r="AS6" s="130" t="s">
        <v>27</v>
      </c>
      <c r="AT6" s="130" t="s">
        <v>28</v>
      </c>
      <c r="AU6" s="130" t="s">
        <v>29</v>
      </c>
      <c r="AV6" s="130" t="s">
        <v>30</v>
      </c>
      <c r="AW6" s="130" t="s">
        <v>31</v>
      </c>
      <c r="AX6" s="130" t="s">
        <v>32</v>
      </c>
      <c r="AY6" s="130" t="s">
        <v>33</v>
      </c>
      <c r="AZ6" s="130" t="s">
        <v>34</v>
      </c>
      <c r="BA6" s="130" t="s">
        <v>35</v>
      </c>
      <c r="BB6" s="130" t="s">
        <v>36</v>
      </c>
      <c r="BC6" s="130" t="s">
        <v>38</v>
      </c>
      <c r="BD6" s="130" t="s">
        <v>39</v>
      </c>
      <c r="BE6" s="130" t="s">
        <v>40</v>
      </c>
      <c r="BF6" s="130" t="s">
        <v>41</v>
      </c>
      <c r="BG6" s="130" t="s">
        <v>42</v>
      </c>
      <c r="BH6" s="130" t="s">
        <v>43</v>
      </c>
      <c r="BI6" s="130" t="s">
        <v>44</v>
      </c>
      <c r="BJ6" s="130" t="s">
        <v>45</v>
      </c>
      <c r="BK6" s="130" t="s">
        <v>47</v>
      </c>
      <c r="BL6" s="130" t="s">
        <v>48</v>
      </c>
      <c r="BM6" s="130" t="s">
        <v>49</v>
      </c>
      <c r="BN6" s="130" t="s">
        <v>50</v>
      </c>
      <c r="BO6" s="130" t="s">
        <v>52</v>
      </c>
      <c r="BP6" s="130" t="s">
        <v>53</v>
      </c>
      <c r="BQ6" s="130" t="s">
        <v>54</v>
      </c>
      <c r="BR6" s="130" t="s">
        <v>55</v>
      </c>
      <c r="BS6" s="130" t="s">
        <v>56</v>
      </c>
      <c r="BT6" s="130" t="s">
        <v>57</v>
      </c>
    </row>
    <row r="7" spans="1:72" s="131" customFormat="1" ht="15" customHeight="1" x14ac:dyDescent="0.3">
      <c r="B7" s="24" t="str">
        <f>IF('Sumário | Summary'!P1=1,"Escritórios","Offices")</f>
        <v>Escritórios</v>
      </c>
      <c r="C7" s="132">
        <f t="shared" ref="C7:BN7" si="0">C8+C20</f>
        <v>66302.016000000003</v>
      </c>
      <c r="D7" s="132">
        <f t="shared" si="0"/>
        <v>81328.579999999987</v>
      </c>
      <c r="E7" s="132">
        <f t="shared" si="0"/>
        <v>81328.579999999987</v>
      </c>
      <c r="F7" s="132">
        <f t="shared" si="0"/>
        <v>81328.579999999987</v>
      </c>
      <c r="G7" s="132">
        <f t="shared" si="0"/>
        <v>88634.579999999987</v>
      </c>
      <c r="H7" s="132">
        <f t="shared" si="0"/>
        <v>88379.579999999987</v>
      </c>
      <c r="I7" s="132">
        <f t="shared" si="0"/>
        <v>88379.579999999987</v>
      </c>
      <c r="J7" s="132">
        <f t="shared" si="0"/>
        <v>87608.579999999987</v>
      </c>
      <c r="K7" s="132">
        <f t="shared" si="0"/>
        <v>85809.579999999987</v>
      </c>
      <c r="L7" s="132">
        <f t="shared" si="0"/>
        <v>83094.579999999987</v>
      </c>
      <c r="M7" s="132">
        <f t="shared" si="0"/>
        <v>83094.579999999987</v>
      </c>
      <c r="N7" s="132">
        <f t="shared" si="0"/>
        <v>83094.579999999987</v>
      </c>
      <c r="O7" s="132">
        <f t="shared" si="0"/>
        <v>83094.579999999987</v>
      </c>
      <c r="P7" s="132">
        <f t="shared" si="0"/>
        <v>81328.579999999987</v>
      </c>
      <c r="Q7" s="132">
        <f t="shared" si="0"/>
        <v>81328.579999999987</v>
      </c>
      <c r="R7" s="132">
        <f t="shared" si="0"/>
        <v>81328.579999999987</v>
      </c>
      <c r="S7" s="132">
        <f t="shared" si="0"/>
        <v>81328.579999999987</v>
      </c>
      <c r="T7" s="132">
        <f t="shared" si="0"/>
        <v>81328.579999999987</v>
      </c>
      <c r="U7" s="132">
        <f t="shared" si="0"/>
        <v>81328.579999999987</v>
      </c>
      <c r="V7" s="132">
        <f t="shared" si="0"/>
        <v>81328.579999999987</v>
      </c>
      <c r="W7" s="132">
        <f t="shared" si="0"/>
        <v>81328.579999999987</v>
      </c>
      <c r="X7" s="132">
        <f t="shared" si="0"/>
        <v>81328.62999999999</v>
      </c>
      <c r="Y7" s="132">
        <f t="shared" si="0"/>
        <v>92213.93</v>
      </c>
      <c r="Z7" s="132">
        <f t="shared" si="0"/>
        <v>92213.93</v>
      </c>
      <c r="AA7" s="132">
        <f t="shared" si="0"/>
        <v>92213.93</v>
      </c>
      <c r="AB7" s="132">
        <f t="shared" si="0"/>
        <v>92213.93</v>
      </c>
      <c r="AC7" s="132">
        <f t="shared" si="0"/>
        <v>111216.1949087</v>
      </c>
      <c r="AD7" s="132">
        <f t="shared" si="0"/>
        <v>111216.14490869999</v>
      </c>
      <c r="AE7" s="132">
        <f t="shared" si="0"/>
        <v>111216.14490869999</v>
      </c>
      <c r="AF7" s="132">
        <f t="shared" si="0"/>
        <v>108372.50490870001</v>
      </c>
      <c r="AG7" s="132">
        <f t="shared" si="0"/>
        <v>108371.81999999999</v>
      </c>
      <c r="AH7" s="132">
        <f t="shared" si="0"/>
        <v>108371.81999999999</v>
      </c>
      <c r="AI7" s="132">
        <f t="shared" si="0"/>
        <v>89370.239999999991</v>
      </c>
      <c r="AJ7" s="132">
        <f t="shared" si="0"/>
        <v>89370.239999999991</v>
      </c>
      <c r="AK7" s="132">
        <f t="shared" si="0"/>
        <v>89370</v>
      </c>
      <c r="AL7" s="132">
        <f t="shared" si="0"/>
        <v>107391.45999999999</v>
      </c>
      <c r="AM7" s="132">
        <f t="shared" si="0"/>
        <v>105807.416</v>
      </c>
      <c r="AN7" s="132">
        <f t="shared" si="0"/>
        <v>122096.05600000001</v>
      </c>
      <c r="AO7" s="132">
        <f t="shared" si="0"/>
        <v>122096.416</v>
      </c>
      <c r="AP7" s="132">
        <f t="shared" si="0"/>
        <v>122096.416</v>
      </c>
      <c r="AQ7" s="132">
        <f t="shared" si="0"/>
        <v>122096.416</v>
      </c>
      <c r="AR7" s="132">
        <f t="shared" si="0"/>
        <v>122096.416</v>
      </c>
      <c r="AS7" s="132">
        <f t="shared" si="0"/>
        <v>122096.416</v>
      </c>
      <c r="AT7" s="132">
        <f t="shared" si="0"/>
        <v>122924.546</v>
      </c>
      <c r="AU7" s="132">
        <f t="shared" si="0"/>
        <v>197869.7</v>
      </c>
      <c r="AV7" s="132">
        <f t="shared" si="0"/>
        <v>209451.83</v>
      </c>
      <c r="AW7" s="132">
        <f t="shared" si="0"/>
        <v>209451.83</v>
      </c>
      <c r="AX7" s="132">
        <f t="shared" si="0"/>
        <v>224861.83000000002</v>
      </c>
      <c r="AY7" s="132">
        <f t="shared" si="0"/>
        <v>224862</v>
      </c>
      <c r="AZ7" s="132">
        <f t="shared" si="0"/>
        <v>224860.66</v>
      </c>
      <c r="BA7" s="132">
        <f t="shared" si="0"/>
        <v>207641.66</v>
      </c>
      <c r="BB7" s="132">
        <f t="shared" si="0"/>
        <v>207641.66</v>
      </c>
      <c r="BC7" s="132">
        <f t="shared" si="0"/>
        <v>207641.66</v>
      </c>
      <c r="BD7" s="132">
        <f t="shared" si="0"/>
        <v>207641.66</v>
      </c>
      <c r="BE7" s="132">
        <f t="shared" si="0"/>
        <v>209403.51921237414</v>
      </c>
      <c r="BF7" s="132">
        <f t="shared" si="0"/>
        <v>112886.68921237416</v>
      </c>
      <c r="BG7" s="132">
        <f t="shared" si="0"/>
        <v>112713.92921237416</v>
      </c>
      <c r="BH7" s="132">
        <f t="shared" si="0"/>
        <v>112713.97921237415</v>
      </c>
      <c r="BI7" s="132">
        <f t="shared" si="0"/>
        <v>112713.97921237415</v>
      </c>
      <c r="BJ7" s="132">
        <f t="shared" si="0"/>
        <v>112713.97921237415</v>
      </c>
      <c r="BK7" s="132">
        <f t="shared" si="0"/>
        <v>112713.97921237415</v>
      </c>
      <c r="BL7" s="132">
        <f t="shared" si="0"/>
        <v>112713.97921237415</v>
      </c>
      <c r="BM7" s="132">
        <f t="shared" si="0"/>
        <v>112713.97931237414</v>
      </c>
      <c r="BN7" s="132">
        <f t="shared" si="0"/>
        <v>93189.97931237414</v>
      </c>
      <c r="BO7" s="132">
        <f t="shared" ref="BO7" si="1">BO8+BO20</f>
        <v>93189.97931237414</v>
      </c>
      <c r="BP7" s="132">
        <v>93189.97931237414</v>
      </c>
      <c r="BQ7" s="132">
        <v>93189.97931237414</v>
      </c>
      <c r="BR7" s="132">
        <v>94028.589312374155</v>
      </c>
      <c r="BS7" s="132">
        <v>94028.589312374155</v>
      </c>
      <c r="BT7" s="132">
        <f>BT8+BT20</f>
        <v>94028.589312374155</v>
      </c>
    </row>
    <row r="8" spans="1:72" s="131" customFormat="1" ht="15" customHeight="1" x14ac:dyDescent="0.3">
      <c r="B8" s="133" t="str">
        <f>IF('Sumário | Summary'!P1=1,"Escritórios AAA","Triple A Offices")</f>
        <v>Escritórios AAA</v>
      </c>
      <c r="C8" s="132">
        <f t="shared" ref="C8:BN8" si="2">SUM(C9:C19)</f>
        <v>39315.885999999999</v>
      </c>
      <c r="D8" s="132">
        <f t="shared" si="2"/>
        <v>50492.45</v>
      </c>
      <c r="E8" s="132">
        <f t="shared" si="2"/>
        <v>50492.45</v>
      </c>
      <c r="F8" s="132">
        <f t="shared" si="2"/>
        <v>50492.45</v>
      </c>
      <c r="G8" s="132">
        <f t="shared" si="2"/>
        <v>57798.45</v>
      </c>
      <c r="H8" s="132">
        <f t="shared" si="2"/>
        <v>57543.45</v>
      </c>
      <c r="I8" s="132">
        <f t="shared" si="2"/>
        <v>57543.45</v>
      </c>
      <c r="J8" s="132">
        <f t="shared" si="2"/>
        <v>56772.45</v>
      </c>
      <c r="K8" s="132">
        <f t="shared" si="2"/>
        <v>54973.45</v>
      </c>
      <c r="L8" s="132">
        <f t="shared" si="2"/>
        <v>52258.45</v>
      </c>
      <c r="M8" s="132">
        <f t="shared" si="2"/>
        <v>52258.45</v>
      </c>
      <c r="N8" s="132">
        <f t="shared" si="2"/>
        <v>52258.45</v>
      </c>
      <c r="O8" s="132">
        <f t="shared" si="2"/>
        <v>52258.45</v>
      </c>
      <c r="P8" s="132">
        <f t="shared" si="2"/>
        <v>50492.45</v>
      </c>
      <c r="Q8" s="132">
        <f t="shared" si="2"/>
        <v>50492.45</v>
      </c>
      <c r="R8" s="132">
        <f t="shared" si="2"/>
        <v>50492.45</v>
      </c>
      <c r="S8" s="132">
        <f t="shared" si="2"/>
        <v>50492.45</v>
      </c>
      <c r="T8" s="132">
        <f t="shared" si="2"/>
        <v>50492.45</v>
      </c>
      <c r="U8" s="132">
        <f t="shared" si="2"/>
        <v>50492.45</v>
      </c>
      <c r="V8" s="132">
        <f t="shared" si="2"/>
        <v>50492.45</v>
      </c>
      <c r="W8" s="132">
        <f t="shared" si="2"/>
        <v>50492.45</v>
      </c>
      <c r="X8" s="132">
        <f t="shared" si="2"/>
        <v>50492.45</v>
      </c>
      <c r="Y8" s="132">
        <f t="shared" si="2"/>
        <v>61377.75</v>
      </c>
      <c r="Z8" s="132">
        <f t="shared" si="2"/>
        <v>61377.75</v>
      </c>
      <c r="AA8" s="132">
        <f t="shared" si="2"/>
        <v>61377.75</v>
      </c>
      <c r="AB8" s="132">
        <f t="shared" si="2"/>
        <v>61377.75</v>
      </c>
      <c r="AC8" s="132">
        <f t="shared" si="2"/>
        <v>80380.014908700003</v>
      </c>
      <c r="AD8" s="132">
        <f t="shared" si="2"/>
        <v>80380.014908700003</v>
      </c>
      <c r="AE8" s="132">
        <f t="shared" si="2"/>
        <v>80380.014908700003</v>
      </c>
      <c r="AF8" s="132">
        <f t="shared" si="2"/>
        <v>80380.014908700003</v>
      </c>
      <c r="AG8" s="132">
        <f t="shared" si="2"/>
        <v>80379.75</v>
      </c>
      <c r="AH8" s="132">
        <f t="shared" si="2"/>
        <v>80379.75</v>
      </c>
      <c r="AI8" s="132">
        <f t="shared" si="2"/>
        <v>61377.75</v>
      </c>
      <c r="AJ8" s="132">
        <f t="shared" si="2"/>
        <v>61377.75</v>
      </c>
      <c r="AK8" s="132">
        <f t="shared" si="2"/>
        <v>61377.75</v>
      </c>
      <c r="AL8" s="132">
        <f t="shared" si="2"/>
        <v>65460.15</v>
      </c>
      <c r="AM8" s="132">
        <f t="shared" si="2"/>
        <v>63875.926000000007</v>
      </c>
      <c r="AN8" s="132">
        <f t="shared" si="2"/>
        <v>80164.926000000007</v>
      </c>
      <c r="AO8" s="132">
        <f t="shared" si="2"/>
        <v>80164.926000000007</v>
      </c>
      <c r="AP8" s="132">
        <f t="shared" si="2"/>
        <v>80164.926000000007</v>
      </c>
      <c r="AQ8" s="132">
        <f t="shared" si="2"/>
        <v>80164.926000000007</v>
      </c>
      <c r="AR8" s="132">
        <f t="shared" si="2"/>
        <v>80164.926000000007</v>
      </c>
      <c r="AS8" s="132">
        <f t="shared" si="2"/>
        <v>80164.926000000007</v>
      </c>
      <c r="AT8" s="132">
        <f t="shared" si="2"/>
        <v>80993.056000000011</v>
      </c>
      <c r="AU8" s="132">
        <f t="shared" si="2"/>
        <v>128704.7</v>
      </c>
      <c r="AV8" s="132">
        <f t="shared" si="2"/>
        <v>128704.7</v>
      </c>
      <c r="AW8" s="132">
        <f t="shared" si="2"/>
        <v>128704.7</v>
      </c>
      <c r="AX8" s="132">
        <f t="shared" si="2"/>
        <v>158597.70000000001</v>
      </c>
      <c r="AY8" s="132">
        <f t="shared" si="2"/>
        <v>158598</v>
      </c>
      <c r="AZ8" s="132">
        <f t="shared" si="2"/>
        <v>158596.53</v>
      </c>
      <c r="BA8" s="132">
        <f t="shared" si="2"/>
        <v>141377.53</v>
      </c>
      <c r="BB8" s="132">
        <f t="shared" si="2"/>
        <v>141377.53</v>
      </c>
      <c r="BC8" s="132">
        <f t="shared" si="2"/>
        <v>141377.53</v>
      </c>
      <c r="BD8" s="132">
        <f t="shared" si="2"/>
        <v>141377.53</v>
      </c>
      <c r="BE8" s="132">
        <f t="shared" si="2"/>
        <v>143139.38921237414</v>
      </c>
      <c r="BF8" s="132">
        <f t="shared" si="2"/>
        <v>46622.559212374152</v>
      </c>
      <c r="BG8" s="132">
        <f t="shared" si="2"/>
        <v>46449.799212374157</v>
      </c>
      <c r="BH8" s="132">
        <f t="shared" si="2"/>
        <v>46449.799212374157</v>
      </c>
      <c r="BI8" s="132">
        <f t="shared" si="2"/>
        <v>46449.799212374157</v>
      </c>
      <c r="BJ8" s="132">
        <f t="shared" si="2"/>
        <v>46449.799212374157</v>
      </c>
      <c r="BK8" s="132">
        <f t="shared" si="2"/>
        <v>46449.799212374157</v>
      </c>
      <c r="BL8" s="132">
        <f t="shared" si="2"/>
        <v>46449.799212374157</v>
      </c>
      <c r="BM8" s="132">
        <f t="shared" si="2"/>
        <v>46449.799312374154</v>
      </c>
      <c r="BN8" s="132">
        <f t="shared" si="2"/>
        <v>46449.799312374154</v>
      </c>
      <c r="BO8" s="132">
        <f t="shared" ref="BO8" si="3">SUM(BO9:BO19)</f>
        <v>46449.799312374154</v>
      </c>
      <c r="BP8" s="132">
        <v>46449.799312374147</v>
      </c>
      <c r="BQ8" s="132">
        <v>46449.799312374147</v>
      </c>
      <c r="BR8" s="132">
        <v>46622.679312374152</v>
      </c>
      <c r="BS8" s="132">
        <v>46622.679312374152</v>
      </c>
      <c r="BT8" s="132">
        <f>SUM(BT9:BT19)</f>
        <v>46622.679312374152</v>
      </c>
    </row>
    <row r="9" spans="1:72" ht="15" hidden="1" customHeight="1" outlineLevel="1" x14ac:dyDescent="0.3">
      <c r="A9" t="s">
        <v>73</v>
      </c>
      <c r="B9" s="134" t="s">
        <v>217</v>
      </c>
      <c r="C9" s="135">
        <v>4466.7</v>
      </c>
      <c r="D9" s="135">
        <v>4466.7</v>
      </c>
      <c r="E9" s="135">
        <v>4466.7</v>
      </c>
      <c r="F9" s="135">
        <v>4466.7</v>
      </c>
      <c r="G9" s="135">
        <v>4466.7</v>
      </c>
      <c r="H9" s="135">
        <v>4466.7</v>
      </c>
      <c r="I9" s="135">
        <v>4466.7</v>
      </c>
      <c r="J9" s="135">
        <v>4466.7</v>
      </c>
      <c r="K9" s="135">
        <v>4466.7</v>
      </c>
      <c r="L9" s="135">
        <v>4466.7</v>
      </c>
      <c r="M9" s="135">
        <v>4466.7</v>
      </c>
      <c r="N9" s="135">
        <v>4466.7</v>
      </c>
      <c r="O9" s="135">
        <v>4466.7</v>
      </c>
      <c r="P9" s="135">
        <v>4466.7</v>
      </c>
      <c r="Q9" s="135">
        <v>4466.7</v>
      </c>
      <c r="R9" s="135">
        <v>4466.7</v>
      </c>
      <c r="S9" s="135">
        <v>4466.7</v>
      </c>
      <c r="T9" s="135">
        <v>4466.7</v>
      </c>
      <c r="U9" s="135">
        <v>4466.7</v>
      </c>
      <c r="V9" s="135">
        <v>4466.7</v>
      </c>
      <c r="W9" s="135">
        <v>4466.7</v>
      </c>
      <c r="X9" s="135">
        <v>4466.7</v>
      </c>
      <c r="Y9" s="135">
        <v>4466.7</v>
      </c>
      <c r="Z9" s="135">
        <v>4466.7</v>
      </c>
      <c r="AA9" s="135">
        <v>4466.7</v>
      </c>
      <c r="AB9" s="135">
        <v>4466.7</v>
      </c>
      <c r="AC9" s="135">
        <v>4466.7</v>
      </c>
      <c r="AD9" s="135">
        <v>4466.7</v>
      </c>
      <c r="AE9" s="135">
        <v>4466.7</v>
      </c>
      <c r="AF9" s="135">
        <v>4466.7</v>
      </c>
      <c r="AG9" s="135">
        <v>4466.7</v>
      </c>
      <c r="AH9" s="135">
        <v>4466.7</v>
      </c>
      <c r="AI9" s="135">
        <v>4466.7</v>
      </c>
      <c r="AJ9" s="136">
        <v>4466.7</v>
      </c>
      <c r="AK9" s="136">
        <v>4466.7</v>
      </c>
      <c r="AL9" s="137">
        <v>4466.7</v>
      </c>
      <c r="AM9" s="137">
        <v>4466.7</v>
      </c>
      <c r="AN9" s="137">
        <v>4466.7</v>
      </c>
      <c r="AO9" s="137">
        <v>4466.7</v>
      </c>
      <c r="AP9" s="137">
        <v>4466.7</v>
      </c>
      <c r="AQ9" s="137">
        <v>4466.7</v>
      </c>
      <c r="AR9" s="137">
        <v>4466.7</v>
      </c>
      <c r="AS9" s="137">
        <v>4466.7</v>
      </c>
      <c r="AT9" s="137">
        <v>4466.7</v>
      </c>
      <c r="AU9" s="137">
        <v>13144</v>
      </c>
      <c r="AV9" s="137">
        <v>13144</v>
      </c>
      <c r="AW9" s="137">
        <v>13144</v>
      </c>
      <c r="AX9" s="137">
        <v>13144</v>
      </c>
      <c r="AY9" s="137">
        <v>13144</v>
      </c>
      <c r="AZ9" s="137">
        <v>13143.65</v>
      </c>
      <c r="BA9" s="137">
        <v>13143.65</v>
      </c>
      <c r="BB9" s="137">
        <v>13143.65</v>
      </c>
      <c r="BC9" s="137">
        <v>13143.65</v>
      </c>
      <c r="BD9" s="137">
        <v>13143.65</v>
      </c>
      <c r="BE9" s="137">
        <v>13143.65</v>
      </c>
      <c r="BF9" s="137">
        <v>0</v>
      </c>
      <c r="BG9" s="137">
        <v>0</v>
      </c>
      <c r="BH9" s="137">
        <v>0</v>
      </c>
      <c r="BI9" s="137">
        <v>0</v>
      </c>
      <c r="BJ9" s="137">
        <v>0</v>
      </c>
      <c r="BK9" s="137">
        <v>0</v>
      </c>
      <c r="BL9" s="137">
        <v>0</v>
      </c>
      <c r="BM9" s="137">
        <v>0</v>
      </c>
      <c r="BN9" s="137">
        <v>0</v>
      </c>
      <c r="BO9" s="137">
        <v>0</v>
      </c>
      <c r="BP9" s="137">
        <v>0</v>
      </c>
      <c r="BQ9" s="137">
        <v>0</v>
      </c>
      <c r="BR9" s="137">
        <v>0</v>
      </c>
      <c r="BS9" s="137">
        <v>0</v>
      </c>
      <c r="BT9" s="137">
        <v>0</v>
      </c>
    </row>
    <row r="10" spans="1:72" ht="15" hidden="1" customHeight="1" outlineLevel="1" x14ac:dyDescent="0.3">
      <c r="A10" t="s">
        <v>73</v>
      </c>
      <c r="B10" s="134" t="s">
        <v>218</v>
      </c>
      <c r="C10" s="135">
        <v>3168.46</v>
      </c>
      <c r="D10" s="135">
        <v>3168.46</v>
      </c>
      <c r="E10" s="135">
        <v>3168.46</v>
      </c>
      <c r="F10" s="135">
        <v>3168.46</v>
      </c>
      <c r="G10" s="135">
        <v>3168.46</v>
      </c>
      <c r="H10" s="135">
        <v>3168.46</v>
      </c>
      <c r="I10" s="135">
        <v>3168.46</v>
      </c>
      <c r="J10" s="135">
        <v>3168.46</v>
      </c>
      <c r="K10" s="135">
        <v>3168.46</v>
      </c>
      <c r="L10" s="135">
        <v>3168.46</v>
      </c>
      <c r="M10" s="135">
        <v>3168.46</v>
      </c>
      <c r="N10" s="135">
        <v>3168.46</v>
      </c>
      <c r="O10" s="135">
        <v>3168.46</v>
      </c>
      <c r="P10" s="135">
        <v>3168.46</v>
      </c>
      <c r="Q10" s="135">
        <v>3168.46</v>
      </c>
      <c r="R10" s="135">
        <v>3168.46</v>
      </c>
      <c r="S10" s="135">
        <v>3168.46</v>
      </c>
      <c r="T10" s="135">
        <v>3168.46</v>
      </c>
      <c r="U10" s="135">
        <v>3168.46</v>
      </c>
      <c r="V10" s="135">
        <v>3168.46</v>
      </c>
      <c r="W10" s="135">
        <v>3168.46</v>
      </c>
      <c r="X10" s="135">
        <v>3168.46</v>
      </c>
      <c r="Y10" s="135">
        <v>3168.46</v>
      </c>
      <c r="Z10" s="135">
        <v>3168.46</v>
      </c>
      <c r="AA10" s="135">
        <v>3168.46</v>
      </c>
      <c r="AB10" s="135">
        <v>3168.46</v>
      </c>
      <c r="AC10" s="135">
        <v>3168.46</v>
      </c>
      <c r="AD10" s="135">
        <v>3168.46</v>
      </c>
      <c r="AE10" s="135">
        <v>3168.46</v>
      </c>
      <c r="AF10" s="135">
        <v>3168.46</v>
      </c>
      <c r="AG10" s="135">
        <v>3168.46</v>
      </c>
      <c r="AH10" s="135">
        <v>3168.46</v>
      </c>
      <c r="AI10" s="135">
        <v>3168.46</v>
      </c>
      <c r="AJ10" s="136">
        <v>3168.46</v>
      </c>
      <c r="AK10" s="136">
        <v>3168.46</v>
      </c>
      <c r="AL10" s="136">
        <v>3168.46</v>
      </c>
      <c r="AM10" s="136">
        <v>1584.23</v>
      </c>
      <c r="AN10" s="136">
        <v>1584.23</v>
      </c>
      <c r="AO10" s="136">
        <v>1584.23</v>
      </c>
      <c r="AP10" s="136">
        <v>1584.23</v>
      </c>
      <c r="AQ10" s="136">
        <v>1584.23</v>
      </c>
      <c r="AR10" s="136">
        <v>1584.23</v>
      </c>
      <c r="AS10" s="136">
        <v>1584.23</v>
      </c>
      <c r="AT10" s="136">
        <v>1584.23</v>
      </c>
      <c r="AU10" s="137">
        <v>17219</v>
      </c>
      <c r="AV10" s="137">
        <v>17219</v>
      </c>
      <c r="AW10" s="137">
        <v>17219</v>
      </c>
      <c r="AX10" s="137">
        <v>17219</v>
      </c>
      <c r="AY10" s="137">
        <v>17219</v>
      </c>
      <c r="AZ10" s="137">
        <v>17219</v>
      </c>
      <c r="BA10" s="137">
        <v>0</v>
      </c>
      <c r="BB10" s="136">
        <v>0</v>
      </c>
      <c r="BC10" s="137">
        <v>0</v>
      </c>
      <c r="BD10" s="136">
        <v>0</v>
      </c>
      <c r="BE10" s="136">
        <v>0</v>
      </c>
      <c r="BF10" s="137">
        <v>0</v>
      </c>
      <c r="BG10" s="137">
        <v>0</v>
      </c>
      <c r="BH10" s="137">
        <v>0</v>
      </c>
      <c r="BI10" s="137">
        <v>0</v>
      </c>
      <c r="BJ10" s="137">
        <v>0</v>
      </c>
      <c r="BK10" s="137">
        <v>0</v>
      </c>
      <c r="BL10" s="137">
        <v>0</v>
      </c>
      <c r="BM10" s="137">
        <v>0</v>
      </c>
      <c r="BN10" s="137">
        <v>0</v>
      </c>
      <c r="BO10" s="137">
        <v>0</v>
      </c>
      <c r="BP10" s="137">
        <v>0</v>
      </c>
      <c r="BQ10" s="137">
        <v>0</v>
      </c>
      <c r="BR10" s="137">
        <v>0</v>
      </c>
      <c r="BS10" s="137">
        <v>0</v>
      </c>
      <c r="BT10" s="137">
        <v>0</v>
      </c>
    </row>
    <row r="11" spans="1:72" ht="15" hidden="1" customHeight="1" outlineLevel="1" x14ac:dyDescent="0.3">
      <c r="A11" t="s">
        <v>73</v>
      </c>
      <c r="B11" s="134" t="s">
        <v>219</v>
      </c>
      <c r="C11" s="135">
        <v>18705.61</v>
      </c>
      <c r="D11" s="135">
        <v>18705.61</v>
      </c>
      <c r="E11" s="135">
        <v>18705.61</v>
      </c>
      <c r="F11" s="135">
        <v>18705.61</v>
      </c>
      <c r="G11" s="135">
        <v>18705.61</v>
      </c>
      <c r="H11" s="135">
        <v>18705.61</v>
      </c>
      <c r="I11" s="135">
        <v>18705.61</v>
      </c>
      <c r="J11" s="135">
        <v>18705.61</v>
      </c>
      <c r="K11" s="135">
        <v>18705.61</v>
      </c>
      <c r="L11" s="135">
        <v>18705.61</v>
      </c>
      <c r="M11" s="135">
        <v>18705.61</v>
      </c>
      <c r="N11" s="135">
        <v>18705.61</v>
      </c>
      <c r="O11" s="135">
        <v>18705.61</v>
      </c>
      <c r="P11" s="135">
        <v>18705.61</v>
      </c>
      <c r="Q11" s="135">
        <v>18705.61</v>
      </c>
      <c r="R11" s="135">
        <v>18705.61</v>
      </c>
      <c r="S11" s="135">
        <v>18705.61</v>
      </c>
      <c r="T11" s="135">
        <v>18705.61</v>
      </c>
      <c r="U11" s="135">
        <v>18705.61</v>
      </c>
      <c r="V11" s="135">
        <v>18705.61</v>
      </c>
      <c r="W11" s="135">
        <v>18705.61</v>
      </c>
      <c r="X11" s="135">
        <v>18705.61</v>
      </c>
      <c r="Y11" s="135">
        <v>18705.61</v>
      </c>
      <c r="Z11" s="135">
        <v>18705.61</v>
      </c>
      <c r="AA11" s="135">
        <v>18705.61</v>
      </c>
      <c r="AB11" s="135">
        <v>18705.61</v>
      </c>
      <c r="AC11" s="135">
        <v>18705.61</v>
      </c>
      <c r="AD11" s="135">
        <v>18705.61</v>
      </c>
      <c r="AE11" s="135">
        <v>18705.61</v>
      </c>
      <c r="AF11" s="135">
        <v>18705.61</v>
      </c>
      <c r="AG11" s="135">
        <v>18705.61</v>
      </c>
      <c r="AH11" s="135">
        <v>18705.61</v>
      </c>
      <c r="AI11" s="135">
        <v>18705.61</v>
      </c>
      <c r="AJ11" s="136">
        <v>18705.61</v>
      </c>
      <c r="AK11" s="136">
        <v>18705.61</v>
      </c>
      <c r="AL11" s="136">
        <v>18705.61</v>
      </c>
      <c r="AM11" s="136">
        <v>18705.61</v>
      </c>
      <c r="AN11" s="136">
        <v>18705.61</v>
      </c>
      <c r="AO11" s="136">
        <v>18705.61</v>
      </c>
      <c r="AP11" s="136">
        <v>18705.61</v>
      </c>
      <c r="AQ11" s="136">
        <v>18705.61</v>
      </c>
      <c r="AR11" s="136">
        <v>18705.61</v>
      </c>
      <c r="AS11" s="136">
        <v>18705.61</v>
      </c>
      <c r="AT11" s="136">
        <v>18705.61</v>
      </c>
      <c r="AU11" s="137">
        <v>26693</v>
      </c>
      <c r="AV11" s="137">
        <v>26693</v>
      </c>
      <c r="AW11" s="137">
        <v>26693</v>
      </c>
      <c r="AX11" s="137">
        <v>26693</v>
      </c>
      <c r="AY11" s="137">
        <v>26693</v>
      </c>
      <c r="AZ11" s="137">
        <v>26692.6</v>
      </c>
      <c r="BA11" s="137">
        <v>26692.6</v>
      </c>
      <c r="BB11" s="136">
        <v>26692.6</v>
      </c>
      <c r="BC11" s="137">
        <v>26692.6</v>
      </c>
      <c r="BD11" s="137">
        <v>26692.6</v>
      </c>
      <c r="BE11" s="137">
        <v>26692.6</v>
      </c>
      <c r="BF11" s="137">
        <v>0</v>
      </c>
      <c r="BG11" s="137">
        <v>0</v>
      </c>
      <c r="BH11" s="137">
        <v>0</v>
      </c>
      <c r="BI11" s="137">
        <v>0</v>
      </c>
      <c r="BJ11" s="137">
        <v>0</v>
      </c>
      <c r="BK11" s="137">
        <v>0</v>
      </c>
      <c r="BL11" s="137">
        <v>0</v>
      </c>
      <c r="BM11" s="137">
        <v>0</v>
      </c>
      <c r="BN11" s="137">
        <v>0</v>
      </c>
      <c r="BO11" s="137">
        <v>0</v>
      </c>
      <c r="BP11" s="137">
        <v>0</v>
      </c>
      <c r="BQ11" s="137">
        <v>0</v>
      </c>
      <c r="BR11" s="137">
        <v>0</v>
      </c>
      <c r="BS11" s="137">
        <v>0</v>
      </c>
      <c r="BT11" s="137">
        <v>0</v>
      </c>
    </row>
    <row r="12" spans="1:72" ht="15" hidden="1" customHeight="1" outlineLevel="1" x14ac:dyDescent="0.3">
      <c r="A12" t="s">
        <v>73</v>
      </c>
      <c r="B12" s="134" t="s">
        <v>220</v>
      </c>
      <c r="C12" s="135">
        <v>12975.116000000002</v>
      </c>
      <c r="D12" s="135">
        <v>12975.116000000002</v>
      </c>
      <c r="E12" s="135">
        <v>12975.116000000002</v>
      </c>
      <c r="F12" s="135">
        <v>12975.116000000002</v>
      </c>
      <c r="G12" s="135">
        <v>12975.116000000002</v>
      </c>
      <c r="H12" s="135">
        <v>12975.116000000002</v>
      </c>
      <c r="I12" s="135">
        <v>12975.116000000002</v>
      </c>
      <c r="J12" s="135">
        <v>12975.116000000002</v>
      </c>
      <c r="K12" s="135">
        <v>12975.116000000002</v>
      </c>
      <c r="L12" s="135">
        <v>12975.116000000002</v>
      </c>
      <c r="M12" s="135">
        <v>12975.116000000002</v>
      </c>
      <c r="N12" s="135">
        <v>12975.116000000002</v>
      </c>
      <c r="O12" s="135">
        <v>12975.116000000002</v>
      </c>
      <c r="P12" s="135">
        <v>12975.116000000002</v>
      </c>
      <c r="Q12" s="135">
        <v>12975.116000000002</v>
      </c>
      <c r="R12" s="135">
        <v>12975.116000000002</v>
      </c>
      <c r="S12" s="135">
        <v>12975.116000000002</v>
      </c>
      <c r="T12" s="135">
        <v>12975.116000000002</v>
      </c>
      <c r="U12" s="135">
        <v>12975.116000000002</v>
      </c>
      <c r="V12" s="135">
        <v>12975.116000000002</v>
      </c>
      <c r="W12" s="135">
        <v>12975.116000000002</v>
      </c>
      <c r="X12" s="135">
        <v>12975.116000000002</v>
      </c>
      <c r="Y12" s="135">
        <v>12975.116000000002</v>
      </c>
      <c r="Z12" s="135">
        <v>12975.116000000002</v>
      </c>
      <c r="AA12" s="135">
        <v>12975.116000000002</v>
      </c>
      <c r="AB12" s="135">
        <v>12975.116000000002</v>
      </c>
      <c r="AC12" s="135">
        <v>12975.116000000002</v>
      </c>
      <c r="AD12" s="135">
        <v>12975.116000000002</v>
      </c>
      <c r="AE12" s="135">
        <v>12975.116000000002</v>
      </c>
      <c r="AF12" s="135">
        <v>12975.116000000002</v>
      </c>
      <c r="AG12" s="135">
        <v>12975.116000000002</v>
      </c>
      <c r="AH12" s="135">
        <v>12975.116000000002</v>
      </c>
      <c r="AI12" s="135">
        <v>12975.116000000002</v>
      </c>
      <c r="AJ12" s="136">
        <v>12975.116000000002</v>
      </c>
      <c r="AK12" s="136">
        <v>12975.116000000002</v>
      </c>
      <c r="AL12" s="136">
        <v>12975.116000000002</v>
      </c>
      <c r="AM12" s="136">
        <v>12975.116000000002</v>
      </c>
      <c r="AN12" s="136">
        <v>12975.116000000002</v>
      </c>
      <c r="AO12" s="136">
        <v>12975.116000000002</v>
      </c>
      <c r="AP12" s="136">
        <v>12975.116000000002</v>
      </c>
      <c r="AQ12" s="136">
        <v>12975.116000000002</v>
      </c>
      <c r="AR12" s="136">
        <v>12975.116000000002</v>
      </c>
      <c r="AS12" s="136">
        <v>12975.116000000002</v>
      </c>
      <c r="AT12" s="136">
        <v>12975.116000000002</v>
      </c>
      <c r="AU12" s="137">
        <v>18244</v>
      </c>
      <c r="AV12" s="137">
        <v>18244</v>
      </c>
      <c r="AW12" s="137">
        <v>18244</v>
      </c>
      <c r="AX12" s="137">
        <v>18244</v>
      </c>
      <c r="AY12" s="137">
        <v>18244</v>
      </c>
      <c r="AZ12" s="137">
        <v>18244</v>
      </c>
      <c r="BA12" s="137">
        <v>18244</v>
      </c>
      <c r="BB12" s="136">
        <v>18244</v>
      </c>
      <c r="BC12" s="137">
        <v>18244</v>
      </c>
      <c r="BD12" s="137">
        <v>18244</v>
      </c>
      <c r="BE12" s="137">
        <v>18244</v>
      </c>
      <c r="BF12" s="137">
        <v>0</v>
      </c>
      <c r="BG12" s="137">
        <v>0</v>
      </c>
      <c r="BH12" s="137">
        <v>0</v>
      </c>
      <c r="BI12" s="137">
        <v>0</v>
      </c>
      <c r="BJ12" s="137">
        <v>0</v>
      </c>
      <c r="BK12" s="137">
        <v>0</v>
      </c>
      <c r="BL12" s="137">
        <v>0</v>
      </c>
      <c r="BM12" s="137">
        <v>0</v>
      </c>
      <c r="BN12" s="137">
        <v>0</v>
      </c>
      <c r="BO12" s="137">
        <v>0</v>
      </c>
      <c r="BP12" s="137">
        <v>0</v>
      </c>
      <c r="BQ12" s="137">
        <v>0</v>
      </c>
      <c r="BR12" s="137">
        <v>0</v>
      </c>
      <c r="BS12" s="137">
        <v>0</v>
      </c>
      <c r="BT12" s="137">
        <v>0</v>
      </c>
    </row>
    <row r="13" spans="1:72" ht="15" hidden="1" customHeight="1" outlineLevel="1" x14ac:dyDescent="0.3">
      <c r="A13" t="s">
        <v>73</v>
      </c>
      <c r="B13" s="134" t="s">
        <v>221</v>
      </c>
      <c r="C13" s="135">
        <v>0</v>
      </c>
      <c r="D13" s="135">
        <v>11176.564</v>
      </c>
      <c r="E13" s="135">
        <v>11176.564</v>
      </c>
      <c r="F13" s="135">
        <v>11176.564</v>
      </c>
      <c r="G13" s="135">
        <v>11176.564</v>
      </c>
      <c r="H13" s="135">
        <v>11176.564</v>
      </c>
      <c r="I13" s="135">
        <v>11176.564</v>
      </c>
      <c r="J13" s="135">
        <v>11176.564</v>
      </c>
      <c r="K13" s="135">
        <v>11176.564</v>
      </c>
      <c r="L13" s="135">
        <v>11176.564</v>
      </c>
      <c r="M13" s="135">
        <v>11176.564</v>
      </c>
      <c r="N13" s="135">
        <v>11176.564</v>
      </c>
      <c r="O13" s="135">
        <v>11176.564</v>
      </c>
      <c r="P13" s="135">
        <v>11176.564</v>
      </c>
      <c r="Q13" s="135">
        <v>11176.564</v>
      </c>
      <c r="R13" s="135">
        <v>11176.564</v>
      </c>
      <c r="S13" s="135">
        <v>11176.564</v>
      </c>
      <c r="T13" s="135">
        <v>11176.564</v>
      </c>
      <c r="U13" s="135">
        <v>11176.564</v>
      </c>
      <c r="V13" s="135">
        <v>11176.564</v>
      </c>
      <c r="W13" s="135">
        <v>11176.564</v>
      </c>
      <c r="X13" s="135">
        <v>11176.564</v>
      </c>
      <c r="Y13" s="135">
        <v>11176.564</v>
      </c>
      <c r="Z13" s="135">
        <v>11176.564</v>
      </c>
      <c r="AA13" s="135">
        <v>11176.564</v>
      </c>
      <c r="AB13" s="135">
        <v>11176.564</v>
      </c>
      <c r="AC13" s="135">
        <v>11176.564</v>
      </c>
      <c r="AD13" s="135">
        <v>11176.564</v>
      </c>
      <c r="AE13" s="135">
        <v>11176.564</v>
      </c>
      <c r="AF13" s="135">
        <v>11176.564</v>
      </c>
      <c r="AG13" s="135">
        <v>11176.564</v>
      </c>
      <c r="AH13" s="135">
        <v>11176.564</v>
      </c>
      <c r="AI13" s="135">
        <v>11176.564</v>
      </c>
      <c r="AJ13" s="136">
        <v>11176.564</v>
      </c>
      <c r="AK13" s="136">
        <v>11176.564</v>
      </c>
      <c r="AL13" s="136">
        <v>11176.564</v>
      </c>
      <c r="AM13" s="136">
        <v>11176.57</v>
      </c>
      <c r="AN13" s="136">
        <v>11176.57</v>
      </c>
      <c r="AO13" s="136">
        <v>11176.57</v>
      </c>
      <c r="AP13" s="136">
        <v>11176.57</v>
      </c>
      <c r="AQ13" s="136">
        <v>11176.57</v>
      </c>
      <c r="AR13" s="136">
        <v>11176.57</v>
      </c>
      <c r="AS13" s="136">
        <v>11176.57</v>
      </c>
      <c r="AT13" s="136">
        <v>12004.699999999999</v>
      </c>
      <c r="AU13" s="137">
        <v>22148</v>
      </c>
      <c r="AV13" s="137">
        <v>22148</v>
      </c>
      <c r="AW13" s="137">
        <v>22148</v>
      </c>
      <c r="AX13" s="137">
        <v>22148</v>
      </c>
      <c r="AY13" s="137">
        <v>22148</v>
      </c>
      <c r="AZ13" s="137">
        <v>22147.579999999998</v>
      </c>
      <c r="BA13" s="137">
        <v>22147.579999999998</v>
      </c>
      <c r="BB13" s="136">
        <v>22147.579999999998</v>
      </c>
      <c r="BC13" s="137">
        <v>22147.579999999998</v>
      </c>
      <c r="BD13" s="137">
        <v>22147.579999999998</v>
      </c>
      <c r="BE13" s="137">
        <v>22147.579999999998</v>
      </c>
      <c r="BF13" s="137">
        <v>0</v>
      </c>
      <c r="BG13" s="137">
        <v>0</v>
      </c>
      <c r="BH13" s="137">
        <v>0</v>
      </c>
      <c r="BI13" s="137">
        <v>0</v>
      </c>
      <c r="BJ13" s="137">
        <v>0</v>
      </c>
      <c r="BK13" s="137">
        <v>0</v>
      </c>
      <c r="BL13" s="137">
        <v>0</v>
      </c>
      <c r="BM13" s="137">
        <v>0</v>
      </c>
      <c r="BN13" s="137">
        <v>0</v>
      </c>
      <c r="BO13" s="137">
        <v>0</v>
      </c>
      <c r="BP13" s="137">
        <v>0</v>
      </c>
      <c r="BQ13" s="137">
        <v>0</v>
      </c>
      <c r="BR13" s="137">
        <v>0</v>
      </c>
      <c r="BS13" s="137">
        <v>0</v>
      </c>
      <c r="BT13" s="137">
        <v>0</v>
      </c>
    </row>
    <row r="14" spans="1:72" ht="15" hidden="1" customHeight="1" outlineLevel="1" x14ac:dyDescent="0.3">
      <c r="A14" t="s">
        <v>222</v>
      </c>
      <c r="B14" s="134" t="s">
        <v>223</v>
      </c>
      <c r="C14" s="135">
        <v>0</v>
      </c>
      <c r="D14" s="135">
        <v>0</v>
      </c>
      <c r="E14" s="135">
        <v>0</v>
      </c>
      <c r="F14" s="135">
        <v>0</v>
      </c>
      <c r="G14" s="135">
        <v>0</v>
      </c>
      <c r="H14" s="135">
        <v>0</v>
      </c>
      <c r="I14" s="135">
        <v>0</v>
      </c>
      <c r="J14" s="135">
        <v>0</v>
      </c>
      <c r="K14" s="135">
        <v>0</v>
      </c>
      <c r="L14" s="135">
        <v>0</v>
      </c>
      <c r="M14" s="135">
        <v>0</v>
      </c>
      <c r="N14" s="135">
        <v>0</v>
      </c>
      <c r="O14" s="135">
        <v>0</v>
      </c>
      <c r="P14" s="135">
        <v>0</v>
      </c>
      <c r="Q14" s="135">
        <v>0</v>
      </c>
      <c r="R14" s="135">
        <v>0</v>
      </c>
      <c r="S14" s="135">
        <v>0</v>
      </c>
      <c r="T14" s="135">
        <v>0</v>
      </c>
      <c r="U14" s="135">
        <v>0</v>
      </c>
      <c r="V14" s="135">
        <v>0</v>
      </c>
      <c r="W14" s="135">
        <v>0</v>
      </c>
      <c r="X14" s="135">
        <v>0</v>
      </c>
      <c r="Y14" s="135">
        <v>10885.3</v>
      </c>
      <c r="Z14" s="135">
        <v>10885.3</v>
      </c>
      <c r="AA14" s="135">
        <v>10885.3</v>
      </c>
      <c r="AB14" s="135">
        <v>10885.3</v>
      </c>
      <c r="AC14" s="135">
        <v>10885.3</v>
      </c>
      <c r="AD14" s="135">
        <v>10885.3</v>
      </c>
      <c r="AE14" s="135">
        <v>10885.3</v>
      </c>
      <c r="AF14" s="135">
        <v>10885.3</v>
      </c>
      <c r="AG14" s="135">
        <v>10885.3</v>
      </c>
      <c r="AH14" s="135">
        <v>10885.3</v>
      </c>
      <c r="AI14" s="135">
        <v>10885.3</v>
      </c>
      <c r="AJ14" s="136">
        <v>10885.3</v>
      </c>
      <c r="AK14" s="136">
        <v>10885.3</v>
      </c>
      <c r="AL14" s="137">
        <v>14967.700000000003</v>
      </c>
      <c r="AM14" s="137">
        <v>14967.700000000003</v>
      </c>
      <c r="AN14" s="137">
        <v>14967.700000000003</v>
      </c>
      <c r="AO14" s="137">
        <v>14967.700000000003</v>
      </c>
      <c r="AP14" s="137">
        <v>14967.700000000003</v>
      </c>
      <c r="AQ14" s="137">
        <v>14967.700000000003</v>
      </c>
      <c r="AR14" s="137">
        <v>14967.700000000003</v>
      </c>
      <c r="AS14" s="137">
        <v>14967.700000000003</v>
      </c>
      <c r="AT14" s="137">
        <v>14967.700000000003</v>
      </c>
      <c r="AU14" s="137">
        <v>14967.700000000003</v>
      </c>
      <c r="AV14" s="137">
        <v>14967.700000000003</v>
      </c>
      <c r="AW14" s="137">
        <v>14967.700000000003</v>
      </c>
      <c r="AX14" s="137">
        <v>14967.700000000003</v>
      </c>
      <c r="AY14" s="137">
        <v>14968</v>
      </c>
      <c r="AZ14" s="137">
        <v>14967.700000000003</v>
      </c>
      <c r="BA14" s="137">
        <v>14967.700000000003</v>
      </c>
      <c r="BB14" s="137">
        <v>14967.700000000003</v>
      </c>
      <c r="BC14" s="137">
        <v>14967.700000000003</v>
      </c>
      <c r="BD14" s="137">
        <v>14967.700000000003</v>
      </c>
      <c r="BE14" s="137">
        <v>14967.700000000003</v>
      </c>
      <c r="BF14" s="137">
        <v>14967.700000000003</v>
      </c>
      <c r="BG14" s="137">
        <v>14967.700000000003</v>
      </c>
      <c r="BH14" s="137">
        <v>14967.700000000003</v>
      </c>
      <c r="BI14" s="137">
        <v>14967.700000000003</v>
      </c>
      <c r="BJ14" s="137">
        <v>14967.700000000003</v>
      </c>
      <c r="BK14" s="137">
        <v>14967.700000000003</v>
      </c>
      <c r="BL14" s="137">
        <v>14967.700000000003</v>
      </c>
      <c r="BM14" s="137">
        <v>14967.700000000003</v>
      </c>
      <c r="BN14" s="137">
        <v>14967.700000000003</v>
      </c>
      <c r="BO14" s="137">
        <v>14967.700000000003</v>
      </c>
      <c r="BP14" s="137">
        <v>14967.7</v>
      </c>
      <c r="BQ14" s="137">
        <v>14967.7</v>
      </c>
      <c r="BR14" s="137">
        <v>14967.7</v>
      </c>
      <c r="BS14" s="137">
        <v>14967.7</v>
      </c>
      <c r="BT14" s="137">
        <v>14967.7</v>
      </c>
    </row>
    <row r="15" spans="1:72" ht="15" hidden="1" customHeight="1" outlineLevel="1" x14ac:dyDescent="0.3">
      <c r="A15" t="s">
        <v>73</v>
      </c>
      <c r="B15" s="134" t="s">
        <v>224</v>
      </c>
      <c r="C15" s="135">
        <v>0</v>
      </c>
      <c r="D15" s="135">
        <v>0</v>
      </c>
      <c r="E15" s="135">
        <v>0</v>
      </c>
      <c r="F15" s="135">
        <v>0</v>
      </c>
      <c r="G15" s="135">
        <v>0</v>
      </c>
      <c r="H15" s="135">
        <v>0</v>
      </c>
      <c r="I15" s="135">
        <v>0</v>
      </c>
      <c r="J15" s="135">
        <v>0</v>
      </c>
      <c r="K15" s="135">
        <v>0</v>
      </c>
      <c r="L15" s="135">
        <v>0</v>
      </c>
      <c r="M15" s="135">
        <v>0</v>
      </c>
      <c r="N15" s="135">
        <v>0</v>
      </c>
      <c r="O15" s="135">
        <v>0</v>
      </c>
      <c r="P15" s="135">
        <v>0</v>
      </c>
      <c r="Q15" s="135">
        <v>0</v>
      </c>
      <c r="R15" s="135">
        <v>0</v>
      </c>
      <c r="S15" s="135">
        <v>0</v>
      </c>
      <c r="T15" s="135">
        <v>0</v>
      </c>
      <c r="U15" s="135">
        <v>0</v>
      </c>
      <c r="V15" s="135">
        <v>0</v>
      </c>
      <c r="W15" s="135">
        <v>0</v>
      </c>
      <c r="X15" s="135">
        <v>0</v>
      </c>
      <c r="Y15" s="135">
        <v>0</v>
      </c>
      <c r="Z15" s="135">
        <v>0</v>
      </c>
      <c r="AA15" s="135">
        <v>0</v>
      </c>
      <c r="AB15" s="135">
        <v>0</v>
      </c>
      <c r="AC15" s="135">
        <v>0</v>
      </c>
      <c r="AD15" s="135">
        <v>0</v>
      </c>
      <c r="AE15" s="135">
        <v>0</v>
      </c>
      <c r="AF15" s="135">
        <v>0</v>
      </c>
      <c r="AG15" s="135">
        <v>0</v>
      </c>
      <c r="AH15" s="135">
        <v>0</v>
      </c>
      <c r="AI15" s="135">
        <v>0</v>
      </c>
      <c r="AJ15" s="135">
        <v>0</v>
      </c>
      <c r="AK15" s="135">
        <v>0</v>
      </c>
      <c r="AL15" s="135">
        <v>0</v>
      </c>
      <c r="AM15" s="135">
        <v>0</v>
      </c>
      <c r="AN15" s="136">
        <v>16289</v>
      </c>
      <c r="AO15" s="136">
        <v>16289</v>
      </c>
      <c r="AP15" s="136">
        <v>16289</v>
      </c>
      <c r="AQ15" s="136">
        <v>16289</v>
      </c>
      <c r="AR15" s="136">
        <v>16289</v>
      </c>
      <c r="AS15" s="136">
        <v>16289</v>
      </c>
      <c r="AT15" s="136">
        <v>16289</v>
      </c>
      <c r="AU15" s="136">
        <v>16289</v>
      </c>
      <c r="AV15" s="136">
        <v>16289</v>
      </c>
      <c r="AW15" s="136">
        <v>16289</v>
      </c>
      <c r="AX15" s="136">
        <v>16289</v>
      </c>
      <c r="AY15" s="137">
        <v>16289</v>
      </c>
      <c r="AZ15" s="137">
        <v>16289</v>
      </c>
      <c r="BA15" s="137">
        <v>16289</v>
      </c>
      <c r="BB15" s="136">
        <v>16289</v>
      </c>
      <c r="BC15" s="137">
        <v>16289</v>
      </c>
      <c r="BD15" s="136">
        <v>16289</v>
      </c>
      <c r="BE15" s="136">
        <v>16289</v>
      </c>
      <c r="BF15" s="137">
        <v>0</v>
      </c>
      <c r="BG15" s="137">
        <v>0</v>
      </c>
      <c r="BH15" s="137">
        <v>0</v>
      </c>
      <c r="BI15" s="137">
        <v>0</v>
      </c>
      <c r="BJ15" s="137">
        <v>0</v>
      </c>
      <c r="BK15" s="137">
        <v>0</v>
      </c>
      <c r="BL15" s="137">
        <v>0</v>
      </c>
      <c r="BM15" s="137">
        <v>0</v>
      </c>
      <c r="BN15" s="137">
        <v>0</v>
      </c>
      <c r="BO15" s="137">
        <v>0</v>
      </c>
      <c r="BP15" s="137">
        <v>0</v>
      </c>
      <c r="BQ15" s="137">
        <v>0</v>
      </c>
      <c r="BR15" s="137">
        <v>0</v>
      </c>
      <c r="BS15" s="137">
        <v>0</v>
      </c>
      <c r="BT15" s="137">
        <v>0</v>
      </c>
    </row>
    <row r="16" spans="1:72" ht="15" hidden="1" customHeight="1" outlineLevel="1" x14ac:dyDescent="0.3">
      <c r="A16" t="s">
        <v>73</v>
      </c>
      <c r="B16" s="134" t="s">
        <v>225</v>
      </c>
      <c r="C16" s="136">
        <v>0</v>
      </c>
      <c r="D16" s="136">
        <v>0</v>
      </c>
      <c r="E16" s="136">
        <v>0</v>
      </c>
      <c r="F16" s="136">
        <v>0</v>
      </c>
      <c r="G16" s="136">
        <v>0</v>
      </c>
      <c r="H16" s="136">
        <v>0</v>
      </c>
      <c r="I16" s="136">
        <v>0</v>
      </c>
      <c r="J16" s="136">
        <v>0</v>
      </c>
      <c r="K16" s="136">
        <v>0</v>
      </c>
      <c r="L16" s="136">
        <v>0</v>
      </c>
      <c r="M16" s="136">
        <v>0</v>
      </c>
      <c r="N16" s="136">
        <v>0</v>
      </c>
      <c r="O16" s="136">
        <v>0</v>
      </c>
      <c r="P16" s="136">
        <v>0</v>
      </c>
      <c r="Q16" s="136">
        <v>0</v>
      </c>
      <c r="R16" s="136">
        <v>0</v>
      </c>
      <c r="S16" s="136">
        <v>0</v>
      </c>
      <c r="T16" s="136">
        <v>0</v>
      </c>
      <c r="U16" s="136">
        <v>0</v>
      </c>
      <c r="V16" s="136">
        <v>0</v>
      </c>
      <c r="W16" s="136">
        <v>0</v>
      </c>
      <c r="X16" s="136">
        <v>0</v>
      </c>
      <c r="Y16" s="136">
        <v>0</v>
      </c>
      <c r="Z16" s="136">
        <v>0</v>
      </c>
      <c r="AA16" s="136">
        <v>0</v>
      </c>
      <c r="AB16" s="136">
        <v>0</v>
      </c>
      <c r="AC16" s="136">
        <v>19002.264908700003</v>
      </c>
      <c r="AD16" s="136">
        <v>19002.264908700003</v>
      </c>
      <c r="AE16" s="136">
        <v>19002.264908700003</v>
      </c>
      <c r="AF16" s="136">
        <v>19002.264908700003</v>
      </c>
      <c r="AG16" s="136">
        <v>19002</v>
      </c>
      <c r="AH16" s="136">
        <v>19002</v>
      </c>
      <c r="AI16" s="137">
        <v>0</v>
      </c>
      <c r="AJ16" s="137">
        <v>0</v>
      </c>
      <c r="AK16" s="137">
        <v>0</v>
      </c>
      <c r="AL16" s="137">
        <v>0</v>
      </c>
      <c r="AM16" s="137">
        <v>0</v>
      </c>
      <c r="AN16" s="137">
        <v>0</v>
      </c>
      <c r="AO16" s="137">
        <v>0</v>
      </c>
      <c r="AP16" s="137">
        <v>0</v>
      </c>
      <c r="AQ16" s="137">
        <v>0</v>
      </c>
      <c r="AR16" s="137">
        <v>0</v>
      </c>
      <c r="AS16" s="137">
        <v>0</v>
      </c>
      <c r="AT16" s="137">
        <v>0</v>
      </c>
      <c r="AU16" s="137">
        <v>0</v>
      </c>
      <c r="AV16" s="137">
        <v>0</v>
      </c>
      <c r="AW16" s="137">
        <v>0</v>
      </c>
      <c r="AX16" s="137">
        <v>0</v>
      </c>
      <c r="AY16" s="137">
        <v>0</v>
      </c>
      <c r="AZ16" s="137">
        <v>0</v>
      </c>
      <c r="BA16" s="137">
        <v>0</v>
      </c>
      <c r="BB16" s="137">
        <v>0</v>
      </c>
      <c r="BC16" s="137">
        <v>0</v>
      </c>
      <c r="BD16" s="136">
        <v>0</v>
      </c>
      <c r="BE16" s="136">
        <v>0</v>
      </c>
      <c r="BF16" s="137">
        <v>0</v>
      </c>
      <c r="BG16" s="137">
        <v>0</v>
      </c>
      <c r="BH16" s="137">
        <v>0</v>
      </c>
      <c r="BI16" s="137">
        <v>0</v>
      </c>
      <c r="BJ16" s="137">
        <v>0</v>
      </c>
      <c r="BK16" s="137">
        <v>0</v>
      </c>
      <c r="BL16" s="137">
        <v>0</v>
      </c>
      <c r="BM16" s="137">
        <v>0</v>
      </c>
      <c r="BN16" s="137">
        <v>0</v>
      </c>
      <c r="BO16" s="137">
        <v>0</v>
      </c>
      <c r="BP16" s="137">
        <v>0</v>
      </c>
      <c r="BQ16" s="137">
        <v>0</v>
      </c>
      <c r="BR16" s="137">
        <v>0</v>
      </c>
      <c r="BS16" s="137">
        <v>0</v>
      </c>
      <c r="BT16" s="137">
        <v>0</v>
      </c>
    </row>
    <row r="17" spans="1:72" ht="15" hidden="1" customHeight="1" outlineLevel="1" x14ac:dyDescent="0.3">
      <c r="A17" t="s">
        <v>73</v>
      </c>
      <c r="B17" s="134" t="s">
        <v>226</v>
      </c>
      <c r="C17" s="136">
        <v>0</v>
      </c>
      <c r="D17" s="136">
        <v>0</v>
      </c>
      <c r="E17" s="136">
        <v>0</v>
      </c>
      <c r="F17" s="136">
        <v>0</v>
      </c>
      <c r="G17" s="136">
        <v>7306</v>
      </c>
      <c r="H17" s="136">
        <v>7051</v>
      </c>
      <c r="I17" s="136">
        <v>7051</v>
      </c>
      <c r="J17" s="136">
        <v>6280</v>
      </c>
      <c r="K17" s="136">
        <v>4481</v>
      </c>
      <c r="L17" s="136">
        <v>1766</v>
      </c>
      <c r="M17" s="136">
        <v>1766</v>
      </c>
      <c r="N17" s="136">
        <v>1766</v>
      </c>
      <c r="O17" s="136">
        <v>1766</v>
      </c>
      <c r="P17" s="136">
        <v>0</v>
      </c>
      <c r="Q17" s="136">
        <v>0</v>
      </c>
      <c r="R17" s="136">
        <v>0</v>
      </c>
      <c r="S17" s="136">
        <v>0</v>
      </c>
      <c r="T17" s="136">
        <v>0</v>
      </c>
      <c r="U17" s="136">
        <v>0</v>
      </c>
      <c r="V17" s="136">
        <v>0</v>
      </c>
      <c r="W17" s="136">
        <v>0</v>
      </c>
      <c r="X17" s="136">
        <v>0</v>
      </c>
      <c r="Y17" s="136">
        <v>0</v>
      </c>
      <c r="Z17" s="136">
        <v>0</v>
      </c>
      <c r="AA17" s="136">
        <v>0</v>
      </c>
      <c r="AB17" s="136">
        <v>0</v>
      </c>
      <c r="AC17" s="136">
        <v>0</v>
      </c>
      <c r="AD17" s="136">
        <v>0</v>
      </c>
      <c r="AE17" s="136">
        <v>0</v>
      </c>
      <c r="AF17" s="136">
        <v>0</v>
      </c>
      <c r="AG17" s="136">
        <v>0</v>
      </c>
      <c r="AH17" s="136">
        <v>0</v>
      </c>
      <c r="AI17" s="137">
        <v>0</v>
      </c>
      <c r="AJ17" s="137">
        <v>0</v>
      </c>
      <c r="AK17" s="137">
        <v>0</v>
      </c>
      <c r="AL17" s="137">
        <v>0</v>
      </c>
      <c r="AM17" s="137">
        <v>0</v>
      </c>
      <c r="AN17" s="137">
        <v>0</v>
      </c>
      <c r="AO17" s="137">
        <v>0</v>
      </c>
      <c r="AP17" s="137">
        <v>0</v>
      </c>
      <c r="AQ17" s="137">
        <v>0</v>
      </c>
      <c r="AR17" s="137">
        <v>0</v>
      </c>
      <c r="AS17" s="137">
        <v>0</v>
      </c>
      <c r="AT17" s="137">
        <v>0</v>
      </c>
      <c r="AU17" s="137">
        <v>0</v>
      </c>
      <c r="AV17" s="137">
        <v>0</v>
      </c>
      <c r="AW17" s="137">
        <v>0</v>
      </c>
      <c r="AX17" s="137">
        <v>0</v>
      </c>
      <c r="AY17" s="137">
        <v>0</v>
      </c>
      <c r="AZ17" s="137">
        <v>0</v>
      </c>
      <c r="BA17" s="137">
        <v>0</v>
      </c>
      <c r="BB17" s="137">
        <v>0</v>
      </c>
      <c r="BC17" s="137">
        <v>0</v>
      </c>
      <c r="BD17" s="136">
        <v>0</v>
      </c>
      <c r="BE17" s="136">
        <v>0</v>
      </c>
      <c r="BF17" s="137">
        <v>0</v>
      </c>
      <c r="BG17" s="137">
        <v>0</v>
      </c>
      <c r="BH17" s="137">
        <v>0</v>
      </c>
      <c r="BI17" s="137">
        <v>0</v>
      </c>
      <c r="BJ17" s="137">
        <v>0</v>
      </c>
      <c r="BK17" s="137">
        <v>0</v>
      </c>
      <c r="BL17" s="137">
        <v>0</v>
      </c>
      <c r="BM17" s="137">
        <v>0</v>
      </c>
      <c r="BN17" s="137">
        <v>0</v>
      </c>
      <c r="BO17" s="137">
        <v>0</v>
      </c>
      <c r="BP17" s="137">
        <v>0</v>
      </c>
      <c r="BQ17" s="137">
        <v>0</v>
      </c>
      <c r="BR17" s="137">
        <v>0</v>
      </c>
      <c r="BS17" s="137">
        <v>0</v>
      </c>
      <c r="BT17" s="137">
        <v>0</v>
      </c>
    </row>
    <row r="18" spans="1:72" ht="15" hidden="1" customHeight="1" outlineLevel="1" x14ac:dyDescent="0.3">
      <c r="A18" t="s">
        <v>227</v>
      </c>
      <c r="B18" s="134" t="s">
        <v>228</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v>0</v>
      </c>
      <c r="AM18" s="136">
        <v>0</v>
      </c>
      <c r="AN18" s="136">
        <v>0</v>
      </c>
      <c r="AO18" s="136">
        <v>0</v>
      </c>
      <c r="AP18" s="136">
        <v>0</v>
      </c>
      <c r="AQ18" s="136">
        <v>0</v>
      </c>
      <c r="AR18" s="136">
        <v>0</v>
      </c>
      <c r="AS18" s="136">
        <v>0</v>
      </c>
      <c r="AT18" s="136">
        <v>0</v>
      </c>
      <c r="AU18" s="136">
        <v>0</v>
      </c>
      <c r="AV18" s="136">
        <v>0</v>
      </c>
      <c r="AW18" s="136">
        <v>0</v>
      </c>
      <c r="AX18" s="137">
        <v>10475</v>
      </c>
      <c r="AY18" s="137">
        <v>10475</v>
      </c>
      <c r="AZ18" s="137">
        <v>10475</v>
      </c>
      <c r="BA18" s="137">
        <v>10475</v>
      </c>
      <c r="BB18" s="137">
        <v>10475</v>
      </c>
      <c r="BC18" s="137">
        <v>10475</v>
      </c>
      <c r="BD18" s="137">
        <v>10475</v>
      </c>
      <c r="BE18" s="137">
        <v>12237.020000000004</v>
      </c>
      <c r="BF18" s="137">
        <v>12237.020000000004</v>
      </c>
      <c r="BG18" s="137">
        <v>12064.260000000007</v>
      </c>
      <c r="BH18" s="137">
        <v>12064.260000000007</v>
      </c>
      <c r="BI18" s="137">
        <v>12064.260000000007</v>
      </c>
      <c r="BJ18" s="137">
        <v>12064.260000000007</v>
      </c>
      <c r="BK18" s="137">
        <v>12064.260000000007</v>
      </c>
      <c r="BL18" s="137">
        <v>12064.260000000007</v>
      </c>
      <c r="BM18" s="137">
        <v>12064.260100000007</v>
      </c>
      <c r="BN18" s="137">
        <v>12064.260100000007</v>
      </c>
      <c r="BO18" s="137">
        <v>12064.260100000007</v>
      </c>
      <c r="BP18" s="137">
        <v>12064.260100000007</v>
      </c>
      <c r="BQ18" s="137">
        <v>12064.260100000007</v>
      </c>
      <c r="BR18" s="137">
        <v>12237.140100000006</v>
      </c>
      <c r="BS18" s="137">
        <v>12237.140100000006</v>
      </c>
      <c r="BT18" s="137">
        <v>12237.140100000006</v>
      </c>
    </row>
    <row r="19" spans="1:72" ht="15" hidden="1" customHeight="1" outlineLevel="1" x14ac:dyDescent="0.3">
      <c r="A19" t="s">
        <v>229</v>
      </c>
      <c r="B19" s="134" t="s">
        <v>230</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v>0</v>
      </c>
      <c r="AM19" s="136">
        <v>0</v>
      </c>
      <c r="AN19" s="136">
        <v>0</v>
      </c>
      <c r="AO19" s="136">
        <v>0</v>
      </c>
      <c r="AP19" s="136">
        <v>0</v>
      </c>
      <c r="AQ19" s="136">
        <v>0</v>
      </c>
      <c r="AR19" s="136">
        <v>0</v>
      </c>
      <c r="AS19" s="136">
        <v>0</v>
      </c>
      <c r="AT19" s="136">
        <v>0</v>
      </c>
      <c r="AU19" s="136">
        <v>0</v>
      </c>
      <c r="AV19" s="136">
        <v>0</v>
      </c>
      <c r="AW19" s="136">
        <v>0</v>
      </c>
      <c r="AX19" s="136">
        <v>19418</v>
      </c>
      <c r="AY19" s="137">
        <v>19418</v>
      </c>
      <c r="AZ19" s="137">
        <v>19418</v>
      </c>
      <c r="BA19" s="137">
        <v>19418</v>
      </c>
      <c r="BB19" s="136">
        <v>19418</v>
      </c>
      <c r="BC19" s="137">
        <v>19418</v>
      </c>
      <c r="BD19" s="136">
        <v>19418</v>
      </c>
      <c r="BE19" s="136">
        <v>19417.839212374143</v>
      </c>
      <c r="BF19" s="137">
        <v>19417.839212374143</v>
      </c>
      <c r="BG19" s="137">
        <v>19417.839212374143</v>
      </c>
      <c r="BH19" s="137">
        <v>19417.839212374143</v>
      </c>
      <c r="BI19" s="137">
        <v>19417.839212374143</v>
      </c>
      <c r="BJ19" s="137">
        <v>19417.839212374143</v>
      </c>
      <c r="BK19" s="137">
        <v>19417.839212374143</v>
      </c>
      <c r="BL19" s="137">
        <v>19417.839212374143</v>
      </c>
      <c r="BM19" s="137">
        <v>19417.839212374143</v>
      </c>
      <c r="BN19" s="137">
        <v>19417.839212374143</v>
      </c>
      <c r="BO19" s="137">
        <v>19417.839212374143</v>
      </c>
      <c r="BP19" s="137">
        <v>19417.839212374143</v>
      </c>
      <c r="BQ19" s="137">
        <v>19417.839212374143</v>
      </c>
      <c r="BR19" s="137">
        <v>19417.839212374143</v>
      </c>
      <c r="BS19" s="137">
        <v>19417.839212374143</v>
      </c>
      <c r="BT19" s="137">
        <v>19417.839212374143</v>
      </c>
    </row>
    <row r="20" spans="1:72" ht="15" customHeight="1" collapsed="1" x14ac:dyDescent="0.3">
      <c r="A20" s="123"/>
      <c r="B20" s="133" t="str">
        <f>IF('Sumário | Summary'!P1=1,"Escritórios Classe A","Class A Offices")</f>
        <v>Escritórios Classe A</v>
      </c>
      <c r="C20" s="138">
        <f t="shared" ref="C20:BN20" si="4">SUM(C21:C28)</f>
        <v>26986.129999999997</v>
      </c>
      <c r="D20" s="138">
        <f t="shared" si="4"/>
        <v>30836.129999999997</v>
      </c>
      <c r="E20" s="138">
        <f t="shared" si="4"/>
        <v>30836.129999999997</v>
      </c>
      <c r="F20" s="138">
        <f t="shared" si="4"/>
        <v>30836.129999999997</v>
      </c>
      <c r="G20" s="138">
        <f t="shared" si="4"/>
        <v>30836.129999999997</v>
      </c>
      <c r="H20" s="138">
        <f t="shared" si="4"/>
        <v>30836.129999999997</v>
      </c>
      <c r="I20" s="138">
        <f t="shared" si="4"/>
        <v>30836.129999999997</v>
      </c>
      <c r="J20" s="138">
        <f t="shared" si="4"/>
        <v>30836.129999999997</v>
      </c>
      <c r="K20" s="138">
        <f t="shared" si="4"/>
        <v>30836.129999999997</v>
      </c>
      <c r="L20" s="138">
        <f t="shared" si="4"/>
        <v>30836.129999999997</v>
      </c>
      <c r="M20" s="138">
        <f t="shared" si="4"/>
        <v>30836.129999999997</v>
      </c>
      <c r="N20" s="138">
        <f t="shared" si="4"/>
        <v>30836.129999999997</v>
      </c>
      <c r="O20" s="138">
        <f t="shared" si="4"/>
        <v>30836.129999999997</v>
      </c>
      <c r="P20" s="138">
        <f t="shared" si="4"/>
        <v>30836.129999999997</v>
      </c>
      <c r="Q20" s="138">
        <f t="shared" si="4"/>
        <v>30836.129999999997</v>
      </c>
      <c r="R20" s="138">
        <f t="shared" si="4"/>
        <v>30836.129999999997</v>
      </c>
      <c r="S20" s="138">
        <f t="shared" si="4"/>
        <v>30836.129999999997</v>
      </c>
      <c r="T20" s="138">
        <f t="shared" si="4"/>
        <v>30836.129999999997</v>
      </c>
      <c r="U20" s="138">
        <f t="shared" si="4"/>
        <v>30836.129999999997</v>
      </c>
      <c r="V20" s="138">
        <f t="shared" si="4"/>
        <v>30836.129999999997</v>
      </c>
      <c r="W20" s="138">
        <f t="shared" si="4"/>
        <v>30836.129999999997</v>
      </c>
      <c r="X20" s="138">
        <f t="shared" si="4"/>
        <v>30836.179999999997</v>
      </c>
      <c r="Y20" s="138">
        <f t="shared" si="4"/>
        <v>30836.179999999997</v>
      </c>
      <c r="Z20" s="138">
        <f t="shared" si="4"/>
        <v>30836.179999999997</v>
      </c>
      <c r="AA20" s="138">
        <f t="shared" si="4"/>
        <v>30836.179999999997</v>
      </c>
      <c r="AB20" s="138">
        <f t="shared" si="4"/>
        <v>30836.179999999997</v>
      </c>
      <c r="AC20" s="138">
        <f t="shared" si="4"/>
        <v>30836.179999999997</v>
      </c>
      <c r="AD20" s="138">
        <f t="shared" si="4"/>
        <v>30836.129999999997</v>
      </c>
      <c r="AE20" s="138">
        <f t="shared" si="4"/>
        <v>30836.129999999997</v>
      </c>
      <c r="AF20" s="138">
        <f t="shared" si="4"/>
        <v>27992.489999999998</v>
      </c>
      <c r="AG20" s="138">
        <f t="shared" si="4"/>
        <v>27992.069999999996</v>
      </c>
      <c r="AH20" s="138">
        <f t="shared" si="4"/>
        <v>27992.069999999996</v>
      </c>
      <c r="AI20" s="138">
        <f t="shared" si="4"/>
        <v>27992.489999999998</v>
      </c>
      <c r="AJ20" s="138">
        <f t="shared" si="4"/>
        <v>27992.489999999998</v>
      </c>
      <c r="AK20" s="138">
        <f t="shared" si="4"/>
        <v>27992.249999999996</v>
      </c>
      <c r="AL20" s="138">
        <f t="shared" si="4"/>
        <v>41931.31</v>
      </c>
      <c r="AM20" s="138">
        <f t="shared" si="4"/>
        <v>41931.49</v>
      </c>
      <c r="AN20" s="138">
        <f t="shared" si="4"/>
        <v>41931.129999999997</v>
      </c>
      <c r="AO20" s="138">
        <f t="shared" si="4"/>
        <v>41931.49</v>
      </c>
      <c r="AP20" s="138">
        <f t="shared" si="4"/>
        <v>41931.49</v>
      </c>
      <c r="AQ20" s="138">
        <f t="shared" si="4"/>
        <v>41931.49</v>
      </c>
      <c r="AR20" s="138">
        <f t="shared" si="4"/>
        <v>41931.49</v>
      </c>
      <c r="AS20" s="138">
        <f t="shared" si="4"/>
        <v>41931.49</v>
      </c>
      <c r="AT20" s="138">
        <f t="shared" si="4"/>
        <v>41931.49</v>
      </c>
      <c r="AU20" s="138">
        <f t="shared" si="4"/>
        <v>69165</v>
      </c>
      <c r="AV20" s="138">
        <f t="shared" si="4"/>
        <v>80747.12999999999</v>
      </c>
      <c r="AW20" s="138">
        <f t="shared" si="4"/>
        <v>80747.12999999999</v>
      </c>
      <c r="AX20" s="138">
        <f t="shared" si="4"/>
        <v>66264.13</v>
      </c>
      <c r="AY20" s="138">
        <f t="shared" si="4"/>
        <v>66264</v>
      </c>
      <c r="AZ20" s="138">
        <f t="shared" si="4"/>
        <v>66264.13</v>
      </c>
      <c r="BA20" s="138">
        <f t="shared" si="4"/>
        <v>66264.13</v>
      </c>
      <c r="BB20" s="138">
        <f t="shared" si="4"/>
        <v>66264.13</v>
      </c>
      <c r="BC20" s="138">
        <f t="shared" si="4"/>
        <v>66264.13</v>
      </c>
      <c r="BD20" s="138">
        <f t="shared" si="4"/>
        <v>66264.13</v>
      </c>
      <c r="BE20" s="138">
        <f t="shared" si="4"/>
        <v>66264.13</v>
      </c>
      <c r="BF20" s="138">
        <f t="shared" si="4"/>
        <v>66264.13</v>
      </c>
      <c r="BG20" s="138">
        <f t="shared" si="4"/>
        <v>66264.13</v>
      </c>
      <c r="BH20" s="138">
        <f t="shared" si="4"/>
        <v>66264.179999999993</v>
      </c>
      <c r="BI20" s="138">
        <f t="shared" si="4"/>
        <v>66264.179999999993</v>
      </c>
      <c r="BJ20" s="138">
        <f t="shared" si="4"/>
        <v>66264.179999999993</v>
      </c>
      <c r="BK20" s="138">
        <f t="shared" si="4"/>
        <v>66264.179999999993</v>
      </c>
      <c r="BL20" s="138">
        <f t="shared" si="4"/>
        <v>66264.179999999993</v>
      </c>
      <c r="BM20" s="138">
        <f t="shared" si="4"/>
        <v>66264.179999999993</v>
      </c>
      <c r="BN20" s="138">
        <f t="shared" si="4"/>
        <v>46740.179999999993</v>
      </c>
      <c r="BO20" s="138">
        <f t="shared" ref="BO20" si="5">SUM(BO21:BO28)</f>
        <v>46740.179999999993</v>
      </c>
      <c r="BP20" s="138">
        <v>46740.179999999993</v>
      </c>
      <c r="BQ20" s="138">
        <v>46740.179999999993</v>
      </c>
      <c r="BR20" s="138">
        <v>47405.91</v>
      </c>
      <c r="BS20" s="138">
        <v>47405.91</v>
      </c>
      <c r="BT20" s="138">
        <f>SUM(BT21:BT28)</f>
        <v>47405.91</v>
      </c>
    </row>
    <row r="21" spans="1:72" ht="15" hidden="1" customHeight="1" outlineLevel="1" x14ac:dyDescent="0.3">
      <c r="A21" t="s">
        <v>231</v>
      </c>
      <c r="B21" s="134" t="s">
        <v>232</v>
      </c>
      <c r="C21" s="135">
        <v>11987.249999999996</v>
      </c>
      <c r="D21" s="135">
        <v>11987.249999999996</v>
      </c>
      <c r="E21" s="135">
        <v>11987.249999999996</v>
      </c>
      <c r="F21" s="135">
        <v>11987.249999999996</v>
      </c>
      <c r="G21" s="135">
        <v>11987.249999999996</v>
      </c>
      <c r="H21" s="135">
        <v>11987.249999999996</v>
      </c>
      <c r="I21" s="135">
        <v>11987.249999999996</v>
      </c>
      <c r="J21" s="135">
        <v>11987.249999999996</v>
      </c>
      <c r="K21" s="135">
        <v>11987.249999999996</v>
      </c>
      <c r="L21" s="135">
        <v>11987.249999999996</v>
      </c>
      <c r="M21" s="135">
        <v>11987.249999999996</v>
      </c>
      <c r="N21" s="135">
        <v>11987.249999999996</v>
      </c>
      <c r="O21" s="135">
        <v>11987.249999999996</v>
      </c>
      <c r="P21" s="135">
        <v>11987.249999999996</v>
      </c>
      <c r="Q21" s="135">
        <v>11987.249999999996</v>
      </c>
      <c r="R21" s="135">
        <v>11987.249999999996</v>
      </c>
      <c r="S21" s="135">
        <v>11987.249999999996</v>
      </c>
      <c r="T21" s="135">
        <v>11987.249999999996</v>
      </c>
      <c r="U21" s="135">
        <v>11987.249999999996</v>
      </c>
      <c r="V21" s="135">
        <v>11987.249999999996</v>
      </c>
      <c r="W21" s="135">
        <v>11987.249999999996</v>
      </c>
      <c r="X21" s="135">
        <v>11987.249999999996</v>
      </c>
      <c r="Y21" s="135">
        <v>11987.249999999996</v>
      </c>
      <c r="Z21" s="135">
        <v>11987.249999999996</v>
      </c>
      <c r="AA21" s="135">
        <v>11987.249999999996</v>
      </c>
      <c r="AB21" s="135">
        <v>11987.249999999996</v>
      </c>
      <c r="AC21" s="135">
        <v>11987.249999999996</v>
      </c>
      <c r="AD21" s="135">
        <v>11987.249999999996</v>
      </c>
      <c r="AE21" s="135">
        <v>11987.249999999996</v>
      </c>
      <c r="AF21" s="135">
        <v>11987.249999999996</v>
      </c>
      <c r="AG21" s="135">
        <v>11987.249999999996</v>
      </c>
      <c r="AH21" s="135">
        <v>11987.249999999996</v>
      </c>
      <c r="AI21" s="135">
        <v>11987.249999999996</v>
      </c>
      <c r="AJ21" s="136">
        <v>11987.249999999996</v>
      </c>
      <c r="AK21" s="136">
        <v>11987.249999999996</v>
      </c>
      <c r="AL21" s="136">
        <v>11987.249999999996</v>
      </c>
      <c r="AM21" s="136">
        <v>11987.249999999996</v>
      </c>
      <c r="AN21" s="136">
        <v>11987.249999999996</v>
      </c>
      <c r="AO21" s="136">
        <v>11987.249999999996</v>
      </c>
      <c r="AP21" s="136">
        <v>11987.249999999996</v>
      </c>
      <c r="AQ21" s="136">
        <v>11987.249999999996</v>
      </c>
      <c r="AR21" s="136">
        <v>11987.249999999996</v>
      </c>
      <c r="AS21" s="136">
        <v>11987.249999999996</v>
      </c>
      <c r="AT21" s="136">
        <v>11987.249999999996</v>
      </c>
      <c r="AU21" s="137">
        <v>11987</v>
      </c>
      <c r="AV21" s="136">
        <v>11987.249999999996</v>
      </c>
      <c r="AW21" s="136">
        <v>11987.249999999996</v>
      </c>
      <c r="AX21" s="136">
        <v>11987.249999999996</v>
      </c>
      <c r="AY21" s="137">
        <v>11987</v>
      </c>
      <c r="AZ21" s="136">
        <v>11987.249999999996</v>
      </c>
      <c r="BA21" s="136">
        <v>11987.249999999996</v>
      </c>
      <c r="BB21" s="136">
        <v>11987.249999999996</v>
      </c>
      <c r="BC21" s="136">
        <v>11987.249999999996</v>
      </c>
      <c r="BD21" s="136">
        <v>11987.249999999996</v>
      </c>
      <c r="BE21" s="136">
        <v>11987.249999999996</v>
      </c>
      <c r="BF21" s="137">
        <v>11987.249999999996</v>
      </c>
      <c r="BG21" s="137">
        <v>11987.249999999996</v>
      </c>
      <c r="BH21" s="137">
        <v>11987.249999999996</v>
      </c>
      <c r="BI21" s="137">
        <v>11987.249999999996</v>
      </c>
      <c r="BJ21" s="137">
        <v>11987.249999999996</v>
      </c>
      <c r="BK21" s="137">
        <v>11987.249999999996</v>
      </c>
      <c r="BL21" s="137">
        <v>11987.249999999996</v>
      </c>
      <c r="BM21" s="137">
        <v>11987.249999999996</v>
      </c>
      <c r="BN21" s="137">
        <v>11987.249999999996</v>
      </c>
      <c r="BO21" s="137">
        <v>11987.249999999996</v>
      </c>
      <c r="BP21" s="137">
        <v>11987.249999999996</v>
      </c>
      <c r="BQ21" s="137">
        <v>11987.249999999996</v>
      </c>
      <c r="BR21" s="137">
        <v>11987.249999999996</v>
      </c>
      <c r="BS21" s="137">
        <v>11987.249999999996</v>
      </c>
      <c r="BT21" s="137">
        <v>11987.249999999996</v>
      </c>
    </row>
    <row r="22" spans="1:72" ht="15" hidden="1" customHeight="1" outlineLevel="1" x14ac:dyDescent="0.3">
      <c r="A22" t="s">
        <v>233</v>
      </c>
      <c r="B22" s="134" t="s">
        <v>234</v>
      </c>
      <c r="C22" s="135">
        <v>8385.82</v>
      </c>
      <c r="D22" s="135">
        <v>8385.82</v>
      </c>
      <c r="E22" s="135">
        <v>8385.82</v>
      </c>
      <c r="F22" s="135">
        <v>8385.82</v>
      </c>
      <c r="G22" s="135">
        <v>8385.82</v>
      </c>
      <c r="H22" s="135">
        <v>8385.82</v>
      </c>
      <c r="I22" s="135">
        <v>8385.82</v>
      </c>
      <c r="J22" s="135">
        <v>8385.82</v>
      </c>
      <c r="K22" s="135">
        <v>8385.82</v>
      </c>
      <c r="L22" s="135">
        <v>8385.82</v>
      </c>
      <c r="M22" s="135">
        <v>8385.82</v>
      </c>
      <c r="N22" s="135">
        <v>8385.82</v>
      </c>
      <c r="O22" s="135">
        <v>8385.82</v>
      </c>
      <c r="P22" s="135">
        <v>8385.82</v>
      </c>
      <c r="Q22" s="135">
        <v>8385.82</v>
      </c>
      <c r="R22" s="135">
        <v>8385.82</v>
      </c>
      <c r="S22" s="135">
        <v>8385.82</v>
      </c>
      <c r="T22" s="135">
        <v>8385.82</v>
      </c>
      <c r="U22" s="135">
        <v>8385.82</v>
      </c>
      <c r="V22" s="135">
        <v>8385.82</v>
      </c>
      <c r="W22" s="135">
        <v>8385.82</v>
      </c>
      <c r="X22" s="135">
        <v>8385.82</v>
      </c>
      <c r="Y22" s="135">
        <v>8385.82</v>
      </c>
      <c r="Z22" s="135">
        <v>8385.82</v>
      </c>
      <c r="AA22" s="135">
        <v>8385.82</v>
      </c>
      <c r="AB22" s="135">
        <v>8385.82</v>
      </c>
      <c r="AC22" s="135">
        <v>8385.82</v>
      </c>
      <c r="AD22" s="135">
        <v>8385.82</v>
      </c>
      <c r="AE22" s="135">
        <v>8385.82</v>
      </c>
      <c r="AF22" s="135">
        <v>8385.82</v>
      </c>
      <c r="AG22" s="135">
        <v>8385.82</v>
      </c>
      <c r="AH22" s="135">
        <v>8385.82</v>
      </c>
      <c r="AI22" s="135">
        <v>8385.82</v>
      </c>
      <c r="AJ22" s="136">
        <v>8385.82</v>
      </c>
      <c r="AK22" s="136">
        <v>8386</v>
      </c>
      <c r="AL22" s="136">
        <v>8386</v>
      </c>
      <c r="AM22" s="136">
        <v>8385.82</v>
      </c>
      <c r="AN22" s="136">
        <v>8385.82</v>
      </c>
      <c r="AO22" s="136">
        <v>8385.82</v>
      </c>
      <c r="AP22" s="136">
        <v>8385.82</v>
      </c>
      <c r="AQ22" s="136">
        <v>8385.82</v>
      </c>
      <c r="AR22" s="136">
        <v>8385.82</v>
      </c>
      <c r="AS22" s="136">
        <v>8385.82</v>
      </c>
      <c r="AT22" s="136">
        <v>8385.82</v>
      </c>
      <c r="AU22" s="137">
        <v>8386</v>
      </c>
      <c r="AV22" s="136">
        <v>8385.82</v>
      </c>
      <c r="AW22" s="136">
        <v>8385.82</v>
      </c>
      <c r="AX22" s="136">
        <v>8385.82</v>
      </c>
      <c r="AY22" s="137">
        <v>8386</v>
      </c>
      <c r="AZ22" s="136">
        <v>8385.82</v>
      </c>
      <c r="BA22" s="136">
        <v>8385.82</v>
      </c>
      <c r="BB22" s="136">
        <v>8385.82</v>
      </c>
      <c r="BC22" s="136">
        <v>8385.82</v>
      </c>
      <c r="BD22" s="136">
        <v>8385.82</v>
      </c>
      <c r="BE22" s="136">
        <v>8385.82</v>
      </c>
      <c r="BF22" s="137">
        <v>8385.82</v>
      </c>
      <c r="BG22" s="137">
        <v>8385.82</v>
      </c>
      <c r="BH22" s="137">
        <v>8385.82</v>
      </c>
      <c r="BI22" s="137">
        <v>8385.82</v>
      </c>
      <c r="BJ22" s="137">
        <v>8385.82</v>
      </c>
      <c r="BK22" s="137">
        <v>8385.82</v>
      </c>
      <c r="BL22" s="137">
        <v>8385.82</v>
      </c>
      <c r="BM22" s="137">
        <v>8385.82</v>
      </c>
      <c r="BN22" s="137">
        <v>8385.82</v>
      </c>
      <c r="BO22" s="137">
        <v>8385.82</v>
      </c>
      <c r="BP22" s="137">
        <v>8385.82</v>
      </c>
      <c r="BQ22" s="137">
        <v>8385.82</v>
      </c>
      <c r="BR22" s="137">
        <v>8385.82</v>
      </c>
      <c r="BS22" s="137">
        <v>8385.82</v>
      </c>
      <c r="BT22" s="137">
        <v>8385.82</v>
      </c>
    </row>
    <row r="23" spans="1:72" ht="15" hidden="1" customHeight="1" outlineLevel="1" x14ac:dyDescent="0.3">
      <c r="A23" t="s">
        <v>73</v>
      </c>
      <c r="B23" s="134" t="s">
        <v>235</v>
      </c>
      <c r="C23" s="135">
        <v>2923</v>
      </c>
      <c r="D23" s="135">
        <v>2923</v>
      </c>
      <c r="E23" s="135">
        <v>2923</v>
      </c>
      <c r="F23" s="135">
        <v>2923</v>
      </c>
      <c r="G23" s="135">
        <v>2923</v>
      </c>
      <c r="H23" s="135">
        <v>2923</v>
      </c>
      <c r="I23" s="135">
        <v>2923</v>
      </c>
      <c r="J23" s="135">
        <v>2923</v>
      </c>
      <c r="K23" s="135">
        <v>2923</v>
      </c>
      <c r="L23" s="135">
        <v>2923</v>
      </c>
      <c r="M23" s="135">
        <v>2923</v>
      </c>
      <c r="N23" s="135">
        <v>2923</v>
      </c>
      <c r="O23" s="135">
        <v>2923</v>
      </c>
      <c r="P23" s="135">
        <v>2923</v>
      </c>
      <c r="Q23" s="135">
        <v>2923</v>
      </c>
      <c r="R23" s="135">
        <v>2923</v>
      </c>
      <c r="S23" s="135">
        <v>2923</v>
      </c>
      <c r="T23" s="135">
        <v>2923</v>
      </c>
      <c r="U23" s="135">
        <v>2923</v>
      </c>
      <c r="V23" s="135">
        <v>2923</v>
      </c>
      <c r="W23" s="135">
        <v>2923</v>
      </c>
      <c r="X23" s="135">
        <v>2923</v>
      </c>
      <c r="Y23" s="135">
        <v>2923</v>
      </c>
      <c r="Z23" s="135">
        <v>2923</v>
      </c>
      <c r="AA23" s="135">
        <v>2923</v>
      </c>
      <c r="AB23" s="135">
        <v>2923</v>
      </c>
      <c r="AC23" s="135">
        <v>2923</v>
      </c>
      <c r="AD23" s="135">
        <v>2923</v>
      </c>
      <c r="AE23" s="135">
        <v>2923</v>
      </c>
      <c r="AF23" s="135">
        <v>2923.36</v>
      </c>
      <c r="AG23" s="135">
        <v>2923</v>
      </c>
      <c r="AH23" s="135">
        <v>2923</v>
      </c>
      <c r="AI23" s="135">
        <v>2923.36</v>
      </c>
      <c r="AJ23" s="136">
        <v>2923.36</v>
      </c>
      <c r="AK23" s="136">
        <v>2923</v>
      </c>
      <c r="AL23" s="136">
        <v>2923</v>
      </c>
      <c r="AM23" s="136">
        <v>2923.36</v>
      </c>
      <c r="AN23" s="136">
        <v>2923</v>
      </c>
      <c r="AO23" s="136">
        <v>2923.36</v>
      </c>
      <c r="AP23" s="136">
        <v>2923.36</v>
      </c>
      <c r="AQ23" s="136">
        <v>2923.36</v>
      </c>
      <c r="AR23" s="136">
        <v>2923.36</v>
      </c>
      <c r="AS23" s="136">
        <v>2923.36</v>
      </c>
      <c r="AT23" s="136">
        <v>2923.36</v>
      </c>
      <c r="AU23" s="137">
        <v>14483</v>
      </c>
      <c r="AV23" s="137">
        <v>14483</v>
      </c>
      <c r="AW23" s="137">
        <v>14483</v>
      </c>
      <c r="AX23" s="136">
        <v>0</v>
      </c>
      <c r="AY23" s="137">
        <v>0</v>
      </c>
      <c r="AZ23" s="136">
        <v>0</v>
      </c>
      <c r="BA23" s="136">
        <v>0</v>
      </c>
      <c r="BB23" s="136">
        <v>0</v>
      </c>
      <c r="BC23" s="136">
        <v>0</v>
      </c>
      <c r="BD23" s="136">
        <v>0</v>
      </c>
      <c r="BE23" s="136">
        <v>0</v>
      </c>
      <c r="BF23" s="137">
        <v>0</v>
      </c>
      <c r="BG23" s="137">
        <v>0</v>
      </c>
      <c r="BH23" s="137">
        <v>0</v>
      </c>
      <c r="BI23" s="137">
        <v>0</v>
      </c>
      <c r="BJ23" s="137">
        <v>0</v>
      </c>
      <c r="BK23" s="137">
        <v>0</v>
      </c>
      <c r="BL23" s="137">
        <v>0</v>
      </c>
      <c r="BM23" s="137">
        <v>0</v>
      </c>
      <c r="BN23" s="137">
        <v>0</v>
      </c>
      <c r="BO23" s="137">
        <v>0</v>
      </c>
      <c r="BP23" s="137">
        <v>0</v>
      </c>
      <c r="BQ23" s="137">
        <v>0</v>
      </c>
      <c r="BR23" s="137">
        <v>0</v>
      </c>
      <c r="BS23" s="137">
        <v>0</v>
      </c>
      <c r="BT23" s="137">
        <v>0</v>
      </c>
    </row>
    <row r="24" spans="1:72" ht="15" hidden="1" customHeight="1" outlineLevel="1" x14ac:dyDescent="0.3">
      <c r="A24" t="s">
        <v>236</v>
      </c>
      <c r="B24" s="134" t="s">
        <v>237</v>
      </c>
      <c r="C24" s="135">
        <v>0</v>
      </c>
      <c r="D24" s="135">
        <v>0</v>
      </c>
      <c r="E24" s="135">
        <v>0</v>
      </c>
      <c r="F24" s="135">
        <v>0</v>
      </c>
      <c r="G24" s="135">
        <v>0</v>
      </c>
      <c r="H24" s="135">
        <v>0</v>
      </c>
      <c r="I24" s="135">
        <v>0</v>
      </c>
      <c r="J24" s="135">
        <v>0</v>
      </c>
      <c r="K24" s="135">
        <v>0</v>
      </c>
      <c r="L24" s="135">
        <v>0</v>
      </c>
      <c r="M24" s="135">
        <v>0</v>
      </c>
      <c r="N24" s="135">
        <v>0</v>
      </c>
      <c r="O24" s="135">
        <v>0</v>
      </c>
      <c r="P24" s="135">
        <v>0</v>
      </c>
      <c r="Q24" s="135">
        <v>0</v>
      </c>
      <c r="R24" s="135">
        <v>0</v>
      </c>
      <c r="S24" s="135">
        <v>0</v>
      </c>
      <c r="T24" s="135">
        <v>0</v>
      </c>
      <c r="U24" s="135">
        <v>0</v>
      </c>
      <c r="V24" s="135">
        <v>0</v>
      </c>
      <c r="W24" s="135">
        <v>0</v>
      </c>
      <c r="X24" s="135">
        <v>0</v>
      </c>
      <c r="Y24" s="135">
        <v>0</v>
      </c>
      <c r="Z24" s="135">
        <v>0</v>
      </c>
      <c r="AA24" s="135">
        <v>0</v>
      </c>
      <c r="AB24" s="135">
        <v>0</v>
      </c>
      <c r="AC24" s="135">
        <v>0</v>
      </c>
      <c r="AD24" s="135">
        <v>0</v>
      </c>
      <c r="AE24" s="135">
        <v>0</v>
      </c>
      <c r="AF24" s="135">
        <v>0</v>
      </c>
      <c r="AG24" s="135">
        <v>0</v>
      </c>
      <c r="AH24" s="135">
        <v>0</v>
      </c>
      <c r="AI24" s="135">
        <v>0</v>
      </c>
      <c r="AJ24" s="135">
        <v>0</v>
      </c>
      <c r="AK24" s="135">
        <v>0</v>
      </c>
      <c r="AL24" s="136">
        <v>10585.060000000001</v>
      </c>
      <c r="AM24" s="136">
        <v>10585.060000000001</v>
      </c>
      <c r="AN24" s="136">
        <v>10585.060000000001</v>
      </c>
      <c r="AO24" s="136">
        <v>10585.060000000001</v>
      </c>
      <c r="AP24" s="136">
        <v>10585.060000000001</v>
      </c>
      <c r="AQ24" s="136">
        <v>10585.060000000001</v>
      </c>
      <c r="AR24" s="136">
        <v>10585.060000000001</v>
      </c>
      <c r="AS24" s="136">
        <v>10585.060000000001</v>
      </c>
      <c r="AT24" s="136">
        <v>10585.060000000001</v>
      </c>
      <c r="AU24" s="137">
        <v>10585</v>
      </c>
      <c r="AV24" s="136">
        <v>10005.06</v>
      </c>
      <c r="AW24" s="136">
        <v>10005.06</v>
      </c>
      <c r="AX24" s="136">
        <v>10005.06</v>
      </c>
      <c r="AY24" s="137">
        <v>10005</v>
      </c>
      <c r="AZ24" s="136">
        <v>10005.06</v>
      </c>
      <c r="BA24" s="136">
        <v>10005.06</v>
      </c>
      <c r="BB24" s="136">
        <v>10005.06</v>
      </c>
      <c r="BC24" s="136">
        <v>10005.06</v>
      </c>
      <c r="BD24" s="136">
        <v>10005.06</v>
      </c>
      <c r="BE24" s="136">
        <v>10005.06</v>
      </c>
      <c r="BF24" s="137">
        <v>10005.06</v>
      </c>
      <c r="BG24" s="137">
        <v>10005.06</v>
      </c>
      <c r="BH24" s="137">
        <v>10005.06</v>
      </c>
      <c r="BI24" s="137">
        <v>10005.06</v>
      </c>
      <c r="BJ24" s="137">
        <v>10005.06</v>
      </c>
      <c r="BK24" s="137">
        <v>10005.06</v>
      </c>
      <c r="BL24" s="137">
        <v>10005.06</v>
      </c>
      <c r="BM24" s="137">
        <v>10005.06</v>
      </c>
      <c r="BN24" s="137">
        <v>10005.06</v>
      </c>
      <c r="BO24" s="137">
        <v>10005.06</v>
      </c>
      <c r="BP24" s="137">
        <v>10005.06</v>
      </c>
      <c r="BQ24" s="137">
        <v>10005.06</v>
      </c>
      <c r="BR24" s="137">
        <v>10005.06</v>
      </c>
      <c r="BS24" s="137">
        <v>10005.06</v>
      </c>
      <c r="BT24" s="137">
        <v>10005.06</v>
      </c>
    </row>
    <row r="25" spans="1:72" ht="15" hidden="1" customHeight="1" outlineLevel="1" x14ac:dyDescent="0.3">
      <c r="A25" t="s">
        <v>238</v>
      </c>
      <c r="B25" s="134" t="s">
        <v>239</v>
      </c>
      <c r="C25" s="135">
        <v>846.06</v>
      </c>
      <c r="D25" s="135">
        <v>846.06</v>
      </c>
      <c r="E25" s="135">
        <v>846.06</v>
      </c>
      <c r="F25" s="135">
        <v>846.06</v>
      </c>
      <c r="G25" s="135">
        <v>846.06</v>
      </c>
      <c r="H25" s="135">
        <v>846.06</v>
      </c>
      <c r="I25" s="135">
        <v>846.06</v>
      </c>
      <c r="J25" s="135">
        <v>846.06</v>
      </c>
      <c r="K25" s="135">
        <v>846.06</v>
      </c>
      <c r="L25" s="135">
        <v>846.06</v>
      </c>
      <c r="M25" s="135">
        <v>846.06</v>
      </c>
      <c r="N25" s="135">
        <v>846.06</v>
      </c>
      <c r="O25" s="135">
        <v>846.06</v>
      </c>
      <c r="P25" s="135">
        <v>846.06</v>
      </c>
      <c r="Q25" s="135">
        <v>846.06</v>
      </c>
      <c r="R25" s="135">
        <v>846.06</v>
      </c>
      <c r="S25" s="135">
        <v>846.06</v>
      </c>
      <c r="T25" s="135">
        <v>846.06</v>
      </c>
      <c r="U25" s="135">
        <v>846.06</v>
      </c>
      <c r="V25" s="135">
        <v>846.06</v>
      </c>
      <c r="W25" s="135">
        <v>846.06</v>
      </c>
      <c r="X25" s="135">
        <v>846.06</v>
      </c>
      <c r="Y25" s="135">
        <v>846.06</v>
      </c>
      <c r="Z25" s="135">
        <v>846.06</v>
      </c>
      <c r="AA25" s="135">
        <v>846.06</v>
      </c>
      <c r="AB25" s="135">
        <v>846.06</v>
      </c>
      <c r="AC25" s="135">
        <v>846.06</v>
      </c>
      <c r="AD25" s="135">
        <v>846.06</v>
      </c>
      <c r="AE25" s="135">
        <v>846.06</v>
      </c>
      <c r="AF25" s="135">
        <v>846.06</v>
      </c>
      <c r="AG25" s="135">
        <v>846</v>
      </c>
      <c r="AH25" s="135">
        <v>846</v>
      </c>
      <c r="AI25" s="135">
        <v>846.06</v>
      </c>
      <c r="AJ25" s="136">
        <v>846.06</v>
      </c>
      <c r="AK25" s="136">
        <v>846</v>
      </c>
      <c r="AL25" s="136">
        <v>4200</v>
      </c>
      <c r="AM25" s="136">
        <v>4200</v>
      </c>
      <c r="AN25" s="136">
        <v>4200</v>
      </c>
      <c r="AO25" s="136">
        <v>4200</v>
      </c>
      <c r="AP25" s="136">
        <v>4200</v>
      </c>
      <c r="AQ25" s="136">
        <v>4200</v>
      </c>
      <c r="AR25" s="136">
        <v>4200</v>
      </c>
      <c r="AS25" s="136">
        <v>4200</v>
      </c>
      <c r="AT25" s="136">
        <v>4200</v>
      </c>
      <c r="AU25" s="137">
        <v>4200</v>
      </c>
      <c r="AV25" s="136">
        <v>4200</v>
      </c>
      <c r="AW25" s="136">
        <v>4200</v>
      </c>
      <c r="AX25" s="136">
        <v>4200</v>
      </c>
      <c r="AY25" s="137">
        <v>4200</v>
      </c>
      <c r="AZ25" s="136">
        <v>4200</v>
      </c>
      <c r="BA25" s="136">
        <v>4200</v>
      </c>
      <c r="BB25" s="136">
        <v>4200</v>
      </c>
      <c r="BC25" s="136">
        <v>4200</v>
      </c>
      <c r="BD25" s="136">
        <v>4200</v>
      </c>
      <c r="BE25" s="136">
        <v>4200</v>
      </c>
      <c r="BF25" s="137">
        <v>4200</v>
      </c>
      <c r="BG25" s="137">
        <v>4200</v>
      </c>
      <c r="BH25" s="137">
        <v>4200</v>
      </c>
      <c r="BI25" s="137">
        <v>4200</v>
      </c>
      <c r="BJ25" s="137">
        <v>4200</v>
      </c>
      <c r="BK25" s="137">
        <v>4200</v>
      </c>
      <c r="BL25" s="137">
        <v>4200</v>
      </c>
      <c r="BM25" s="137">
        <v>4200</v>
      </c>
      <c r="BN25" s="137">
        <v>4200</v>
      </c>
      <c r="BO25" s="137">
        <v>4200</v>
      </c>
      <c r="BP25" s="137">
        <v>4200</v>
      </c>
      <c r="BQ25" s="137">
        <v>4200</v>
      </c>
      <c r="BR25" s="137">
        <v>4865.7299999999996</v>
      </c>
      <c r="BS25" s="137">
        <v>4865.7299999999996</v>
      </c>
      <c r="BT25" s="137">
        <v>4865.7299999999996</v>
      </c>
    </row>
    <row r="26" spans="1:72" ht="15" hidden="1" customHeight="1" outlineLevel="1" x14ac:dyDescent="0.3">
      <c r="A26" t="s">
        <v>240</v>
      </c>
      <c r="B26" s="134" t="s">
        <v>241</v>
      </c>
      <c r="C26" s="135">
        <v>0</v>
      </c>
      <c r="D26" s="135">
        <v>3850</v>
      </c>
      <c r="E26" s="135">
        <v>3850</v>
      </c>
      <c r="F26" s="135">
        <v>3850</v>
      </c>
      <c r="G26" s="135">
        <v>3850</v>
      </c>
      <c r="H26" s="135">
        <v>3850</v>
      </c>
      <c r="I26" s="135">
        <v>3850</v>
      </c>
      <c r="J26" s="135">
        <v>3850</v>
      </c>
      <c r="K26" s="135">
        <v>3850</v>
      </c>
      <c r="L26" s="135">
        <v>3850</v>
      </c>
      <c r="M26" s="135">
        <v>3850</v>
      </c>
      <c r="N26" s="135">
        <v>3850</v>
      </c>
      <c r="O26" s="135">
        <v>3850</v>
      </c>
      <c r="P26" s="135">
        <v>3850</v>
      </c>
      <c r="Q26" s="135">
        <v>3850</v>
      </c>
      <c r="R26" s="135">
        <v>3850</v>
      </c>
      <c r="S26" s="135">
        <v>3850</v>
      </c>
      <c r="T26" s="135">
        <v>3850</v>
      </c>
      <c r="U26" s="135">
        <v>3850</v>
      </c>
      <c r="V26" s="135">
        <v>3850</v>
      </c>
      <c r="W26" s="135">
        <v>3850</v>
      </c>
      <c r="X26" s="135">
        <v>3850</v>
      </c>
      <c r="Y26" s="135">
        <v>3850</v>
      </c>
      <c r="Z26" s="135">
        <v>3850</v>
      </c>
      <c r="AA26" s="135">
        <v>3850</v>
      </c>
      <c r="AB26" s="135">
        <v>3850</v>
      </c>
      <c r="AC26" s="135">
        <v>3850</v>
      </c>
      <c r="AD26" s="135">
        <v>3850</v>
      </c>
      <c r="AE26" s="135">
        <v>3850</v>
      </c>
      <c r="AF26" s="135">
        <v>3850</v>
      </c>
      <c r="AG26" s="135">
        <v>3850</v>
      </c>
      <c r="AH26" s="135">
        <v>3850</v>
      </c>
      <c r="AI26" s="135">
        <v>3850</v>
      </c>
      <c r="AJ26" s="136">
        <v>3850</v>
      </c>
      <c r="AK26" s="136">
        <v>3850</v>
      </c>
      <c r="AL26" s="136">
        <v>3850</v>
      </c>
      <c r="AM26" s="136">
        <v>3850</v>
      </c>
      <c r="AN26" s="136">
        <v>3850</v>
      </c>
      <c r="AO26" s="136">
        <v>3850</v>
      </c>
      <c r="AP26" s="136">
        <v>3850</v>
      </c>
      <c r="AQ26" s="136">
        <v>3850</v>
      </c>
      <c r="AR26" s="136">
        <v>3850</v>
      </c>
      <c r="AS26" s="136">
        <v>3850</v>
      </c>
      <c r="AT26" s="136">
        <v>3850</v>
      </c>
      <c r="AU26" s="137">
        <v>19524</v>
      </c>
      <c r="AV26" s="137">
        <v>19524</v>
      </c>
      <c r="AW26" s="137">
        <v>19524</v>
      </c>
      <c r="AX26" s="137">
        <v>19524</v>
      </c>
      <c r="AY26" s="137">
        <v>19524</v>
      </c>
      <c r="AZ26" s="137">
        <v>19524</v>
      </c>
      <c r="BA26" s="137">
        <v>19524</v>
      </c>
      <c r="BB26" s="136">
        <v>19524</v>
      </c>
      <c r="BC26" s="105">
        <v>19524</v>
      </c>
      <c r="BD26" s="137">
        <v>19524</v>
      </c>
      <c r="BE26" s="137">
        <v>19524</v>
      </c>
      <c r="BF26" s="137">
        <v>19524</v>
      </c>
      <c r="BG26" s="137">
        <v>19524</v>
      </c>
      <c r="BH26" s="137">
        <v>19524</v>
      </c>
      <c r="BI26" s="137">
        <v>19524</v>
      </c>
      <c r="BJ26" s="137">
        <v>19524</v>
      </c>
      <c r="BK26" s="137">
        <v>19524</v>
      </c>
      <c r="BL26" s="137">
        <v>19524</v>
      </c>
      <c r="BM26" s="137">
        <v>19524</v>
      </c>
      <c r="BN26" s="137" t="s">
        <v>242</v>
      </c>
      <c r="BO26" s="137">
        <v>0</v>
      </c>
      <c r="BP26" s="137">
        <v>0</v>
      </c>
      <c r="BQ26" s="137">
        <v>0</v>
      </c>
      <c r="BR26" s="137">
        <v>0</v>
      </c>
      <c r="BS26" s="137">
        <v>0</v>
      </c>
      <c r="BT26" s="137">
        <v>0</v>
      </c>
    </row>
    <row r="27" spans="1:72" ht="15" hidden="1" customHeight="1" outlineLevel="1" x14ac:dyDescent="0.3">
      <c r="A27" t="s">
        <v>73</v>
      </c>
      <c r="B27" s="134" t="s">
        <v>243</v>
      </c>
      <c r="C27" s="136">
        <v>2844</v>
      </c>
      <c r="D27" s="136">
        <v>2844</v>
      </c>
      <c r="E27" s="136">
        <v>2844</v>
      </c>
      <c r="F27" s="136">
        <v>2844</v>
      </c>
      <c r="G27" s="136">
        <v>2844</v>
      </c>
      <c r="H27" s="136">
        <v>2844</v>
      </c>
      <c r="I27" s="136">
        <v>2844</v>
      </c>
      <c r="J27" s="136">
        <v>2844</v>
      </c>
      <c r="K27" s="136">
        <v>2844</v>
      </c>
      <c r="L27" s="136">
        <v>2844</v>
      </c>
      <c r="M27" s="136">
        <v>2844</v>
      </c>
      <c r="N27" s="136">
        <v>2844</v>
      </c>
      <c r="O27" s="136">
        <v>2844</v>
      </c>
      <c r="P27" s="136">
        <v>2844</v>
      </c>
      <c r="Q27" s="136">
        <v>2844</v>
      </c>
      <c r="R27" s="136">
        <v>2844</v>
      </c>
      <c r="S27" s="136">
        <v>2844</v>
      </c>
      <c r="T27" s="136">
        <v>2844</v>
      </c>
      <c r="U27" s="136">
        <v>2844</v>
      </c>
      <c r="V27" s="136">
        <v>2844</v>
      </c>
      <c r="W27" s="136">
        <v>2844</v>
      </c>
      <c r="X27" s="136">
        <v>2844.05</v>
      </c>
      <c r="Y27" s="136">
        <v>2844.05</v>
      </c>
      <c r="Z27" s="136">
        <v>2844.05</v>
      </c>
      <c r="AA27" s="136">
        <v>2844.05</v>
      </c>
      <c r="AB27" s="136">
        <v>2844.05</v>
      </c>
      <c r="AC27" s="136">
        <v>2844.05</v>
      </c>
      <c r="AD27" s="136">
        <v>2844</v>
      </c>
      <c r="AE27" s="136">
        <v>2844</v>
      </c>
      <c r="AF27" s="136">
        <v>0</v>
      </c>
      <c r="AG27" s="136">
        <v>0</v>
      </c>
      <c r="AH27" s="136">
        <v>0</v>
      </c>
      <c r="AI27" s="136">
        <v>0</v>
      </c>
      <c r="AJ27" s="136">
        <v>0</v>
      </c>
      <c r="AK27" s="136">
        <v>0</v>
      </c>
      <c r="AL27" s="136">
        <v>0</v>
      </c>
      <c r="AM27" s="136">
        <v>0</v>
      </c>
      <c r="AN27" s="136">
        <v>0</v>
      </c>
      <c r="AO27" s="136">
        <v>0</v>
      </c>
      <c r="AP27" s="136">
        <v>0</v>
      </c>
      <c r="AQ27" s="136">
        <v>0</v>
      </c>
      <c r="AR27" s="136">
        <v>0</v>
      </c>
      <c r="AS27" s="136">
        <v>0</v>
      </c>
      <c r="AT27" s="136">
        <v>0</v>
      </c>
      <c r="AU27" s="137">
        <v>0</v>
      </c>
      <c r="AV27" s="136">
        <v>0</v>
      </c>
      <c r="AW27" s="136">
        <v>0</v>
      </c>
      <c r="AX27" s="136">
        <v>0</v>
      </c>
      <c r="AY27" s="137">
        <v>0</v>
      </c>
      <c r="AZ27" s="136">
        <v>0</v>
      </c>
      <c r="BA27" s="136">
        <v>0</v>
      </c>
      <c r="BB27" s="136">
        <v>0</v>
      </c>
      <c r="BC27" s="136">
        <v>0</v>
      </c>
      <c r="BD27" s="136">
        <v>0</v>
      </c>
      <c r="BE27" s="136">
        <v>0</v>
      </c>
      <c r="BF27" s="137">
        <v>0</v>
      </c>
      <c r="BG27" s="137">
        <v>0</v>
      </c>
      <c r="BH27" s="137">
        <v>0</v>
      </c>
      <c r="BI27" s="137">
        <v>0</v>
      </c>
      <c r="BJ27" s="137">
        <v>0</v>
      </c>
      <c r="BK27" s="137">
        <v>0</v>
      </c>
      <c r="BL27" s="137">
        <v>0</v>
      </c>
      <c r="BM27" s="137">
        <v>0</v>
      </c>
      <c r="BN27" s="137">
        <v>0</v>
      </c>
      <c r="BO27" s="137">
        <v>0</v>
      </c>
      <c r="BP27" s="137">
        <v>0</v>
      </c>
      <c r="BQ27" s="137">
        <v>0</v>
      </c>
      <c r="BR27" s="137">
        <v>0</v>
      </c>
      <c r="BS27" s="137">
        <v>0</v>
      </c>
      <c r="BT27" s="137">
        <v>0</v>
      </c>
    </row>
    <row r="28" spans="1:72" ht="15" hidden="1" customHeight="1" outlineLevel="1" x14ac:dyDescent="0.3">
      <c r="A28" t="s">
        <v>244</v>
      </c>
      <c r="B28" s="134" t="s">
        <v>245</v>
      </c>
      <c r="C28" s="139" t="s">
        <v>73</v>
      </c>
      <c r="D28" s="139" t="s">
        <v>73</v>
      </c>
      <c r="E28" s="139" t="s">
        <v>73</v>
      </c>
      <c r="F28" s="139" t="s">
        <v>73</v>
      </c>
      <c r="G28" s="139" t="s">
        <v>73</v>
      </c>
      <c r="H28" s="139" t="s">
        <v>73</v>
      </c>
      <c r="I28" s="139" t="s">
        <v>73</v>
      </c>
      <c r="J28" s="139" t="s">
        <v>73</v>
      </c>
      <c r="K28" s="139" t="s">
        <v>73</v>
      </c>
      <c r="L28" s="139" t="s">
        <v>73</v>
      </c>
      <c r="M28" s="139" t="s">
        <v>73</v>
      </c>
      <c r="N28" s="139" t="s">
        <v>73</v>
      </c>
      <c r="O28" s="139" t="s">
        <v>73</v>
      </c>
      <c r="P28" s="139" t="s">
        <v>73</v>
      </c>
      <c r="Q28" s="139" t="s">
        <v>73</v>
      </c>
      <c r="R28" s="139" t="s">
        <v>73</v>
      </c>
      <c r="S28" s="139" t="s">
        <v>73</v>
      </c>
      <c r="T28" s="139" t="s">
        <v>73</v>
      </c>
      <c r="U28" s="139" t="s">
        <v>73</v>
      </c>
      <c r="V28" s="139" t="s">
        <v>73</v>
      </c>
      <c r="W28" s="139" t="s">
        <v>73</v>
      </c>
      <c r="X28" s="139" t="s">
        <v>73</v>
      </c>
      <c r="Y28" s="139" t="s">
        <v>73</v>
      </c>
      <c r="Z28" s="139" t="s">
        <v>73</v>
      </c>
      <c r="AA28" s="139" t="s">
        <v>73</v>
      </c>
      <c r="AB28" s="139" t="s">
        <v>73</v>
      </c>
      <c r="AC28" s="139" t="s">
        <v>73</v>
      </c>
      <c r="AD28" s="139" t="s">
        <v>73</v>
      </c>
      <c r="AE28" s="139" t="s">
        <v>73</v>
      </c>
      <c r="AF28" s="139" t="s">
        <v>73</v>
      </c>
      <c r="AG28" s="139" t="s">
        <v>73</v>
      </c>
      <c r="AH28" s="139" t="s">
        <v>73</v>
      </c>
      <c r="AI28" s="139" t="s">
        <v>73</v>
      </c>
      <c r="AJ28" s="139" t="s">
        <v>73</v>
      </c>
      <c r="AK28" s="139" t="s">
        <v>73</v>
      </c>
      <c r="AL28" s="135" t="s">
        <v>73</v>
      </c>
      <c r="AM28" s="135" t="s">
        <v>73</v>
      </c>
      <c r="AN28" s="135" t="s">
        <v>73</v>
      </c>
      <c r="AO28" s="135" t="s">
        <v>73</v>
      </c>
      <c r="AP28" s="135" t="s">
        <v>73</v>
      </c>
      <c r="AQ28" s="135" t="s">
        <v>73</v>
      </c>
      <c r="AR28" s="135" t="s">
        <v>73</v>
      </c>
      <c r="AS28" s="135" t="s">
        <v>73</v>
      </c>
      <c r="AT28" s="135" t="s">
        <v>73</v>
      </c>
      <c r="AU28" s="137">
        <v>0</v>
      </c>
      <c r="AV28" s="136">
        <v>12162</v>
      </c>
      <c r="AW28" s="136">
        <v>12162</v>
      </c>
      <c r="AX28" s="136">
        <v>12162</v>
      </c>
      <c r="AY28" s="137">
        <v>12162</v>
      </c>
      <c r="AZ28" s="136">
        <v>12162</v>
      </c>
      <c r="BA28" s="136">
        <v>12162</v>
      </c>
      <c r="BB28" s="136">
        <v>12162</v>
      </c>
      <c r="BC28" s="136">
        <v>12162</v>
      </c>
      <c r="BD28" s="136">
        <v>12162</v>
      </c>
      <c r="BE28" s="136">
        <v>12162</v>
      </c>
      <c r="BF28" s="137">
        <v>12162</v>
      </c>
      <c r="BG28" s="137">
        <v>12162</v>
      </c>
      <c r="BH28" s="137">
        <v>12162.05</v>
      </c>
      <c r="BI28" s="137">
        <v>12162.05</v>
      </c>
      <c r="BJ28" s="137">
        <v>12162.05</v>
      </c>
      <c r="BK28" s="137">
        <v>12162.05</v>
      </c>
      <c r="BL28" s="137">
        <v>12162.05</v>
      </c>
      <c r="BM28" s="137">
        <v>12162.05</v>
      </c>
      <c r="BN28" s="137">
        <v>12162.05</v>
      </c>
      <c r="BO28" s="137">
        <v>12162.05</v>
      </c>
      <c r="BP28" s="137">
        <v>12162.05</v>
      </c>
      <c r="BQ28" s="137">
        <v>12162.05</v>
      </c>
      <c r="BR28" s="137">
        <v>12162.05</v>
      </c>
      <c r="BS28" s="137">
        <v>12162.05</v>
      </c>
      <c r="BT28" s="137">
        <v>12162.05</v>
      </c>
    </row>
    <row r="29" spans="1:72" s="131" customFormat="1" ht="15" customHeight="1" collapsed="1" x14ac:dyDescent="0.3">
      <c r="B29" s="140" t="s">
        <v>246</v>
      </c>
      <c r="C29" s="132">
        <f t="shared" ref="C29:BN29" si="6">SUM(C30:C37)</f>
        <v>64416</v>
      </c>
      <c r="D29" s="132">
        <f t="shared" si="6"/>
        <v>64416</v>
      </c>
      <c r="E29" s="132">
        <f t="shared" si="6"/>
        <v>64416</v>
      </c>
      <c r="F29" s="132">
        <f t="shared" si="6"/>
        <v>64416</v>
      </c>
      <c r="G29" s="132">
        <f t="shared" si="6"/>
        <v>64416</v>
      </c>
      <c r="H29" s="132">
        <f t="shared" si="6"/>
        <v>64416</v>
      </c>
      <c r="I29" s="132">
        <f t="shared" si="6"/>
        <v>64713</v>
      </c>
      <c r="J29" s="132">
        <f t="shared" si="6"/>
        <v>68400</v>
      </c>
      <c r="K29" s="132">
        <f t="shared" si="6"/>
        <v>68400</v>
      </c>
      <c r="L29" s="132">
        <f t="shared" si="6"/>
        <v>68400</v>
      </c>
      <c r="M29" s="132">
        <f t="shared" si="6"/>
        <v>69247</v>
      </c>
      <c r="N29" s="132">
        <f t="shared" si="6"/>
        <v>69247</v>
      </c>
      <c r="O29" s="132">
        <f t="shared" si="6"/>
        <v>69247</v>
      </c>
      <c r="P29" s="132">
        <f t="shared" si="6"/>
        <v>69247</v>
      </c>
      <c r="Q29" s="132">
        <f t="shared" si="6"/>
        <v>69247</v>
      </c>
      <c r="R29" s="132">
        <f t="shared" si="6"/>
        <v>69247</v>
      </c>
      <c r="S29" s="132">
        <f t="shared" si="6"/>
        <v>69247</v>
      </c>
      <c r="T29" s="132">
        <f t="shared" si="6"/>
        <v>69247</v>
      </c>
      <c r="U29" s="132">
        <f t="shared" si="6"/>
        <v>69247</v>
      </c>
      <c r="V29" s="132">
        <f t="shared" si="6"/>
        <v>83781</v>
      </c>
      <c r="W29" s="132">
        <f t="shared" si="6"/>
        <v>83781</v>
      </c>
      <c r="X29" s="132">
        <f t="shared" si="6"/>
        <v>79269</v>
      </c>
      <c r="Y29" s="132">
        <f t="shared" si="6"/>
        <v>79268.830300000001</v>
      </c>
      <c r="Z29" s="132">
        <f t="shared" si="6"/>
        <v>158603.8303</v>
      </c>
      <c r="AA29" s="132">
        <f t="shared" si="6"/>
        <v>158603.8303</v>
      </c>
      <c r="AB29" s="132">
        <f t="shared" si="6"/>
        <v>158603.8303</v>
      </c>
      <c r="AC29" s="132">
        <f t="shared" si="6"/>
        <v>159588.23484346195</v>
      </c>
      <c r="AD29" s="132">
        <f t="shared" si="6"/>
        <v>159586.74381208274</v>
      </c>
      <c r="AE29" s="132">
        <f t="shared" si="6"/>
        <v>159586.74381208274</v>
      </c>
      <c r="AF29" s="132">
        <f t="shared" si="6"/>
        <v>177454.95575104476</v>
      </c>
      <c r="AG29" s="132">
        <f t="shared" si="6"/>
        <v>177454.95575104476</v>
      </c>
      <c r="AH29" s="132">
        <f t="shared" si="6"/>
        <v>176360.76575104479</v>
      </c>
      <c r="AI29" s="132">
        <f t="shared" si="6"/>
        <v>176347.34534031298</v>
      </c>
      <c r="AJ29" s="132">
        <f t="shared" si="6"/>
        <v>222470.76293107815</v>
      </c>
      <c r="AK29" s="132">
        <f t="shared" si="6"/>
        <v>222411.36427490512</v>
      </c>
      <c r="AL29" s="132">
        <f t="shared" si="6"/>
        <v>287911.97907705465</v>
      </c>
      <c r="AM29" s="132">
        <f t="shared" si="6"/>
        <v>287912.82793171133</v>
      </c>
      <c r="AN29" s="132">
        <f t="shared" si="6"/>
        <v>287458.45999999996</v>
      </c>
      <c r="AO29" s="132">
        <f t="shared" si="6"/>
        <v>286905.89</v>
      </c>
      <c r="AP29" s="132">
        <f t="shared" si="6"/>
        <v>288456.86</v>
      </c>
      <c r="AQ29" s="132">
        <f t="shared" si="6"/>
        <v>259736.75</v>
      </c>
      <c r="AR29" s="132">
        <f t="shared" si="6"/>
        <v>261687.93999999994</v>
      </c>
      <c r="AS29" s="132">
        <f t="shared" si="6"/>
        <v>261418.69</v>
      </c>
      <c r="AT29" s="132">
        <f t="shared" si="6"/>
        <v>261534.68</v>
      </c>
      <c r="AU29" s="132">
        <f t="shared" si="6"/>
        <v>260951.87</v>
      </c>
      <c r="AV29" s="132">
        <f t="shared" si="6"/>
        <v>261291.14666666664</v>
      </c>
      <c r="AW29" s="132">
        <f t="shared" si="6"/>
        <v>262140.15666666665</v>
      </c>
      <c r="AX29" s="132">
        <f t="shared" si="6"/>
        <v>262233.6166666667</v>
      </c>
      <c r="AY29" s="132">
        <f t="shared" si="6"/>
        <v>262279.42333333334</v>
      </c>
      <c r="AZ29" s="132">
        <f t="shared" si="6"/>
        <v>262295</v>
      </c>
      <c r="BA29" s="132">
        <f t="shared" si="6"/>
        <v>262324.44</v>
      </c>
      <c r="BB29" s="132">
        <f t="shared" si="6"/>
        <v>262570.36333333328</v>
      </c>
      <c r="BC29" s="132">
        <f t="shared" si="6"/>
        <v>262384.69</v>
      </c>
      <c r="BD29" s="132">
        <f t="shared" si="6"/>
        <v>262370.18</v>
      </c>
      <c r="BE29" s="132">
        <f t="shared" si="6"/>
        <v>261850.81</v>
      </c>
      <c r="BF29" s="132">
        <f t="shared" si="6"/>
        <v>224740.79</v>
      </c>
      <c r="BG29" s="132">
        <f t="shared" si="6"/>
        <v>224862.52666666664</v>
      </c>
      <c r="BH29" s="132">
        <f t="shared" si="6"/>
        <v>224867.9966666667</v>
      </c>
      <c r="BI29" s="132">
        <f t="shared" si="6"/>
        <v>224905.85333333336</v>
      </c>
      <c r="BJ29" s="132">
        <f t="shared" si="6"/>
        <v>224942.25333333333</v>
      </c>
      <c r="BK29" s="132">
        <f t="shared" si="6"/>
        <v>225178.58000000005</v>
      </c>
      <c r="BL29" s="132">
        <f t="shared" si="6"/>
        <v>225334.84000000003</v>
      </c>
      <c r="BM29" s="132">
        <f t="shared" si="6"/>
        <v>225537.98666666669</v>
      </c>
      <c r="BN29" s="132">
        <f t="shared" si="6"/>
        <v>225543.75999999995</v>
      </c>
      <c r="BO29" s="132">
        <f t="shared" ref="BO29" si="7">SUM(BO30:BO37)</f>
        <v>225554.8</v>
      </c>
      <c r="BP29" s="132">
        <v>224576.92000000004</v>
      </c>
      <c r="BQ29" s="132">
        <v>197121.25908115119</v>
      </c>
      <c r="BR29" s="132">
        <v>197788.56333333335</v>
      </c>
      <c r="BS29" s="132">
        <v>197734.45</v>
      </c>
      <c r="BT29" s="132">
        <f>SUM(BT30:BT37)</f>
        <v>197712.61000000004</v>
      </c>
    </row>
    <row r="30" spans="1:72" ht="15" hidden="1" customHeight="1" outlineLevel="1" x14ac:dyDescent="0.3">
      <c r="A30" t="s">
        <v>247</v>
      </c>
      <c r="B30" s="134" t="s">
        <v>248</v>
      </c>
      <c r="C30" s="135">
        <v>4443</v>
      </c>
      <c r="D30" s="135">
        <v>4443</v>
      </c>
      <c r="E30" s="135">
        <v>4443</v>
      </c>
      <c r="F30" s="135">
        <v>4443</v>
      </c>
      <c r="G30" s="135">
        <v>4443</v>
      </c>
      <c r="H30" s="135">
        <v>4443</v>
      </c>
      <c r="I30" s="135">
        <v>4759</v>
      </c>
      <c r="J30" s="135">
        <v>8446</v>
      </c>
      <c r="K30" s="135">
        <v>8446</v>
      </c>
      <c r="L30" s="135">
        <v>8446</v>
      </c>
      <c r="M30" s="135">
        <v>9293</v>
      </c>
      <c r="N30" s="135">
        <v>9293</v>
      </c>
      <c r="O30" s="135">
        <v>9293</v>
      </c>
      <c r="P30" s="135">
        <v>9293</v>
      </c>
      <c r="Q30" s="135">
        <v>9293</v>
      </c>
      <c r="R30" s="135">
        <v>9293</v>
      </c>
      <c r="S30" s="135">
        <v>9293</v>
      </c>
      <c r="T30" s="135">
        <v>9293</v>
      </c>
      <c r="U30" s="135">
        <v>9293</v>
      </c>
      <c r="V30" s="135">
        <v>9293</v>
      </c>
      <c r="W30" s="135">
        <v>9293</v>
      </c>
      <c r="X30" s="135">
        <v>9293</v>
      </c>
      <c r="Y30" s="135">
        <v>9292.8302999999996</v>
      </c>
      <c r="Z30" s="135">
        <v>9292.8302999999996</v>
      </c>
      <c r="AA30" s="135">
        <v>9292.8302999999996</v>
      </c>
      <c r="AB30" s="135">
        <v>9292.8302999999996</v>
      </c>
      <c r="AC30" s="135">
        <v>9294.7257000000009</v>
      </c>
      <c r="AD30" s="135">
        <v>9295</v>
      </c>
      <c r="AE30" s="135">
        <v>9295</v>
      </c>
      <c r="AF30" s="135">
        <v>9294.7699260000009</v>
      </c>
      <c r="AG30" s="135">
        <v>9294.7699260000009</v>
      </c>
      <c r="AH30" s="135">
        <v>9294.7699260000009</v>
      </c>
      <c r="AI30" s="135">
        <v>9294.7193820000011</v>
      </c>
      <c r="AJ30" s="136">
        <v>28763.73</v>
      </c>
      <c r="AK30" s="136">
        <v>28763.73</v>
      </c>
      <c r="AL30" s="136">
        <v>28763.73</v>
      </c>
      <c r="AM30" s="136">
        <v>28763.73</v>
      </c>
      <c r="AN30" s="136">
        <v>28221.689999999995</v>
      </c>
      <c r="AO30" s="136">
        <v>28221.689999999995</v>
      </c>
      <c r="AP30" s="136">
        <v>28221.689999999995</v>
      </c>
      <c r="AQ30" s="136">
        <v>28221.69</v>
      </c>
      <c r="AR30" s="136">
        <v>29043.879999999997</v>
      </c>
      <c r="AS30" s="136">
        <v>28763.73</v>
      </c>
      <c r="AT30" s="136">
        <v>28763.73</v>
      </c>
      <c r="AU30" s="136">
        <v>28763.73</v>
      </c>
      <c r="AV30" s="136">
        <v>28965.396666666667</v>
      </c>
      <c r="AW30" s="136">
        <v>29797.446666666667</v>
      </c>
      <c r="AX30" s="136">
        <v>29796.806666666671</v>
      </c>
      <c r="AY30" s="136">
        <v>29801.99</v>
      </c>
      <c r="AZ30" s="137">
        <v>29802</v>
      </c>
      <c r="BA30" s="137">
        <v>29801.006666666672</v>
      </c>
      <c r="BB30" s="136">
        <v>29799.039999999997</v>
      </c>
      <c r="BC30" s="136">
        <v>29799.039999999997</v>
      </c>
      <c r="BD30" s="136">
        <v>29799.040000000001</v>
      </c>
      <c r="BE30" s="136">
        <v>29799.040000000001</v>
      </c>
      <c r="BF30" s="137">
        <v>29665.713333333333</v>
      </c>
      <c r="BG30" s="137">
        <v>29787.45</v>
      </c>
      <c r="BH30" s="137">
        <v>29787.45</v>
      </c>
      <c r="BI30" s="137">
        <v>29796.813333333335</v>
      </c>
      <c r="BJ30" s="137">
        <v>29815.539999999997</v>
      </c>
      <c r="BK30" s="137">
        <v>30015.53</v>
      </c>
      <c r="BL30" s="137">
        <v>30015.53</v>
      </c>
      <c r="BM30" s="137">
        <v>30015.53</v>
      </c>
      <c r="BN30" s="137">
        <v>30015.530000000002</v>
      </c>
      <c r="BO30" s="137">
        <v>30015.530000000002</v>
      </c>
      <c r="BP30" s="137">
        <v>30015.530000000006</v>
      </c>
      <c r="BQ30" s="137">
        <v>30015.53000000001</v>
      </c>
      <c r="BR30" s="137">
        <v>30056.383333333342</v>
      </c>
      <c r="BS30" s="137">
        <v>30002.270000000004</v>
      </c>
      <c r="BT30" s="137">
        <v>30002.270000000008</v>
      </c>
    </row>
    <row r="31" spans="1:72" ht="15" hidden="1" customHeight="1" outlineLevel="1" x14ac:dyDescent="0.3">
      <c r="A31" t="s">
        <v>249</v>
      </c>
      <c r="B31" s="134" t="s">
        <v>250</v>
      </c>
      <c r="C31" s="135">
        <v>59973</v>
      </c>
      <c r="D31" s="135">
        <v>59973</v>
      </c>
      <c r="E31" s="135">
        <v>59973</v>
      </c>
      <c r="F31" s="135">
        <v>59973</v>
      </c>
      <c r="G31" s="135">
        <v>59973</v>
      </c>
      <c r="H31" s="135">
        <v>59973</v>
      </c>
      <c r="I31" s="135">
        <v>59954</v>
      </c>
      <c r="J31" s="135">
        <v>59954</v>
      </c>
      <c r="K31" s="135">
        <v>59954</v>
      </c>
      <c r="L31" s="135">
        <v>59954</v>
      </c>
      <c r="M31" s="135">
        <v>59954</v>
      </c>
      <c r="N31" s="135">
        <v>59954</v>
      </c>
      <c r="O31" s="135">
        <v>59954</v>
      </c>
      <c r="P31" s="135">
        <v>59954</v>
      </c>
      <c r="Q31" s="135">
        <v>59954</v>
      </c>
      <c r="R31" s="135">
        <v>59954</v>
      </c>
      <c r="S31" s="135">
        <v>59954</v>
      </c>
      <c r="T31" s="135">
        <v>59954</v>
      </c>
      <c r="U31" s="135">
        <v>59954</v>
      </c>
      <c r="V31" s="135">
        <v>74488</v>
      </c>
      <c r="W31" s="135">
        <v>74488</v>
      </c>
      <c r="X31" s="135">
        <v>69976</v>
      </c>
      <c r="Y31" s="135">
        <v>69976</v>
      </c>
      <c r="Z31" s="135">
        <v>69976</v>
      </c>
      <c r="AA31" s="135">
        <v>69976</v>
      </c>
      <c r="AB31" s="135">
        <v>69976</v>
      </c>
      <c r="AC31" s="135">
        <v>69518.509143461968</v>
      </c>
      <c r="AD31" s="135">
        <v>69517.993812082728</v>
      </c>
      <c r="AE31" s="135">
        <v>69517.993812082728</v>
      </c>
      <c r="AF31" s="135">
        <v>69650.875825044772</v>
      </c>
      <c r="AG31" s="135">
        <v>69650.875825044772</v>
      </c>
      <c r="AH31" s="135">
        <v>69650.875825044786</v>
      </c>
      <c r="AI31" s="135">
        <v>69653.515958312986</v>
      </c>
      <c r="AJ31" s="135">
        <v>69634.514999185805</v>
      </c>
      <c r="AK31" s="135">
        <v>69618.954567659996</v>
      </c>
      <c r="AL31" s="135">
        <v>69614.069369809484</v>
      </c>
      <c r="AM31" s="135">
        <v>69614.240000000005</v>
      </c>
      <c r="AN31" s="136">
        <v>69509.95</v>
      </c>
      <c r="AO31" s="136">
        <v>69509.95</v>
      </c>
      <c r="AP31" s="136">
        <v>69503.009999999995</v>
      </c>
      <c r="AQ31" s="136">
        <v>69503.009999999995</v>
      </c>
      <c r="AR31" s="136">
        <v>69503.009999999995</v>
      </c>
      <c r="AS31" s="136">
        <v>69503.009999999995</v>
      </c>
      <c r="AT31" s="136">
        <v>69503.009999999995</v>
      </c>
      <c r="AU31" s="136">
        <v>69535.003333333341</v>
      </c>
      <c r="AV31" s="136">
        <v>69550.039999999994</v>
      </c>
      <c r="AW31" s="137">
        <v>69533</v>
      </c>
      <c r="AX31" s="137">
        <v>69261</v>
      </c>
      <c r="AY31" s="136">
        <v>69260.963333333333</v>
      </c>
      <c r="AZ31" s="137">
        <v>69261</v>
      </c>
      <c r="BA31" s="137">
        <v>69260.97</v>
      </c>
      <c r="BB31" s="136">
        <v>69260.97</v>
      </c>
      <c r="BC31" s="136">
        <v>69260.969999999987</v>
      </c>
      <c r="BD31" s="136">
        <v>69260.969999999987</v>
      </c>
      <c r="BE31" s="136">
        <v>69260.969999999987</v>
      </c>
      <c r="BF31" s="137">
        <v>69619.66</v>
      </c>
      <c r="BG31" s="137">
        <v>69619.659999999989</v>
      </c>
      <c r="BH31" s="137">
        <v>69619.82666666666</v>
      </c>
      <c r="BI31" s="137">
        <v>69620.159999999989</v>
      </c>
      <c r="BJ31" s="137">
        <v>69619.789999999994</v>
      </c>
      <c r="BK31" s="137">
        <v>69619.789999999994</v>
      </c>
      <c r="BL31" s="137">
        <v>69630.789999999994</v>
      </c>
      <c r="BM31" s="137">
        <v>69833.936666666661</v>
      </c>
      <c r="BN31" s="137">
        <v>69839.710000000006</v>
      </c>
      <c r="BO31" s="137">
        <v>69850.75</v>
      </c>
      <c r="BP31" s="137">
        <v>68872.87000000001</v>
      </c>
      <c r="BQ31" s="137">
        <v>69250.949081151164</v>
      </c>
      <c r="BR31" s="137">
        <v>69877.400000000009</v>
      </c>
      <c r="BS31" s="137">
        <v>69877.399999999994</v>
      </c>
      <c r="BT31" s="137">
        <v>69855.56</v>
      </c>
    </row>
    <row r="32" spans="1:72" ht="15" hidden="1" customHeight="1" outlineLevel="1" x14ac:dyDescent="0.3">
      <c r="A32" t="s">
        <v>73</v>
      </c>
      <c r="B32" s="134" t="s">
        <v>251</v>
      </c>
      <c r="C32" s="135">
        <v>0</v>
      </c>
      <c r="D32" s="135">
        <v>0</v>
      </c>
      <c r="E32" s="135">
        <v>0</v>
      </c>
      <c r="F32" s="135">
        <v>0</v>
      </c>
      <c r="G32" s="135">
        <v>0</v>
      </c>
      <c r="H32" s="135">
        <v>0</v>
      </c>
      <c r="I32" s="135">
        <v>0</v>
      </c>
      <c r="J32" s="135">
        <v>0</v>
      </c>
      <c r="K32" s="135">
        <v>0</v>
      </c>
      <c r="L32" s="135">
        <v>0</v>
      </c>
      <c r="M32" s="135">
        <v>0</v>
      </c>
      <c r="N32" s="135">
        <v>0</v>
      </c>
      <c r="O32" s="135">
        <v>0</v>
      </c>
      <c r="P32" s="135">
        <v>0</v>
      </c>
      <c r="Q32" s="135">
        <v>0</v>
      </c>
      <c r="R32" s="135">
        <v>0</v>
      </c>
      <c r="S32" s="135">
        <v>0</v>
      </c>
      <c r="T32" s="135">
        <v>0</v>
      </c>
      <c r="U32" s="135">
        <v>0</v>
      </c>
      <c r="V32" s="135">
        <v>0</v>
      </c>
      <c r="W32" s="135">
        <v>0</v>
      </c>
      <c r="X32" s="135">
        <v>0</v>
      </c>
      <c r="Y32" s="135">
        <v>0</v>
      </c>
      <c r="Z32" s="135">
        <v>0</v>
      </c>
      <c r="AA32" s="135">
        <v>0</v>
      </c>
      <c r="AB32" s="135">
        <v>0</v>
      </c>
      <c r="AC32" s="135">
        <v>0</v>
      </c>
      <c r="AD32" s="135">
        <v>0</v>
      </c>
      <c r="AE32" s="135">
        <v>0</v>
      </c>
      <c r="AF32" s="135">
        <v>0</v>
      </c>
      <c r="AG32" s="135">
        <v>0</v>
      </c>
      <c r="AH32" s="135">
        <v>0</v>
      </c>
      <c r="AI32" s="135">
        <v>0</v>
      </c>
      <c r="AJ32" s="135">
        <v>0</v>
      </c>
      <c r="AK32" s="135">
        <v>0</v>
      </c>
      <c r="AL32" s="135">
        <v>35537.5</v>
      </c>
      <c r="AM32" s="135">
        <v>35536.400000000001</v>
      </c>
      <c r="AN32" s="136">
        <v>35536.400000000001</v>
      </c>
      <c r="AO32" s="136">
        <v>35536.400000000001</v>
      </c>
      <c r="AP32" s="136">
        <v>35536.400000000001</v>
      </c>
      <c r="AQ32" s="136">
        <v>35522.81</v>
      </c>
      <c r="AR32" s="136">
        <v>36652.080000000002</v>
      </c>
      <c r="AS32" s="136">
        <v>36546.660000000003</v>
      </c>
      <c r="AT32" s="136">
        <v>36649.340000000004</v>
      </c>
      <c r="AU32" s="136">
        <v>36947.223333333335</v>
      </c>
      <c r="AV32" s="136">
        <v>37011.260000000009</v>
      </c>
      <c r="AW32" s="136">
        <v>37011.260000000009</v>
      </c>
      <c r="AX32" s="136">
        <v>37350.73000000001</v>
      </c>
      <c r="AY32" s="136">
        <v>37390.73000000001</v>
      </c>
      <c r="AZ32" s="137">
        <v>37407</v>
      </c>
      <c r="BA32" s="137">
        <v>37436.723333333335</v>
      </c>
      <c r="BB32" s="136">
        <v>37454.496666666666</v>
      </c>
      <c r="BC32" s="136">
        <v>37462.51</v>
      </c>
      <c r="BD32" s="137">
        <v>37448</v>
      </c>
      <c r="BE32" s="136">
        <v>37462.510000000009</v>
      </c>
      <c r="BF32" s="137">
        <v>0</v>
      </c>
      <c r="BG32" s="137">
        <v>0</v>
      </c>
      <c r="BH32" s="137">
        <v>0</v>
      </c>
      <c r="BI32" s="137">
        <v>0</v>
      </c>
      <c r="BJ32" s="137">
        <v>0</v>
      </c>
      <c r="BK32" s="137">
        <v>0</v>
      </c>
      <c r="BL32" s="137">
        <v>0</v>
      </c>
      <c r="BM32" s="137">
        <v>0</v>
      </c>
      <c r="BN32" s="137">
        <v>0</v>
      </c>
      <c r="BO32" s="137">
        <v>0</v>
      </c>
      <c r="BP32" s="137">
        <v>0</v>
      </c>
      <c r="BQ32" s="137">
        <v>0</v>
      </c>
      <c r="BR32" s="137">
        <v>0</v>
      </c>
      <c r="BS32" s="137">
        <v>0</v>
      </c>
      <c r="BT32" s="137">
        <v>0</v>
      </c>
    </row>
    <row r="33" spans="1:72" ht="15" hidden="1" customHeight="1" outlineLevel="1" x14ac:dyDescent="0.3">
      <c r="A33" t="s">
        <v>252</v>
      </c>
      <c r="B33" s="134" t="s">
        <v>253</v>
      </c>
      <c r="C33" s="135">
        <v>0</v>
      </c>
      <c r="D33" s="135">
        <v>0</v>
      </c>
      <c r="E33" s="135">
        <v>0</v>
      </c>
      <c r="F33" s="135">
        <v>0</v>
      </c>
      <c r="G33" s="135">
        <v>0</v>
      </c>
      <c r="H33" s="135">
        <v>0</v>
      </c>
      <c r="I33" s="135">
        <v>0</v>
      </c>
      <c r="J33" s="135">
        <v>0</v>
      </c>
      <c r="K33" s="135">
        <v>0</v>
      </c>
      <c r="L33" s="135">
        <v>0</v>
      </c>
      <c r="M33" s="135">
        <v>0</v>
      </c>
      <c r="N33" s="135">
        <v>0</v>
      </c>
      <c r="O33" s="135">
        <v>0</v>
      </c>
      <c r="P33" s="135">
        <v>0</v>
      </c>
      <c r="Q33" s="135">
        <v>0</v>
      </c>
      <c r="R33" s="135">
        <v>0</v>
      </c>
      <c r="S33" s="135">
        <v>0</v>
      </c>
      <c r="T33" s="135">
        <v>0</v>
      </c>
      <c r="U33" s="135">
        <v>0</v>
      </c>
      <c r="V33" s="135">
        <v>0</v>
      </c>
      <c r="W33" s="135">
        <v>0</v>
      </c>
      <c r="X33" s="135">
        <v>0</v>
      </c>
      <c r="Y33" s="135">
        <v>0</v>
      </c>
      <c r="Z33" s="136">
        <v>43275</v>
      </c>
      <c r="AA33" s="136">
        <v>43275</v>
      </c>
      <c r="AB33" s="136">
        <v>43275</v>
      </c>
      <c r="AC33" s="136">
        <v>44114</v>
      </c>
      <c r="AD33" s="136">
        <v>44113.75</v>
      </c>
      <c r="AE33" s="136">
        <v>44113.75</v>
      </c>
      <c r="AF33" s="136">
        <v>44114.459999999985</v>
      </c>
      <c r="AG33" s="136">
        <v>44114.459999999985</v>
      </c>
      <c r="AH33" s="136">
        <v>44114.459999999985</v>
      </c>
      <c r="AI33" s="136">
        <v>44113.64</v>
      </c>
      <c r="AJ33" s="136">
        <v>44156</v>
      </c>
      <c r="AK33" s="136">
        <v>44113.75</v>
      </c>
      <c r="AL33" s="135">
        <v>44113.75</v>
      </c>
      <c r="AM33" s="135">
        <v>44114.23</v>
      </c>
      <c r="AN33" s="136">
        <v>44135.44</v>
      </c>
      <c r="AO33" s="136">
        <v>44135.44</v>
      </c>
      <c r="AP33" s="136">
        <v>44135.44</v>
      </c>
      <c r="AQ33" s="136">
        <v>44122.13</v>
      </c>
      <c r="AR33" s="136">
        <v>44122.130000000005</v>
      </c>
      <c r="AS33" s="136">
        <v>44122.130000000005</v>
      </c>
      <c r="AT33" s="136">
        <v>44135.44</v>
      </c>
      <c r="AU33" s="136">
        <v>44119.233333333337</v>
      </c>
      <c r="AV33" s="137">
        <v>44111</v>
      </c>
      <c r="AW33" s="137">
        <v>44113</v>
      </c>
      <c r="AX33" s="137">
        <v>44116</v>
      </c>
      <c r="AY33" s="136">
        <v>44116.18</v>
      </c>
      <c r="AZ33" s="137">
        <v>44116</v>
      </c>
      <c r="BA33" s="137">
        <v>44116.18</v>
      </c>
      <c r="BB33" s="136">
        <v>44108.366666666669</v>
      </c>
      <c r="BC33" s="136">
        <v>44035.01</v>
      </c>
      <c r="BD33" s="136">
        <v>44035.01</v>
      </c>
      <c r="BE33" s="136">
        <v>44035.01</v>
      </c>
      <c r="BF33" s="137">
        <v>44001.53666666666</v>
      </c>
      <c r="BG33" s="137">
        <v>44001.53666666666</v>
      </c>
      <c r="BH33" s="137">
        <v>44035.010000000009</v>
      </c>
      <c r="BI33" s="137">
        <v>44035</v>
      </c>
      <c r="BJ33" s="137">
        <v>44035</v>
      </c>
      <c r="BK33" s="137">
        <v>44035</v>
      </c>
      <c r="BL33" s="137">
        <v>44035</v>
      </c>
      <c r="BM33" s="137">
        <v>44035</v>
      </c>
      <c r="BN33" s="137">
        <v>44035</v>
      </c>
      <c r="BO33" s="137">
        <v>44035</v>
      </c>
      <c r="BP33" s="137">
        <v>44035</v>
      </c>
      <c r="BQ33" s="137">
        <v>44035</v>
      </c>
      <c r="BR33" s="137">
        <v>44035</v>
      </c>
      <c r="BS33" s="137">
        <v>44035</v>
      </c>
      <c r="BT33" s="137">
        <v>44035.000000000022</v>
      </c>
    </row>
    <row r="34" spans="1:72" ht="15" hidden="1" customHeight="1" outlineLevel="1" x14ac:dyDescent="0.3">
      <c r="A34" t="s">
        <v>254</v>
      </c>
      <c r="B34" s="134" t="s">
        <v>255</v>
      </c>
      <c r="C34" s="135">
        <v>0</v>
      </c>
      <c r="D34" s="135">
        <v>0</v>
      </c>
      <c r="E34" s="135">
        <v>0</v>
      </c>
      <c r="F34" s="135">
        <v>0</v>
      </c>
      <c r="G34" s="135">
        <v>0</v>
      </c>
      <c r="H34" s="135">
        <v>0</v>
      </c>
      <c r="I34" s="135">
        <v>0</v>
      </c>
      <c r="J34" s="135">
        <v>0</v>
      </c>
      <c r="K34" s="135">
        <v>0</v>
      </c>
      <c r="L34" s="135">
        <v>0</v>
      </c>
      <c r="M34" s="135">
        <v>0</v>
      </c>
      <c r="N34" s="135">
        <v>0</v>
      </c>
      <c r="O34" s="135">
        <v>0</v>
      </c>
      <c r="P34" s="135">
        <v>0</v>
      </c>
      <c r="Q34" s="135">
        <v>0</v>
      </c>
      <c r="R34" s="135">
        <v>0</v>
      </c>
      <c r="S34" s="135">
        <v>0</v>
      </c>
      <c r="T34" s="135">
        <v>0</v>
      </c>
      <c r="U34" s="135">
        <v>0</v>
      </c>
      <c r="V34" s="135">
        <v>0</v>
      </c>
      <c r="W34" s="135">
        <v>0</v>
      </c>
      <c r="X34" s="135">
        <v>0</v>
      </c>
      <c r="Y34" s="135">
        <v>0</v>
      </c>
      <c r="Z34" s="135">
        <v>36060</v>
      </c>
      <c r="AA34" s="135">
        <v>36060</v>
      </c>
      <c r="AB34" s="135">
        <v>36060</v>
      </c>
      <c r="AC34" s="135">
        <v>36661</v>
      </c>
      <c r="AD34" s="135">
        <v>36660</v>
      </c>
      <c r="AE34" s="135">
        <v>36660</v>
      </c>
      <c r="AF34" s="135">
        <v>36714.189999999995</v>
      </c>
      <c r="AG34" s="135">
        <v>36714.189999999995</v>
      </c>
      <c r="AH34" s="135">
        <v>36657</v>
      </c>
      <c r="AI34" s="135">
        <v>36659</v>
      </c>
      <c r="AJ34" s="135">
        <v>36657</v>
      </c>
      <c r="AK34" s="135">
        <v>36656</v>
      </c>
      <c r="AL34" s="135">
        <v>36656</v>
      </c>
      <c r="AM34" s="135">
        <v>36656.379999999983</v>
      </c>
      <c r="AN34" s="136">
        <v>36656.379999999983</v>
      </c>
      <c r="AO34" s="136">
        <v>37395</v>
      </c>
      <c r="AP34" s="136">
        <v>37395</v>
      </c>
      <c r="AQ34" s="136">
        <v>37360.039999999994</v>
      </c>
      <c r="AR34" s="136">
        <v>37360.039999999994</v>
      </c>
      <c r="AS34" s="136">
        <v>37360.039999999986</v>
      </c>
      <c r="AT34" s="136">
        <v>37360.039999999994</v>
      </c>
      <c r="AU34" s="136">
        <v>37360.039999999994</v>
      </c>
      <c r="AV34" s="136">
        <v>37360.039999999994</v>
      </c>
      <c r="AW34" s="136">
        <v>37360.039999999994</v>
      </c>
      <c r="AX34" s="136">
        <v>37360.039999999994</v>
      </c>
      <c r="AY34" s="136">
        <v>37360.039999999986</v>
      </c>
      <c r="AZ34" s="137">
        <v>37360</v>
      </c>
      <c r="BA34" s="137">
        <v>37360.039999999994</v>
      </c>
      <c r="BB34" s="136">
        <v>37578.223333333321</v>
      </c>
      <c r="BC34" s="136">
        <v>37448.019999999997</v>
      </c>
      <c r="BD34" s="136">
        <v>37448.019999999997</v>
      </c>
      <c r="BE34" s="136">
        <v>36914.14</v>
      </c>
      <c r="BF34" s="137">
        <v>36914.14</v>
      </c>
      <c r="BG34" s="137">
        <v>36914.14</v>
      </c>
      <c r="BH34" s="137">
        <v>36885.97</v>
      </c>
      <c r="BI34" s="137">
        <v>36914.14</v>
      </c>
      <c r="BJ34" s="137">
        <v>36914.14</v>
      </c>
      <c r="BK34" s="137">
        <v>36914.14</v>
      </c>
      <c r="BL34" s="137">
        <v>36914.14</v>
      </c>
      <c r="BM34" s="137">
        <v>36914.14</v>
      </c>
      <c r="BN34" s="137">
        <v>36914.139999999992</v>
      </c>
      <c r="BO34" s="137">
        <v>36914.139999999992</v>
      </c>
      <c r="BP34" s="137">
        <v>36914.14</v>
      </c>
      <c r="BQ34" s="137">
        <v>36914.139999999992</v>
      </c>
      <c r="BR34" s="137">
        <v>36914.14</v>
      </c>
      <c r="BS34" s="137">
        <v>36914.14</v>
      </c>
      <c r="BT34" s="137">
        <v>36914.14</v>
      </c>
    </row>
    <row r="35" spans="1:72" ht="15" hidden="1" customHeight="1" outlineLevel="1" x14ac:dyDescent="0.3">
      <c r="A35" t="s">
        <v>256</v>
      </c>
      <c r="B35" s="134" t="s">
        <v>257</v>
      </c>
      <c r="C35" s="135">
        <v>0</v>
      </c>
      <c r="D35" s="135">
        <v>0</v>
      </c>
      <c r="E35" s="135">
        <v>0</v>
      </c>
      <c r="F35" s="135">
        <v>0</v>
      </c>
      <c r="G35" s="135">
        <v>0</v>
      </c>
      <c r="H35" s="135">
        <v>0</v>
      </c>
      <c r="I35" s="135">
        <v>0</v>
      </c>
      <c r="J35" s="135">
        <v>0</v>
      </c>
      <c r="K35" s="135">
        <v>0</v>
      </c>
      <c r="L35" s="135">
        <v>0</v>
      </c>
      <c r="M35" s="135">
        <v>0</v>
      </c>
      <c r="N35" s="135">
        <v>0</v>
      </c>
      <c r="O35" s="135">
        <v>0</v>
      </c>
      <c r="P35" s="135">
        <v>0</v>
      </c>
      <c r="Q35" s="135">
        <v>0</v>
      </c>
      <c r="R35" s="135">
        <v>0</v>
      </c>
      <c r="S35" s="135">
        <v>0</v>
      </c>
      <c r="T35" s="135">
        <v>0</v>
      </c>
      <c r="U35" s="135">
        <v>0</v>
      </c>
      <c r="V35" s="135">
        <v>0</v>
      </c>
      <c r="W35" s="135">
        <v>0</v>
      </c>
      <c r="X35" s="135">
        <v>0</v>
      </c>
      <c r="Y35" s="135">
        <v>0</v>
      </c>
      <c r="Z35" s="135">
        <v>0</v>
      </c>
      <c r="AA35" s="135">
        <v>0</v>
      </c>
      <c r="AB35" s="135">
        <v>0</v>
      </c>
      <c r="AC35" s="135">
        <v>0</v>
      </c>
      <c r="AD35" s="135">
        <v>0</v>
      </c>
      <c r="AE35" s="135">
        <v>0</v>
      </c>
      <c r="AF35" s="135">
        <v>17680.659999999993</v>
      </c>
      <c r="AG35" s="135">
        <v>17680.659999999993</v>
      </c>
      <c r="AH35" s="135">
        <v>16643.66</v>
      </c>
      <c r="AI35" s="135">
        <v>16626.469999999998</v>
      </c>
      <c r="AJ35" s="135">
        <v>16626</v>
      </c>
      <c r="AK35" s="135">
        <v>16626</v>
      </c>
      <c r="AL35" s="136">
        <v>16626</v>
      </c>
      <c r="AM35" s="136">
        <v>16626.469999999998</v>
      </c>
      <c r="AN35" s="136">
        <v>16619</v>
      </c>
      <c r="AO35" s="136">
        <v>16619.41</v>
      </c>
      <c r="AP35" s="136">
        <v>16619.41</v>
      </c>
      <c r="AQ35" s="136">
        <v>16637.41</v>
      </c>
      <c r="AR35" s="136">
        <v>16637.41</v>
      </c>
      <c r="AS35" s="136">
        <v>16637.409999999996</v>
      </c>
      <c r="AT35" s="136">
        <v>16637.41</v>
      </c>
      <c r="AU35" s="137">
        <v>16637</v>
      </c>
      <c r="AV35" s="136">
        <v>16637.41</v>
      </c>
      <c r="AW35" s="136">
        <v>16637.410000000003</v>
      </c>
      <c r="AX35" s="136">
        <v>16661.04</v>
      </c>
      <c r="AY35" s="136">
        <v>16661.04</v>
      </c>
      <c r="AZ35" s="137">
        <v>16661</v>
      </c>
      <c r="BA35" s="137">
        <v>16661.04</v>
      </c>
      <c r="BB35" s="136">
        <v>16680.786666666667</v>
      </c>
      <c r="BC35" s="137">
        <v>16690.66</v>
      </c>
      <c r="BD35" s="136">
        <v>16690.66</v>
      </c>
      <c r="BE35" s="136">
        <v>16690.66</v>
      </c>
      <c r="BF35" s="137">
        <v>16851.259999999998</v>
      </c>
      <c r="BG35" s="137">
        <v>16851.259999999998</v>
      </c>
      <c r="BH35" s="137">
        <v>16851.259999999998</v>
      </c>
      <c r="BI35" s="137">
        <v>16851.259999999998</v>
      </c>
      <c r="BJ35" s="137">
        <v>16869.303333333333</v>
      </c>
      <c r="BK35" s="137">
        <v>16905.64</v>
      </c>
      <c r="BL35" s="137">
        <v>16905.64</v>
      </c>
      <c r="BM35" s="137">
        <v>16905.64</v>
      </c>
      <c r="BN35" s="137">
        <v>16905.64</v>
      </c>
      <c r="BO35" s="137">
        <v>16905.64</v>
      </c>
      <c r="BP35" s="137">
        <v>16905.640000000003</v>
      </c>
      <c r="BQ35" s="137">
        <v>16905.640000000003</v>
      </c>
      <c r="BR35" s="137">
        <v>16905.64</v>
      </c>
      <c r="BS35" s="137">
        <v>16905.64</v>
      </c>
      <c r="BT35" s="137">
        <v>16905.64</v>
      </c>
    </row>
    <row r="36" spans="1:72" ht="15" hidden="1" customHeight="1" outlineLevel="1" x14ac:dyDescent="0.3">
      <c r="A36" t="s">
        <v>258</v>
      </c>
      <c r="B36" s="134" t="s">
        <v>259</v>
      </c>
      <c r="C36" s="135">
        <v>0</v>
      </c>
      <c r="D36" s="135">
        <v>0</v>
      </c>
      <c r="E36" s="135">
        <v>0</v>
      </c>
      <c r="F36" s="135">
        <v>0</v>
      </c>
      <c r="G36" s="135">
        <v>0</v>
      </c>
      <c r="H36" s="135">
        <v>0</v>
      </c>
      <c r="I36" s="135">
        <v>0</v>
      </c>
      <c r="J36" s="135">
        <v>0</v>
      </c>
      <c r="K36" s="135">
        <v>0</v>
      </c>
      <c r="L36" s="135">
        <v>0</v>
      </c>
      <c r="M36" s="135">
        <v>0</v>
      </c>
      <c r="N36" s="135">
        <v>0</v>
      </c>
      <c r="O36" s="135">
        <v>0</v>
      </c>
      <c r="P36" s="135">
        <v>0</v>
      </c>
      <c r="Q36" s="135">
        <v>0</v>
      </c>
      <c r="R36" s="135">
        <v>0</v>
      </c>
      <c r="S36" s="135">
        <v>0</v>
      </c>
      <c r="T36" s="135">
        <v>0</v>
      </c>
      <c r="U36" s="135">
        <v>0</v>
      </c>
      <c r="V36" s="135">
        <v>0</v>
      </c>
      <c r="W36" s="135">
        <v>0</v>
      </c>
      <c r="X36" s="135">
        <v>0</v>
      </c>
      <c r="Y36" s="135">
        <v>0</v>
      </c>
      <c r="Z36" s="135">
        <v>0</v>
      </c>
      <c r="AA36" s="135">
        <v>0</v>
      </c>
      <c r="AB36" s="135">
        <v>0</v>
      </c>
      <c r="AC36" s="135">
        <v>0</v>
      </c>
      <c r="AD36" s="135">
        <v>0</v>
      </c>
      <c r="AE36" s="135">
        <v>0</v>
      </c>
      <c r="AF36" s="135">
        <v>0</v>
      </c>
      <c r="AG36" s="135">
        <v>0</v>
      </c>
      <c r="AH36" s="135">
        <v>0</v>
      </c>
      <c r="AI36" s="135">
        <v>0</v>
      </c>
      <c r="AJ36" s="137">
        <v>26633.517931892377</v>
      </c>
      <c r="AK36" s="135">
        <v>26632.929707245155</v>
      </c>
      <c r="AL36" s="137">
        <v>26632.929707245155</v>
      </c>
      <c r="AM36" s="137">
        <v>26633.527931711385</v>
      </c>
      <c r="AN36" s="136">
        <v>26811.75</v>
      </c>
      <c r="AO36" s="136">
        <v>26811.75</v>
      </c>
      <c r="AP36" s="136">
        <v>28369.66</v>
      </c>
      <c r="AQ36" s="136">
        <v>28369.66</v>
      </c>
      <c r="AR36" s="136">
        <v>28369.389999999996</v>
      </c>
      <c r="AS36" s="136">
        <v>28485.710000000006</v>
      </c>
      <c r="AT36" s="136">
        <v>28485.71</v>
      </c>
      <c r="AU36" s="136">
        <v>27589.640000000003</v>
      </c>
      <c r="AV36" s="136">
        <v>27656</v>
      </c>
      <c r="AW36" s="137">
        <v>27688</v>
      </c>
      <c r="AX36" s="137">
        <v>27688</v>
      </c>
      <c r="AY36" s="136">
        <v>27688.48</v>
      </c>
      <c r="AZ36" s="137">
        <v>27688</v>
      </c>
      <c r="BA36" s="137">
        <v>27688.48</v>
      </c>
      <c r="BB36" s="136">
        <v>27688.48</v>
      </c>
      <c r="BC36" s="136">
        <v>27688.480000000003</v>
      </c>
      <c r="BD36" s="136">
        <v>27688.48</v>
      </c>
      <c r="BE36" s="136">
        <v>27688.48</v>
      </c>
      <c r="BF36" s="137">
        <v>27688.48</v>
      </c>
      <c r="BG36" s="137">
        <v>27688.48</v>
      </c>
      <c r="BH36" s="137">
        <v>27688.48</v>
      </c>
      <c r="BI36" s="137">
        <v>27688.48</v>
      </c>
      <c r="BJ36" s="137">
        <v>27688.48</v>
      </c>
      <c r="BK36" s="137">
        <v>27688.48</v>
      </c>
      <c r="BL36" s="137">
        <v>27833.74</v>
      </c>
      <c r="BM36" s="137">
        <v>27833.74</v>
      </c>
      <c r="BN36" s="137">
        <v>27833.74</v>
      </c>
      <c r="BO36" s="137">
        <v>27833.74</v>
      </c>
      <c r="BP36" s="137">
        <v>27833.74</v>
      </c>
      <c r="BQ36" s="137">
        <v>0</v>
      </c>
      <c r="BR36" s="137">
        <v>0</v>
      </c>
      <c r="BS36" s="137">
        <v>0</v>
      </c>
      <c r="BT36" s="137">
        <v>0</v>
      </c>
    </row>
    <row r="37" spans="1:72" ht="15" hidden="1" customHeight="1" outlineLevel="1" x14ac:dyDescent="0.3">
      <c r="A37" t="s">
        <v>73</v>
      </c>
      <c r="B37" s="134" t="s">
        <v>260</v>
      </c>
      <c r="C37" s="135">
        <v>0</v>
      </c>
      <c r="D37" s="135">
        <v>0</v>
      </c>
      <c r="E37" s="135">
        <v>0</v>
      </c>
      <c r="F37" s="135">
        <v>0</v>
      </c>
      <c r="G37" s="135">
        <v>0</v>
      </c>
      <c r="H37" s="135">
        <v>0</v>
      </c>
      <c r="I37" s="135">
        <v>0</v>
      </c>
      <c r="J37" s="135">
        <v>0</v>
      </c>
      <c r="K37" s="135">
        <v>0</v>
      </c>
      <c r="L37" s="135">
        <v>0</v>
      </c>
      <c r="M37" s="135">
        <v>0</v>
      </c>
      <c r="N37" s="135">
        <v>0</v>
      </c>
      <c r="O37" s="135">
        <v>0</v>
      </c>
      <c r="P37" s="135">
        <v>0</v>
      </c>
      <c r="Q37" s="135">
        <v>0</v>
      </c>
      <c r="R37" s="135">
        <v>0</v>
      </c>
      <c r="S37" s="135">
        <v>0</v>
      </c>
      <c r="T37" s="135">
        <v>0</v>
      </c>
      <c r="U37" s="135">
        <v>0</v>
      </c>
      <c r="V37" s="135">
        <v>0</v>
      </c>
      <c r="W37" s="135">
        <v>0</v>
      </c>
      <c r="X37" s="135">
        <v>0</v>
      </c>
      <c r="Y37" s="135">
        <v>0</v>
      </c>
      <c r="Z37" s="135">
        <v>0</v>
      </c>
      <c r="AA37" s="135">
        <v>0</v>
      </c>
      <c r="AB37" s="135">
        <v>0</v>
      </c>
      <c r="AC37" s="135">
        <v>0</v>
      </c>
      <c r="AD37" s="135">
        <v>0</v>
      </c>
      <c r="AE37" s="135">
        <v>0</v>
      </c>
      <c r="AF37" s="135">
        <v>0</v>
      </c>
      <c r="AG37" s="135">
        <v>0</v>
      </c>
      <c r="AH37" s="135">
        <v>0</v>
      </c>
      <c r="AI37" s="135">
        <v>0</v>
      </c>
      <c r="AJ37" s="135">
        <v>0</v>
      </c>
      <c r="AK37" s="135">
        <v>0</v>
      </c>
      <c r="AL37" s="135">
        <v>29968</v>
      </c>
      <c r="AM37" s="135">
        <v>29967.85</v>
      </c>
      <c r="AN37" s="136">
        <v>29967.85</v>
      </c>
      <c r="AO37" s="136">
        <v>28676.25</v>
      </c>
      <c r="AP37" s="136">
        <v>28676.25</v>
      </c>
      <c r="AQ37" s="136">
        <v>0</v>
      </c>
      <c r="AR37" s="136">
        <v>0</v>
      </c>
      <c r="AS37" s="136">
        <v>0</v>
      </c>
      <c r="AT37" s="136">
        <v>0</v>
      </c>
      <c r="AU37" s="136">
        <v>0</v>
      </c>
      <c r="AV37" s="132">
        <v>0</v>
      </c>
      <c r="AW37" s="132">
        <v>0</v>
      </c>
      <c r="AX37" s="132">
        <v>0</v>
      </c>
      <c r="AY37" s="132">
        <v>0</v>
      </c>
      <c r="AZ37" s="132">
        <v>0</v>
      </c>
      <c r="BA37" s="132">
        <v>0</v>
      </c>
      <c r="BB37" s="132">
        <v>0</v>
      </c>
      <c r="BC37" s="132">
        <v>0</v>
      </c>
      <c r="BD37" s="132">
        <v>0</v>
      </c>
      <c r="BE37" s="132">
        <v>0</v>
      </c>
      <c r="BF37" s="137">
        <v>0</v>
      </c>
      <c r="BG37" s="137">
        <v>0</v>
      </c>
      <c r="BH37" s="137">
        <v>0</v>
      </c>
      <c r="BI37" s="137">
        <v>0</v>
      </c>
      <c r="BJ37" s="137">
        <v>0</v>
      </c>
      <c r="BK37" s="137">
        <v>0</v>
      </c>
      <c r="BL37" s="137">
        <v>0</v>
      </c>
      <c r="BM37" s="137">
        <v>0</v>
      </c>
      <c r="BN37" s="137">
        <v>0</v>
      </c>
      <c r="BO37" s="137">
        <v>0</v>
      </c>
      <c r="BP37" s="137">
        <v>0</v>
      </c>
      <c r="BQ37" s="137">
        <v>0</v>
      </c>
      <c r="BR37" s="137">
        <v>0</v>
      </c>
      <c r="BS37" s="137">
        <v>0</v>
      </c>
      <c r="BT37" s="137">
        <v>0</v>
      </c>
    </row>
    <row r="38" spans="1:72" s="131" customFormat="1" ht="15" customHeight="1" collapsed="1" x14ac:dyDescent="0.3">
      <c r="B38" s="140" t="str">
        <f>IF('Sumário | Summary'!P1=1,"Galpões Logísticos","Distribution Centers")</f>
        <v>Galpões Logísticos</v>
      </c>
      <c r="C38" s="132">
        <f t="shared" ref="C38:BN38" si="8">SUM(C39:C49)</f>
        <v>40349.839999999997</v>
      </c>
      <c r="D38" s="132">
        <f t="shared" si="8"/>
        <v>40349.839999999997</v>
      </c>
      <c r="E38" s="132">
        <f t="shared" si="8"/>
        <v>40349.839999999997</v>
      </c>
      <c r="F38" s="132">
        <f t="shared" si="8"/>
        <v>40349.839999999997</v>
      </c>
      <c r="G38" s="132">
        <f t="shared" si="8"/>
        <v>40349.839999999997</v>
      </c>
      <c r="H38" s="132">
        <f t="shared" si="8"/>
        <v>40349.839999999997</v>
      </c>
      <c r="I38" s="132">
        <f t="shared" si="8"/>
        <v>40349.839999999997</v>
      </c>
      <c r="J38" s="132">
        <f t="shared" si="8"/>
        <v>40349.839999999997</v>
      </c>
      <c r="K38" s="132">
        <f t="shared" si="8"/>
        <v>40349.839999999997</v>
      </c>
      <c r="L38" s="132">
        <f t="shared" si="8"/>
        <v>40349.839999999997</v>
      </c>
      <c r="M38" s="132">
        <f t="shared" si="8"/>
        <v>40349.839999999997</v>
      </c>
      <c r="N38" s="132">
        <f t="shared" si="8"/>
        <v>40349.839999999997</v>
      </c>
      <c r="O38" s="132">
        <f t="shared" si="8"/>
        <v>40349.839999999997</v>
      </c>
      <c r="P38" s="132">
        <f t="shared" si="8"/>
        <v>40349.839999999997</v>
      </c>
      <c r="Q38" s="132">
        <f t="shared" si="8"/>
        <v>40349.839999999997</v>
      </c>
      <c r="R38" s="132">
        <f t="shared" si="8"/>
        <v>40349.839999999997</v>
      </c>
      <c r="S38" s="132">
        <f t="shared" si="8"/>
        <v>40349.839999999997</v>
      </c>
      <c r="T38" s="132">
        <f t="shared" si="8"/>
        <v>40349.839999999997</v>
      </c>
      <c r="U38" s="132">
        <f t="shared" si="8"/>
        <v>40349.839999999997</v>
      </c>
      <c r="V38" s="132">
        <f t="shared" si="8"/>
        <v>40349.839999999997</v>
      </c>
      <c r="W38" s="132">
        <f t="shared" si="8"/>
        <v>40349.839999999997</v>
      </c>
      <c r="X38" s="132">
        <f t="shared" si="8"/>
        <v>40349.839999999997</v>
      </c>
      <c r="Y38" s="132">
        <f t="shared" si="8"/>
        <v>40349.839999999997</v>
      </c>
      <c r="Z38" s="132">
        <f t="shared" si="8"/>
        <v>206021.2</v>
      </c>
      <c r="AA38" s="132">
        <f t="shared" si="8"/>
        <v>206021.2</v>
      </c>
      <c r="AB38" s="132">
        <f t="shared" si="8"/>
        <v>260474.55000000002</v>
      </c>
      <c r="AC38" s="132">
        <f t="shared" si="8"/>
        <v>324176</v>
      </c>
      <c r="AD38" s="132">
        <f t="shared" si="8"/>
        <v>324176</v>
      </c>
      <c r="AE38" s="132">
        <f t="shared" si="8"/>
        <v>324176</v>
      </c>
      <c r="AF38" s="132">
        <f t="shared" si="8"/>
        <v>324176</v>
      </c>
      <c r="AG38" s="132">
        <f t="shared" si="8"/>
        <v>324176</v>
      </c>
      <c r="AH38" s="132">
        <f t="shared" si="8"/>
        <v>324176</v>
      </c>
      <c r="AI38" s="132">
        <f t="shared" si="8"/>
        <v>324176</v>
      </c>
      <c r="AJ38" s="132">
        <f t="shared" si="8"/>
        <v>324176</v>
      </c>
      <c r="AK38" s="132">
        <f t="shared" si="8"/>
        <v>311313.08999999997</v>
      </c>
      <c r="AL38" s="132">
        <f t="shared" si="8"/>
        <v>1039349.6699999999</v>
      </c>
      <c r="AM38" s="132">
        <f t="shared" si="8"/>
        <v>1093837.67</v>
      </c>
      <c r="AN38" s="132">
        <f t="shared" si="8"/>
        <v>1093837.67</v>
      </c>
      <c r="AO38" s="132">
        <f t="shared" si="8"/>
        <v>12862.59</v>
      </c>
      <c r="AP38" s="132">
        <f t="shared" si="8"/>
        <v>12862.59</v>
      </c>
      <c r="AQ38" s="132">
        <f t="shared" si="8"/>
        <v>12862.59</v>
      </c>
      <c r="AR38" s="132">
        <f t="shared" si="8"/>
        <v>0</v>
      </c>
      <c r="AS38" s="132">
        <f t="shared" si="8"/>
        <v>0</v>
      </c>
      <c r="AT38" s="132">
        <f t="shared" si="8"/>
        <v>0</v>
      </c>
      <c r="AU38" s="132">
        <f t="shared" si="8"/>
        <v>0</v>
      </c>
      <c r="AV38" s="132">
        <f t="shared" si="8"/>
        <v>0</v>
      </c>
      <c r="AW38" s="132">
        <f t="shared" si="8"/>
        <v>0</v>
      </c>
      <c r="AX38" s="132">
        <f t="shared" si="8"/>
        <v>0</v>
      </c>
      <c r="AY38" s="132">
        <f t="shared" si="8"/>
        <v>0</v>
      </c>
      <c r="AZ38" s="132">
        <f t="shared" si="8"/>
        <v>0</v>
      </c>
      <c r="BA38" s="132">
        <f t="shared" si="8"/>
        <v>0</v>
      </c>
      <c r="BB38" s="132">
        <f t="shared" si="8"/>
        <v>0</v>
      </c>
      <c r="BC38" s="132">
        <f t="shared" si="8"/>
        <v>0</v>
      </c>
      <c r="BD38" s="132">
        <f t="shared" si="8"/>
        <v>0</v>
      </c>
      <c r="BE38" s="132">
        <f t="shared" si="8"/>
        <v>0</v>
      </c>
      <c r="BF38" s="132">
        <f t="shared" si="8"/>
        <v>0</v>
      </c>
      <c r="BG38" s="132">
        <f t="shared" si="8"/>
        <v>0</v>
      </c>
      <c r="BH38" s="132">
        <f t="shared" si="8"/>
        <v>0</v>
      </c>
      <c r="BI38" s="132">
        <f t="shared" si="8"/>
        <v>0</v>
      </c>
      <c r="BJ38" s="132">
        <f t="shared" si="8"/>
        <v>0</v>
      </c>
      <c r="BK38" s="132">
        <f t="shared" si="8"/>
        <v>0</v>
      </c>
      <c r="BL38" s="132">
        <f t="shared" si="8"/>
        <v>0</v>
      </c>
      <c r="BM38" s="132">
        <f t="shared" si="8"/>
        <v>0</v>
      </c>
      <c r="BN38" s="132">
        <f t="shared" si="8"/>
        <v>45424.5</v>
      </c>
      <c r="BO38" s="132">
        <f t="shared" ref="BO38" si="9">SUM(BO39:BO49)</f>
        <v>45424.5</v>
      </c>
      <c r="BP38" s="132">
        <v>45424.5</v>
      </c>
      <c r="BQ38" s="132">
        <v>45424.5</v>
      </c>
      <c r="BR38" s="132">
        <v>45424.5</v>
      </c>
      <c r="BS38" s="132">
        <v>45424.46</v>
      </c>
      <c r="BT38" s="132">
        <f t="shared" ref="BT38" si="10">SUM(BT39:BT49)</f>
        <v>74139.009999999995</v>
      </c>
    </row>
    <row r="39" spans="1:72" ht="15" hidden="1" customHeight="1" outlineLevel="1" x14ac:dyDescent="0.3">
      <c r="A39" t="s">
        <v>261</v>
      </c>
      <c r="B39" s="134" t="s">
        <v>262</v>
      </c>
      <c r="C39" s="137">
        <v>0</v>
      </c>
      <c r="D39" s="137">
        <v>0</v>
      </c>
      <c r="E39" s="137">
        <v>0</v>
      </c>
      <c r="F39" s="137">
        <v>0</v>
      </c>
      <c r="G39" s="137">
        <v>0</v>
      </c>
      <c r="H39" s="137">
        <v>0</v>
      </c>
      <c r="I39" s="137">
        <v>0</v>
      </c>
      <c r="J39" s="137">
        <v>0</v>
      </c>
      <c r="K39" s="137">
        <v>0</v>
      </c>
      <c r="L39" s="137">
        <v>0</v>
      </c>
      <c r="M39" s="137">
        <v>0</v>
      </c>
      <c r="N39" s="137">
        <v>0</v>
      </c>
      <c r="O39" s="137">
        <v>0</v>
      </c>
      <c r="P39" s="137">
        <v>0</v>
      </c>
      <c r="Q39" s="137">
        <v>0</v>
      </c>
      <c r="R39" s="137">
        <v>0</v>
      </c>
      <c r="S39" s="137">
        <v>0</v>
      </c>
      <c r="T39" s="137">
        <v>0</v>
      </c>
      <c r="U39" s="137">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37">
        <v>0</v>
      </c>
      <c r="AM39" s="137">
        <v>0</v>
      </c>
      <c r="AN39" s="137">
        <v>0</v>
      </c>
      <c r="AO39" s="137">
        <v>0</v>
      </c>
      <c r="AP39" s="137">
        <v>0</v>
      </c>
      <c r="AQ39" s="137">
        <v>0</v>
      </c>
      <c r="AR39" s="137">
        <v>0</v>
      </c>
      <c r="AS39" s="137">
        <v>0</v>
      </c>
      <c r="AT39" s="137">
        <v>0</v>
      </c>
      <c r="AU39" s="137">
        <v>0</v>
      </c>
      <c r="AV39" s="137">
        <v>0</v>
      </c>
      <c r="AW39" s="137">
        <v>0</v>
      </c>
      <c r="AX39" s="137">
        <v>0</v>
      </c>
      <c r="AY39" s="137">
        <v>0</v>
      </c>
      <c r="AZ39" s="137">
        <v>0</v>
      </c>
      <c r="BA39" s="137">
        <v>0</v>
      </c>
      <c r="BB39" s="137">
        <v>0</v>
      </c>
      <c r="BC39" s="137">
        <v>0</v>
      </c>
      <c r="BD39" s="137">
        <v>0</v>
      </c>
      <c r="BE39" s="137">
        <v>0</v>
      </c>
      <c r="BF39" s="137">
        <v>0</v>
      </c>
      <c r="BG39" s="137">
        <v>0</v>
      </c>
      <c r="BH39" s="137">
        <v>0</v>
      </c>
      <c r="BI39" s="137">
        <v>0</v>
      </c>
      <c r="BJ39" s="137">
        <v>0</v>
      </c>
      <c r="BK39" s="137">
        <v>0</v>
      </c>
      <c r="BL39" s="137">
        <v>0</v>
      </c>
      <c r="BM39" s="137">
        <v>0</v>
      </c>
      <c r="BN39" s="137">
        <v>45424.5</v>
      </c>
      <c r="BO39" s="137">
        <v>45424.5</v>
      </c>
      <c r="BP39" s="137">
        <v>45424.5</v>
      </c>
      <c r="BQ39" s="137">
        <v>45424.5</v>
      </c>
      <c r="BR39" s="137">
        <v>45424.5</v>
      </c>
      <c r="BS39" s="137">
        <v>45424.46</v>
      </c>
      <c r="BT39" s="137">
        <v>74139.009999999995</v>
      </c>
    </row>
    <row r="40" spans="1:72" ht="15" hidden="1" customHeight="1" outlineLevel="1" x14ac:dyDescent="0.3">
      <c r="A40" t="s">
        <v>73</v>
      </c>
      <c r="B40" s="134" t="s">
        <v>263</v>
      </c>
      <c r="C40" s="135">
        <v>40349.839999999997</v>
      </c>
      <c r="D40" s="135">
        <v>40349.839999999997</v>
      </c>
      <c r="E40" s="135">
        <v>40349.839999999997</v>
      </c>
      <c r="F40" s="135">
        <v>40349.839999999997</v>
      </c>
      <c r="G40" s="135">
        <v>40349.839999999997</v>
      </c>
      <c r="H40" s="135">
        <v>40349.839999999997</v>
      </c>
      <c r="I40" s="135">
        <v>40349.839999999997</v>
      </c>
      <c r="J40" s="135">
        <v>40349.839999999997</v>
      </c>
      <c r="K40" s="135">
        <v>40349.839999999997</v>
      </c>
      <c r="L40" s="135">
        <v>40349.839999999997</v>
      </c>
      <c r="M40" s="135">
        <v>40349.839999999997</v>
      </c>
      <c r="N40" s="135">
        <v>40349.839999999997</v>
      </c>
      <c r="O40" s="135">
        <v>40349.839999999997</v>
      </c>
      <c r="P40" s="135">
        <v>40349.839999999997</v>
      </c>
      <c r="Q40" s="135">
        <v>40349.839999999997</v>
      </c>
      <c r="R40" s="135">
        <v>40349.839999999997</v>
      </c>
      <c r="S40" s="135">
        <v>40349.839999999997</v>
      </c>
      <c r="T40" s="135">
        <v>40349.839999999997</v>
      </c>
      <c r="U40" s="135">
        <v>40349.839999999997</v>
      </c>
      <c r="V40" s="135">
        <v>40349.839999999997</v>
      </c>
      <c r="W40" s="135">
        <v>40349.839999999997</v>
      </c>
      <c r="X40" s="135">
        <v>40349.839999999997</v>
      </c>
      <c r="Y40" s="135">
        <v>40349.839999999997</v>
      </c>
      <c r="Z40" s="135">
        <v>40349.839999999997</v>
      </c>
      <c r="AA40" s="135">
        <v>40349.839999999997</v>
      </c>
      <c r="AB40" s="135">
        <v>40349.839999999997</v>
      </c>
      <c r="AC40" s="135">
        <v>40349.839999999997</v>
      </c>
      <c r="AD40" s="135">
        <v>40349.839999999997</v>
      </c>
      <c r="AE40" s="135">
        <v>40349.839999999997</v>
      </c>
      <c r="AF40" s="135">
        <v>40349.839999999997</v>
      </c>
      <c r="AG40" s="135">
        <v>40349.839999999997</v>
      </c>
      <c r="AH40" s="135">
        <v>40349.839999999997</v>
      </c>
      <c r="AI40" s="135">
        <v>40349.839999999997</v>
      </c>
      <c r="AJ40" s="137">
        <v>40349.839999999997</v>
      </c>
      <c r="AK40" s="135">
        <v>27486.93</v>
      </c>
      <c r="AL40" s="136">
        <v>27486.93</v>
      </c>
      <c r="AM40" s="136">
        <v>27486.93</v>
      </c>
      <c r="AN40" s="136">
        <v>27486.93</v>
      </c>
      <c r="AO40" s="136">
        <v>12862.59</v>
      </c>
      <c r="AP40" s="136">
        <v>12862.59</v>
      </c>
      <c r="AQ40" s="136">
        <v>12862.59</v>
      </c>
      <c r="AR40" s="136">
        <v>0</v>
      </c>
      <c r="AS40" s="136">
        <v>0</v>
      </c>
      <c r="AT40" s="136">
        <v>0</v>
      </c>
      <c r="AU40" s="136">
        <v>0</v>
      </c>
      <c r="AV40" s="136">
        <v>0</v>
      </c>
      <c r="AW40" s="136">
        <v>0</v>
      </c>
      <c r="AX40" s="136">
        <v>0</v>
      </c>
      <c r="AY40" s="136">
        <v>0</v>
      </c>
      <c r="AZ40" s="136">
        <v>0</v>
      </c>
      <c r="BA40" s="136">
        <v>0</v>
      </c>
      <c r="BB40" s="136"/>
      <c r="BC40" s="136">
        <v>0</v>
      </c>
      <c r="BD40" s="136">
        <v>0</v>
      </c>
      <c r="BE40" s="136">
        <v>0</v>
      </c>
      <c r="BF40" s="136">
        <v>0</v>
      </c>
      <c r="BG40" s="137">
        <v>0</v>
      </c>
      <c r="BH40" s="137">
        <v>0</v>
      </c>
      <c r="BI40" s="137">
        <v>0</v>
      </c>
      <c r="BJ40" s="137">
        <v>0</v>
      </c>
      <c r="BK40" s="137">
        <v>0</v>
      </c>
      <c r="BL40" s="137">
        <v>0</v>
      </c>
      <c r="BM40" s="137">
        <v>0</v>
      </c>
      <c r="BN40" s="137">
        <v>0</v>
      </c>
      <c r="BO40" s="137">
        <v>0</v>
      </c>
      <c r="BP40" s="137">
        <v>0</v>
      </c>
      <c r="BQ40" s="137">
        <v>0</v>
      </c>
      <c r="BR40" s="137">
        <v>0</v>
      </c>
      <c r="BS40" s="137">
        <v>0</v>
      </c>
      <c r="BT40" s="137">
        <v>0</v>
      </c>
    </row>
    <row r="41" spans="1:72" ht="15" hidden="1" customHeight="1" outlineLevel="1" x14ac:dyDescent="0.3">
      <c r="A41" t="s">
        <v>73</v>
      </c>
      <c r="B41" s="134" t="s">
        <v>264</v>
      </c>
      <c r="C41" s="135">
        <v>0</v>
      </c>
      <c r="D41" s="135">
        <v>0</v>
      </c>
      <c r="E41" s="135">
        <v>0</v>
      </c>
      <c r="F41" s="135">
        <v>0</v>
      </c>
      <c r="G41" s="135">
        <v>0</v>
      </c>
      <c r="H41" s="135">
        <v>0</v>
      </c>
      <c r="I41" s="135">
        <v>0</v>
      </c>
      <c r="J41" s="135">
        <v>0</v>
      </c>
      <c r="K41" s="135">
        <v>0</v>
      </c>
      <c r="L41" s="135">
        <v>0</v>
      </c>
      <c r="M41" s="135">
        <v>0</v>
      </c>
      <c r="N41" s="135">
        <v>0</v>
      </c>
      <c r="O41" s="135">
        <v>0</v>
      </c>
      <c r="P41" s="135">
        <v>0</v>
      </c>
      <c r="Q41" s="135">
        <v>0</v>
      </c>
      <c r="R41" s="135">
        <v>0</v>
      </c>
      <c r="S41" s="135">
        <v>0</v>
      </c>
      <c r="T41" s="135">
        <v>0</v>
      </c>
      <c r="U41" s="135">
        <v>0</v>
      </c>
      <c r="V41" s="135">
        <v>0</v>
      </c>
      <c r="W41" s="135">
        <v>0</v>
      </c>
      <c r="X41" s="135">
        <v>0</v>
      </c>
      <c r="Y41" s="135">
        <v>0</v>
      </c>
      <c r="Z41" s="135">
        <v>0</v>
      </c>
      <c r="AA41" s="135">
        <v>0</v>
      </c>
      <c r="AB41" s="135">
        <v>0</v>
      </c>
      <c r="AC41" s="135">
        <v>0</v>
      </c>
      <c r="AD41" s="135">
        <v>0</v>
      </c>
      <c r="AE41" s="135">
        <v>0</v>
      </c>
      <c r="AF41" s="135">
        <v>0</v>
      </c>
      <c r="AG41" s="135">
        <v>0</v>
      </c>
      <c r="AH41" s="135">
        <v>0</v>
      </c>
      <c r="AI41" s="135">
        <v>0</v>
      </c>
      <c r="AJ41" s="135">
        <v>0</v>
      </c>
      <c r="AK41" s="135">
        <v>0</v>
      </c>
      <c r="AL41" s="136">
        <v>115067.27000000002</v>
      </c>
      <c r="AM41" s="136">
        <v>115067.27000000002</v>
      </c>
      <c r="AN41" s="136">
        <v>115067.27000000002</v>
      </c>
      <c r="AO41" s="136">
        <v>0</v>
      </c>
      <c r="AP41" s="136">
        <v>0</v>
      </c>
      <c r="AQ41" s="136">
        <v>0</v>
      </c>
      <c r="AR41" s="136">
        <v>0</v>
      </c>
      <c r="AS41" s="136">
        <v>0</v>
      </c>
      <c r="AT41" s="136">
        <v>0</v>
      </c>
      <c r="AU41" s="136">
        <v>0</v>
      </c>
      <c r="AV41" s="136">
        <v>0</v>
      </c>
      <c r="AW41" s="136">
        <v>0</v>
      </c>
      <c r="AX41" s="136">
        <v>0</v>
      </c>
      <c r="AY41" s="136">
        <v>0</v>
      </c>
      <c r="AZ41" s="136">
        <v>0</v>
      </c>
      <c r="BA41" s="136">
        <v>0</v>
      </c>
      <c r="BB41" s="136"/>
      <c r="BC41" s="136">
        <v>0</v>
      </c>
      <c r="BD41" s="136">
        <v>0</v>
      </c>
      <c r="BE41" s="136">
        <v>0</v>
      </c>
      <c r="BF41" s="136">
        <v>0</v>
      </c>
      <c r="BG41" s="137">
        <v>0</v>
      </c>
      <c r="BH41" s="137">
        <v>0</v>
      </c>
      <c r="BI41" s="137">
        <v>0</v>
      </c>
      <c r="BJ41" s="137">
        <v>0</v>
      </c>
      <c r="BK41" s="137">
        <v>0</v>
      </c>
      <c r="BL41" s="137">
        <v>0</v>
      </c>
      <c r="BM41" s="137">
        <v>0</v>
      </c>
      <c r="BN41" s="137">
        <v>0</v>
      </c>
      <c r="BO41" s="137">
        <v>0</v>
      </c>
      <c r="BP41" s="137">
        <v>0</v>
      </c>
      <c r="BQ41" s="137">
        <v>0</v>
      </c>
      <c r="BR41" s="137">
        <v>0</v>
      </c>
      <c r="BS41" s="137">
        <v>0</v>
      </c>
      <c r="BT41" s="137">
        <v>0</v>
      </c>
    </row>
    <row r="42" spans="1:72" ht="15" hidden="1" customHeight="1" outlineLevel="1" x14ac:dyDescent="0.3">
      <c r="A42" t="s">
        <v>73</v>
      </c>
      <c r="B42" s="134" t="s">
        <v>265</v>
      </c>
      <c r="C42" s="135">
        <v>0</v>
      </c>
      <c r="D42" s="135">
        <v>0</v>
      </c>
      <c r="E42" s="135">
        <v>0</v>
      </c>
      <c r="F42" s="135">
        <v>0</v>
      </c>
      <c r="G42" s="135">
        <v>0</v>
      </c>
      <c r="H42" s="135">
        <v>0</v>
      </c>
      <c r="I42" s="135">
        <v>0</v>
      </c>
      <c r="J42" s="135">
        <v>0</v>
      </c>
      <c r="K42" s="135">
        <v>0</v>
      </c>
      <c r="L42" s="135">
        <v>0</v>
      </c>
      <c r="M42" s="135">
        <v>0</v>
      </c>
      <c r="N42" s="135">
        <v>0</v>
      </c>
      <c r="O42" s="135">
        <v>0</v>
      </c>
      <c r="P42" s="135">
        <v>0</v>
      </c>
      <c r="Q42" s="135">
        <v>0</v>
      </c>
      <c r="R42" s="135">
        <v>0</v>
      </c>
      <c r="S42" s="135">
        <v>0</v>
      </c>
      <c r="T42" s="135">
        <v>0</v>
      </c>
      <c r="U42" s="135">
        <v>0</v>
      </c>
      <c r="V42" s="135">
        <v>0</v>
      </c>
      <c r="W42" s="135">
        <v>0</v>
      </c>
      <c r="X42" s="135">
        <v>0</v>
      </c>
      <c r="Y42" s="135">
        <v>0</v>
      </c>
      <c r="Z42" s="135">
        <v>0</v>
      </c>
      <c r="AA42" s="135">
        <v>0</v>
      </c>
      <c r="AB42" s="135">
        <v>0</v>
      </c>
      <c r="AC42" s="135">
        <v>0</v>
      </c>
      <c r="AD42" s="135">
        <v>0</v>
      </c>
      <c r="AE42" s="135">
        <v>0</v>
      </c>
      <c r="AF42" s="135">
        <v>0</v>
      </c>
      <c r="AG42" s="135">
        <v>0</v>
      </c>
      <c r="AH42" s="135">
        <v>0</v>
      </c>
      <c r="AI42" s="135">
        <v>0</v>
      </c>
      <c r="AJ42" s="135">
        <v>0</v>
      </c>
      <c r="AK42" s="135">
        <v>0</v>
      </c>
      <c r="AL42" s="136">
        <v>75975.600000000006</v>
      </c>
      <c r="AM42" s="136">
        <v>75975.600000000006</v>
      </c>
      <c r="AN42" s="136">
        <v>75975.600000000006</v>
      </c>
      <c r="AO42" s="136">
        <v>0</v>
      </c>
      <c r="AP42" s="136">
        <v>0</v>
      </c>
      <c r="AQ42" s="136">
        <v>0</v>
      </c>
      <c r="AR42" s="136">
        <v>0</v>
      </c>
      <c r="AS42" s="136">
        <v>0</v>
      </c>
      <c r="AT42" s="136">
        <v>0</v>
      </c>
      <c r="AU42" s="136">
        <v>0</v>
      </c>
      <c r="AV42" s="136">
        <v>0</v>
      </c>
      <c r="AW42" s="136">
        <v>0</v>
      </c>
      <c r="AX42" s="136">
        <v>0</v>
      </c>
      <c r="AY42" s="136">
        <v>0</v>
      </c>
      <c r="AZ42" s="136">
        <v>0</v>
      </c>
      <c r="BA42" s="136">
        <v>0</v>
      </c>
      <c r="BB42" s="136"/>
      <c r="BC42" s="136">
        <v>0</v>
      </c>
      <c r="BD42" s="136">
        <v>0</v>
      </c>
      <c r="BE42" s="136">
        <v>0</v>
      </c>
      <c r="BF42" s="136">
        <v>0</v>
      </c>
      <c r="BG42" s="137">
        <v>0</v>
      </c>
      <c r="BH42" s="137">
        <v>0</v>
      </c>
      <c r="BI42" s="137">
        <v>0</v>
      </c>
      <c r="BJ42" s="137">
        <v>0</v>
      </c>
      <c r="BK42" s="137">
        <v>0</v>
      </c>
      <c r="BL42" s="137">
        <v>0</v>
      </c>
      <c r="BM42" s="137">
        <v>0</v>
      </c>
      <c r="BN42" s="137">
        <v>0</v>
      </c>
      <c r="BO42" s="137">
        <v>0</v>
      </c>
      <c r="BP42" s="137">
        <v>0</v>
      </c>
      <c r="BQ42" s="137">
        <v>0</v>
      </c>
      <c r="BR42" s="137">
        <v>0</v>
      </c>
      <c r="BS42" s="137">
        <v>0</v>
      </c>
      <c r="BT42" s="137">
        <v>0</v>
      </c>
    </row>
    <row r="43" spans="1:72" ht="15" hidden="1" customHeight="1" outlineLevel="1" x14ac:dyDescent="0.3">
      <c r="A43" t="s">
        <v>73</v>
      </c>
      <c r="B43" s="134" t="s">
        <v>266</v>
      </c>
      <c r="C43" s="135">
        <v>0</v>
      </c>
      <c r="D43" s="135">
        <v>0</v>
      </c>
      <c r="E43" s="135">
        <v>0</v>
      </c>
      <c r="F43" s="135">
        <v>0</v>
      </c>
      <c r="G43" s="135">
        <v>0</v>
      </c>
      <c r="H43" s="135">
        <v>0</v>
      </c>
      <c r="I43" s="135">
        <v>0</v>
      </c>
      <c r="J43" s="135">
        <v>0</v>
      </c>
      <c r="K43" s="135">
        <v>0</v>
      </c>
      <c r="L43" s="135">
        <v>0</v>
      </c>
      <c r="M43" s="135">
        <v>0</v>
      </c>
      <c r="N43" s="135">
        <v>0</v>
      </c>
      <c r="O43" s="135">
        <v>0</v>
      </c>
      <c r="P43" s="135">
        <v>0</v>
      </c>
      <c r="Q43" s="135">
        <v>0</v>
      </c>
      <c r="R43" s="135">
        <v>0</v>
      </c>
      <c r="S43" s="135">
        <v>0</v>
      </c>
      <c r="T43" s="135">
        <v>0</v>
      </c>
      <c r="U43" s="135">
        <v>0</v>
      </c>
      <c r="V43" s="135">
        <v>0</v>
      </c>
      <c r="W43" s="135">
        <v>0</v>
      </c>
      <c r="X43" s="135">
        <v>0</v>
      </c>
      <c r="Y43" s="135">
        <v>0</v>
      </c>
      <c r="Z43" s="135">
        <v>0</v>
      </c>
      <c r="AA43" s="135">
        <v>0</v>
      </c>
      <c r="AB43" s="135">
        <v>0</v>
      </c>
      <c r="AC43" s="135">
        <v>0</v>
      </c>
      <c r="AD43" s="135">
        <v>0</v>
      </c>
      <c r="AE43" s="135">
        <v>0</v>
      </c>
      <c r="AF43" s="135">
        <v>0</v>
      </c>
      <c r="AG43" s="135">
        <v>0</v>
      </c>
      <c r="AH43" s="135">
        <v>0</v>
      </c>
      <c r="AI43" s="135">
        <v>0</v>
      </c>
      <c r="AJ43" s="135">
        <v>0</v>
      </c>
      <c r="AK43" s="135">
        <v>0</v>
      </c>
      <c r="AL43" s="136">
        <v>33066.720000000001</v>
      </c>
      <c r="AM43" s="136">
        <v>33066.720000000001</v>
      </c>
      <c r="AN43" s="136">
        <v>33066.720000000001</v>
      </c>
      <c r="AO43" s="136">
        <v>0</v>
      </c>
      <c r="AP43" s="136">
        <v>0</v>
      </c>
      <c r="AQ43" s="136">
        <v>0</v>
      </c>
      <c r="AR43" s="136">
        <v>0</v>
      </c>
      <c r="AS43" s="136">
        <v>0</v>
      </c>
      <c r="AT43" s="136">
        <v>0</v>
      </c>
      <c r="AU43" s="136">
        <v>0</v>
      </c>
      <c r="AV43" s="136">
        <v>0</v>
      </c>
      <c r="AW43" s="136">
        <v>0</v>
      </c>
      <c r="AX43" s="136">
        <v>0</v>
      </c>
      <c r="AY43" s="136">
        <v>0</v>
      </c>
      <c r="AZ43" s="136">
        <v>0</v>
      </c>
      <c r="BA43" s="136">
        <v>0</v>
      </c>
      <c r="BB43" s="136"/>
      <c r="BC43" s="136">
        <v>0</v>
      </c>
      <c r="BD43" s="136">
        <v>0</v>
      </c>
      <c r="BE43" s="136">
        <v>0</v>
      </c>
      <c r="BF43" s="136">
        <v>0</v>
      </c>
      <c r="BG43" s="137">
        <v>0</v>
      </c>
      <c r="BH43" s="137">
        <v>0</v>
      </c>
      <c r="BI43" s="137">
        <v>0</v>
      </c>
      <c r="BJ43" s="137">
        <v>0</v>
      </c>
      <c r="BK43" s="137">
        <v>0</v>
      </c>
      <c r="BL43" s="137">
        <v>0</v>
      </c>
      <c r="BM43" s="137">
        <v>0</v>
      </c>
      <c r="BN43" s="137">
        <v>0</v>
      </c>
      <c r="BO43" s="137">
        <v>0</v>
      </c>
      <c r="BP43" s="137">
        <v>0</v>
      </c>
      <c r="BQ43" s="137">
        <v>0</v>
      </c>
      <c r="BR43" s="137">
        <v>0</v>
      </c>
      <c r="BS43" s="137">
        <v>0</v>
      </c>
      <c r="BT43" s="137">
        <v>0</v>
      </c>
    </row>
    <row r="44" spans="1:72" ht="15" hidden="1" customHeight="1" outlineLevel="1" x14ac:dyDescent="0.3">
      <c r="A44" t="s">
        <v>73</v>
      </c>
      <c r="B44" s="141" t="s">
        <v>267</v>
      </c>
      <c r="C44" s="135">
        <v>0</v>
      </c>
      <c r="D44" s="135">
        <v>0</v>
      </c>
      <c r="E44" s="135">
        <v>0</v>
      </c>
      <c r="F44" s="135">
        <v>0</v>
      </c>
      <c r="G44" s="135">
        <v>0</v>
      </c>
      <c r="H44" s="135">
        <v>0</v>
      </c>
      <c r="I44" s="135">
        <v>0</v>
      </c>
      <c r="J44" s="135">
        <v>0</v>
      </c>
      <c r="K44" s="135">
        <v>0</v>
      </c>
      <c r="L44" s="135">
        <v>0</v>
      </c>
      <c r="M44" s="135">
        <v>0</v>
      </c>
      <c r="N44" s="135">
        <v>0</v>
      </c>
      <c r="O44" s="135">
        <v>0</v>
      </c>
      <c r="P44" s="135">
        <v>0</v>
      </c>
      <c r="Q44" s="135">
        <v>0</v>
      </c>
      <c r="R44" s="135">
        <v>0</v>
      </c>
      <c r="S44" s="135">
        <v>0</v>
      </c>
      <c r="T44" s="135">
        <v>0</v>
      </c>
      <c r="U44" s="135">
        <v>0</v>
      </c>
      <c r="V44" s="135">
        <v>0</v>
      </c>
      <c r="W44" s="135">
        <v>0</v>
      </c>
      <c r="X44" s="135">
        <v>0</v>
      </c>
      <c r="Y44" s="135">
        <v>0</v>
      </c>
      <c r="Z44" s="135">
        <v>0</v>
      </c>
      <c r="AA44" s="135">
        <v>0</v>
      </c>
      <c r="AB44" s="135">
        <v>0</v>
      </c>
      <c r="AC44" s="135">
        <v>0</v>
      </c>
      <c r="AD44" s="135">
        <v>0</v>
      </c>
      <c r="AE44" s="135">
        <v>0</v>
      </c>
      <c r="AF44" s="135">
        <v>0</v>
      </c>
      <c r="AG44" s="135">
        <v>0</v>
      </c>
      <c r="AH44" s="135">
        <v>0</v>
      </c>
      <c r="AI44" s="135">
        <v>0</v>
      </c>
      <c r="AJ44" s="135">
        <v>0</v>
      </c>
      <c r="AK44" s="135">
        <v>0</v>
      </c>
      <c r="AL44" s="136">
        <v>229372.81</v>
      </c>
      <c r="AM44" s="136">
        <v>229372.81</v>
      </c>
      <c r="AN44" s="136">
        <v>229372.81</v>
      </c>
      <c r="AO44" s="136">
        <v>0</v>
      </c>
      <c r="AP44" s="136">
        <v>0</v>
      </c>
      <c r="AQ44" s="136">
        <v>0</v>
      </c>
      <c r="AR44" s="136">
        <v>0</v>
      </c>
      <c r="AS44" s="136">
        <v>0</v>
      </c>
      <c r="AT44" s="136">
        <v>0</v>
      </c>
      <c r="AU44" s="136">
        <v>0</v>
      </c>
      <c r="AV44" s="136">
        <v>0</v>
      </c>
      <c r="AW44" s="136">
        <v>0</v>
      </c>
      <c r="AX44" s="136">
        <v>0</v>
      </c>
      <c r="AY44" s="136">
        <v>0</v>
      </c>
      <c r="AZ44" s="136">
        <v>0</v>
      </c>
      <c r="BA44" s="136">
        <v>0</v>
      </c>
      <c r="BB44" s="136"/>
      <c r="BC44" s="136">
        <v>0</v>
      </c>
      <c r="BD44" s="136">
        <v>0</v>
      </c>
      <c r="BE44" s="136">
        <v>0</v>
      </c>
      <c r="BF44" s="136">
        <v>0</v>
      </c>
      <c r="BG44" s="137">
        <v>0</v>
      </c>
      <c r="BH44" s="137">
        <v>0</v>
      </c>
      <c r="BI44" s="137">
        <v>0</v>
      </c>
      <c r="BJ44" s="137">
        <v>0</v>
      </c>
      <c r="BK44" s="137">
        <v>0</v>
      </c>
      <c r="BL44" s="137">
        <v>0</v>
      </c>
      <c r="BM44" s="137">
        <v>0</v>
      </c>
      <c r="BN44" s="137">
        <v>0</v>
      </c>
      <c r="BO44" s="137">
        <v>0</v>
      </c>
      <c r="BP44" s="137">
        <v>0</v>
      </c>
      <c r="BQ44" s="137">
        <v>0</v>
      </c>
      <c r="BR44" s="137">
        <v>0</v>
      </c>
      <c r="BS44" s="137">
        <v>0</v>
      </c>
      <c r="BT44" s="137">
        <v>0</v>
      </c>
    </row>
    <row r="45" spans="1:72" ht="15" hidden="1" customHeight="1" outlineLevel="1" x14ac:dyDescent="0.3">
      <c r="A45" t="s">
        <v>73</v>
      </c>
      <c r="B45" s="141" t="s">
        <v>268</v>
      </c>
      <c r="C45" s="135">
        <v>0</v>
      </c>
      <c r="D45" s="135">
        <v>0</v>
      </c>
      <c r="E45" s="135">
        <v>0</v>
      </c>
      <c r="F45" s="135">
        <v>0</v>
      </c>
      <c r="G45" s="135">
        <v>0</v>
      </c>
      <c r="H45" s="135">
        <v>0</v>
      </c>
      <c r="I45" s="135">
        <v>0</v>
      </c>
      <c r="J45" s="135">
        <v>0</v>
      </c>
      <c r="K45" s="135">
        <v>0</v>
      </c>
      <c r="L45" s="135">
        <v>0</v>
      </c>
      <c r="M45" s="135">
        <v>0</v>
      </c>
      <c r="N45" s="135">
        <v>0</v>
      </c>
      <c r="O45" s="135">
        <v>0</v>
      </c>
      <c r="P45" s="135">
        <v>0</v>
      </c>
      <c r="Q45" s="135">
        <v>0</v>
      </c>
      <c r="R45" s="135">
        <v>0</v>
      </c>
      <c r="S45" s="135">
        <v>0</v>
      </c>
      <c r="T45" s="135">
        <v>0</v>
      </c>
      <c r="U45" s="135">
        <v>0</v>
      </c>
      <c r="V45" s="135">
        <v>0</v>
      </c>
      <c r="W45" s="135">
        <v>0</v>
      </c>
      <c r="X45" s="135">
        <v>0</v>
      </c>
      <c r="Y45" s="135">
        <v>0</v>
      </c>
      <c r="Z45" s="135">
        <v>165671.36000000002</v>
      </c>
      <c r="AA45" s="135">
        <v>165671.36000000002</v>
      </c>
      <c r="AB45" s="135">
        <v>165671.36000000002</v>
      </c>
      <c r="AC45" s="135">
        <v>229372.81</v>
      </c>
      <c r="AD45" s="135">
        <v>229372.81</v>
      </c>
      <c r="AE45" s="135">
        <v>229372.81</v>
      </c>
      <c r="AF45" s="135">
        <v>229372.81</v>
      </c>
      <c r="AG45" s="135">
        <v>229372.81</v>
      </c>
      <c r="AH45" s="135">
        <v>229372.81</v>
      </c>
      <c r="AI45" s="135">
        <v>229372.81</v>
      </c>
      <c r="AJ45" s="135">
        <v>229372.81</v>
      </c>
      <c r="AK45" s="135">
        <v>229372.81</v>
      </c>
      <c r="AL45" s="136">
        <v>229372.81</v>
      </c>
      <c r="AM45" s="136">
        <v>229372.81</v>
      </c>
      <c r="AN45" s="136">
        <v>229372.81</v>
      </c>
      <c r="AO45" s="136">
        <v>0</v>
      </c>
      <c r="AP45" s="136">
        <v>0</v>
      </c>
      <c r="AQ45" s="136">
        <v>0</v>
      </c>
      <c r="AR45" s="136">
        <v>0</v>
      </c>
      <c r="AS45" s="136">
        <v>0</v>
      </c>
      <c r="AT45" s="136">
        <v>0</v>
      </c>
      <c r="AU45" s="136">
        <v>0</v>
      </c>
      <c r="AV45" s="136">
        <v>0</v>
      </c>
      <c r="AW45" s="136">
        <v>0</v>
      </c>
      <c r="AX45" s="136">
        <v>0</v>
      </c>
      <c r="AY45" s="136">
        <v>0</v>
      </c>
      <c r="AZ45" s="136">
        <v>0</v>
      </c>
      <c r="BA45" s="136">
        <v>0</v>
      </c>
      <c r="BB45" s="136"/>
      <c r="BC45" s="136">
        <v>0</v>
      </c>
      <c r="BD45" s="136">
        <v>0</v>
      </c>
      <c r="BE45" s="136">
        <v>0</v>
      </c>
      <c r="BF45" s="136">
        <v>0</v>
      </c>
      <c r="BG45" s="137">
        <v>0</v>
      </c>
      <c r="BH45" s="137">
        <v>0</v>
      </c>
      <c r="BI45" s="137">
        <v>0</v>
      </c>
      <c r="BJ45" s="137">
        <v>0</v>
      </c>
      <c r="BK45" s="137">
        <v>0</v>
      </c>
      <c r="BL45" s="137">
        <v>0</v>
      </c>
      <c r="BM45" s="137">
        <v>0</v>
      </c>
      <c r="BN45" s="137">
        <v>0</v>
      </c>
      <c r="BO45" s="137">
        <v>0</v>
      </c>
      <c r="BP45" s="137">
        <v>0</v>
      </c>
      <c r="BQ45" s="137">
        <v>0</v>
      </c>
      <c r="BR45" s="137">
        <v>0</v>
      </c>
      <c r="BS45" s="137">
        <v>0</v>
      </c>
      <c r="BT45" s="137">
        <v>0</v>
      </c>
    </row>
    <row r="46" spans="1:72" ht="15" hidden="1" customHeight="1" outlineLevel="1" x14ac:dyDescent="0.3">
      <c r="A46" t="s">
        <v>73</v>
      </c>
      <c r="B46" s="141" t="s">
        <v>269</v>
      </c>
      <c r="C46" s="135">
        <v>0</v>
      </c>
      <c r="D46" s="135">
        <v>0</v>
      </c>
      <c r="E46" s="135">
        <v>0</v>
      </c>
      <c r="F46" s="135">
        <v>0</v>
      </c>
      <c r="G46" s="135">
        <v>0</v>
      </c>
      <c r="H46" s="135">
        <v>0</v>
      </c>
      <c r="I46" s="135">
        <v>0</v>
      </c>
      <c r="J46" s="135">
        <v>0</v>
      </c>
      <c r="K46" s="135">
        <v>0</v>
      </c>
      <c r="L46" s="135">
        <v>0</v>
      </c>
      <c r="M46" s="135">
        <v>0</v>
      </c>
      <c r="N46" s="135">
        <v>0</v>
      </c>
      <c r="O46" s="135">
        <v>0</v>
      </c>
      <c r="P46" s="135">
        <v>0</v>
      </c>
      <c r="Q46" s="135">
        <v>0</v>
      </c>
      <c r="R46" s="135">
        <v>0</v>
      </c>
      <c r="S46" s="135">
        <v>0</v>
      </c>
      <c r="T46" s="135">
        <v>0</v>
      </c>
      <c r="U46" s="135">
        <v>0</v>
      </c>
      <c r="V46" s="135">
        <v>0</v>
      </c>
      <c r="W46" s="135">
        <v>0</v>
      </c>
      <c r="X46" s="135">
        <v>0</v>
      </c>
      <c r="Y46" s="135">
        <v>0</v>
      </c>
      <c r="Z46" s="135">
        <v>0</v>
      </c>
      <c r="AA46" s="135">
        <v>0</v>
      </c>
      <c r="AB46" s="135">
        <v>54453.350000000006</v>
      </c>
      <c r="AC46" s="135">
        <v>54453.350000000006</v>
      </c>
      <c r="AD46" s="135">
        <v>54453.350000000006</v>
      </c>
      <c r="AE46" s="135">
        <v>54453.350000000006</v>
      </c>
      <c r="AF46" s="135">
        <v>54453.350000000006</v>
      </c>
      <c r="AG46" s="135">
        <v>54453.350000000006</v>
      </c>
      <c r="AH46" s="135">
        <v>54453.350000000006</v>
      </c>
      <c r="AI46" s="135">
        <v>54453.350000000006</v>
      </c>
      <c r="AJ46" s="135">
        <v>54453.350000000006</v>
      </c>
      <c r="AK46" s="135">
        <v>54453.350000000006</v>
      </c>
      <c r="AL46" s="136">
        <v>54453.350000000006</v>
      </c>
      <c r="AM46" s="136">
        <v>54453.350000000006</v>
      </c>
      <c r="AN46" s="136">
        <v>54453.350000000006</v>
      </c>
      <c r="AO46" s="136">
        <v>0</v>
      </c>
      <c r="AP46" s="136">
        <v>0</v>
      </c>
      <c r="AQ46" s="136">
        <v>0</v>
      </c>
      <c r="AR46" s="136">
        <v>0</v>
      </c>
      <c r="AS46" s="136">
        <v>0</v>
      </c>
      <c r="AT46" s="136">
        <v>0</v>
      </c>
      <c r="AU46" s="136">
        <v>0</v>
      </c>
      <c r="AV46" s="136">
        <v>0</v>
      </c>
      <c r="AW46" s="136">
        <v>0</v>
      </c>
      <c r="AX46" s="136">
        <v>0</v>
      </c>
      <c r="AY46" s="136">
        <v>0</v>
      </c>
      <c r="AZ46" s="136">
        <v>0</v>
      </c>
      <c r="BA46" s="136">
        <v>0</v>
      </c>
      <c r="BB46" s="136"/>
      <c r="BC46" s="136">
        <v>0</v>
      </c>
      <c r="BD46" s="136">
        <v>0</v>
      </c>
      <c r="BE46" s="136">
        <v>0</v>
      </c>
      <c r="BF46" s="136">
        <v>0</v>
      </c>
      <c r="BG46" s="137">
        <v>0</v>
      </c>
      <c r="BH46" s="137">
        <v>0</v>
      </c>
      <c r="BI46" s="137">
        <v>0</v>
      </c>
      <c r="BJ46" s="137">
        <v>0</v>
      </c>
      <c r="BK46" s="137">
        <v>0</v>
      </c>
      <c r="BL46" s="137">
        <v>0</v>
      </c>
      <c r="BM46" s="137">
        <v>0</v>
      </c>
      <c r="BN46" s="137">
        <v>0</v>
      </c>
      <c r="BO46" s="137">
        <v>0</v>
      </c>
      <c r="BP46" s="137">
        <v>0</v>
      </c>
      <c r="BQ46" s="137">
        <v>0</v>
      </c>
      <c r="BR46" s="137">
        <v>0</v>
      </c>
      <c r="BS46" s="137">
        <v>0</v>
      </c>
      <c r="BT46" s="137">
        <v>0</v>
      </c>
    </row>
    <row r="47" spans="1:72" ht="15" hidden="1" customHeight="1" outlineLevel="1" x14ac:dyDescent="0.3">
      <c r="A47" t="s">
        <v>73</v>
      </c>
      <c r="B47" s="141" t="s">
        <v>270</v>
      </c>
      <c r="C47" s="135">
        <v>0</v>
      </c>
      <c r="D47" s="135">
        <v>0</v>
      </c>
      <c r="E47" s="135">
        <v>0</v>
      </c>
      <c r="F47" s="135">
        <v>0</v>
      </c>
      <c r="G47" s="135">
        <v>0</v>
      </c>
      <c r="H47" s="135">
        <v>0</v>
      </c>
      <c r="I47" s="135">
        <v>0</v>
      </c>
      <c r="J47" s="135">
        <v>0</v>
      </c>
      <c r="K47" s="135">
        <v>0</v>
      </c>
      <c r="L47" s="135">
        <v>0</v>
      </c>
      <c r="M47" s="135">
        <v>0</v>
      </c>
      <c r="N47" s="135">
        <v>0</v>
      </c>
      <c r="O47" s="135">
        <v>0</v>
      </c>
      <c r="P47" s="135">
        <v>0</v>
      </c>
      <c r="Q47" s="135">
        <v>0</v>
      </c>
      <c r="R47" s="135">
        <v>0</v>
      </c>
      <c r="S47" s="135">
        <v>0</v>
      </c>
      <c r="T47" s="135">
        <v>0</v>
      </c>
      <c r="U47" s="135">
        <v>0</v>
      </c>
      <c r="V47" s="135">
        <v>0</v>
      </c>
      <c r="W47" s="135">
        <v>0</v>
      </c>
      <c r="X47" s="135">
        <v>0</v>
      </c>
      <c r="Y47" s="135">
        <v>0</v>
      </c>
      <c r="Z47" s="135">
        <v>0</v>
      </c>
      <c r="AA47" s="135">
        <v>0</v>
      </c>
      <c r="AB47" s="135">
        <v>0</v>
      </c>
      <c r="AC47" s="135">
        <v>0</v>
      </c>
      <c r="AD47" s="135">
        <v>0</v>
      </c>
      <c r="AE47" s="135">
        <v>0</v>
      </c>
      <c r="AF47" s="135">
        <v>0</v>
      </c>
      <c r="AG47" s="135">
        <v>0</v>
      </c>
      <c r="AH47" s="135">
        <v>0</v>
      </c>
      <c r="AI47" s="135">
        <v>0</v>
      </c>
      <c r="AJ47" s="135">
        <v>0</v>
      </c>
      <c r="AK47" s="135">
        <v>0</v>
      </c>
      <c r="AL47" s="136">
        <v>114075.18</v>
      </c>
      <c r="AM47" s="136">
        <v>114075.18</v>
      </c>
      <c r="AN47" s="136">
        <v>114075.18</v>
      </c>
      <c r="AO47" s="136">
        <v>0</v>
      </c>
      <c r="AP47" s="136">
        <v>0</v>
      </c>
      <c r="AQ47" s="136">
        <v>0</v>
      </c>
      <c r="AR47" s="136">
        <v>0</v>
      </c>
      <c r="AS47" s="136">
        <v>0</v>
      </c>
      <c r="AT47" s="136">
        <v>0</v>
      </c>
      <c r="AU47" s="136">
        <v>0</v>
      </c>
      <c r="AV47" s="136">
        <v>0</v>
      </c>
      <c r="AW47" s="136">
        <v>0</v>
      </c>
      <c r="AX47" s="136">
        <v>0</v>
      </c>
      <c r="AY47" s="136">
        <v>0</v>
      </c>
      <c r="AZ47" s="136">
        <v>0</v>
      </c>
      <c r="BA47" s="136">
        <v>0</v>
      </c>
      <c r="BB47" s="136"/>
      <c r="BC47" s="136">
        <v>0</v>
      </c>
      <c r="BD47" s="136">
        <v>0</v>
      </c>
      <c r="BE47" s="136">
        <v>0</v>
      </c>
      <c r="BF47" s="136">
        <v>0</v>
      </c>
      <c r="BG47" s="137">
        <v>0</v>
      </c>
      <c r="BH47" s="137">
        <v>0</v>
      </c>
      <c r="BI47" s="137">
        <v>0</v>
      </c>
      <c r="BJ47" s="137">
        <v>0</v>
      </c>
      <c r="BK47" s="137">
        <v>0</v>
      </c>
      <c r="BL47" s="137">
        <v>0</v>
      </c>
      <c r="BM47" s="137">
        <v>0</v>
      </c>
      <c r="BN47" s="137">
        <v>0</v>
      </c>
      <c r="BO47" s="137">
        <v>0</v>
      </c>
      <c r="BP47" s="137">
        <v>0</v>
      </c>
      <c r="BQ47" s="137">
        <v>0</v>
      </c>
      <c r="BR47" s="137">
        <v>0</v>
      </c>
      <c r="BS47" s="137">
        <v>0</v>
      </c>
      <c r="BT47" s="137">
        <v>0</v>
      </c>
    </row>
    <row r="48" spans="1:72" ht="15" hidden="1" customHeight="1" outlineLevel="1" x14ac:dyDescent="0.3">
      <c r="A48" t="s">
        <v>73</v>
      </c>
      <c r="B48" s="141" t="s">
        <v>271</v>
      </c>
      <c r="C48" s="135">
        <v>0</v>
      </c>
      <c r="D48" s="135">
        <v>0</v>
      </c>
      <c r="E48" s="135">
        <v>0</v>
      </c>
      <c r="F48" s="135">
        <v>0</v>
      </c>
      <c r="G48" s="135">
        <v>0</v>
      </c>
      <c r="H48" s="135">
        <v>0</v>
      </c>
      <c r="I48" s="135">
        <v>0</v>
      </c>
      <c r="J48" s="135">
        <v>0</v>
      </c>
      <c r="K48" s="135">
        <v>0</v>
      </c>
      <c r="L48" s="135">
        <v>0</v>
      </c>
      <c r="M48" s="135">
        <v>0</v>
      </c>
      <c r="N48" s="135">
        <v>0</v>
      </c>
      <c r="O48" s="135">
        <v>0</v>
      </c>
      <c r="P48" s="135">
        <v>0</v>
      </c>
      <c r="Q48" s="135">
        <v>0</v>
      </c>
      <c r="R48" s="135">
        <v>0</v>
      </c>
      <c r="S48" s="135">
        <v>0</v>
      </c>
      <c r="T48" s="135">
        <v>0</v>
      </c>
      <c r="U48" s="135">
        <v>0</v>
      </c>
      <c r="V48" s="135">
        <v>0</v>
      </c>
      <c r="W48" s="135">
        <v>0</v>
      </c>
      <c r="X48" s="135">
        <v>0</v>
      </c>
      <c r="Y48" s="135">
        <v>0</v>
      </c>
      <c r="Z48" s="135">
        <v>0</v>
      </c>
      <c r="AA48" s="135">
        <v>0</v>
      </c>
      <c r="AB48" s="135">
        <v>0</v>
      </c>
      <c r="AC48" s="135">
        <v>0</v>
      </c>
      <c r="AD48" s="135">
        <v>0</v>
      </c>
      <c r="AE48" s="135">
        <v>0</v>
      </c>
      <c r="AF48" s="135">
        <v>0</v>
      </c>
      <c r="AG48" s="135">
        <v>0</v>
      </c>
      <c r="AH48" s="135">
        <v>0</v>
      </c>
      <c r="AI48" s="135">
        <v>0</v>
      </c>
      <c r="AJ48" s="135">
        <v>0</v>
      </c>
      <c r="AK48" s="135">
        <v>0</v>
      </c>
      <c r="AL48" s="136">
        <v>61008</v>
      </c>
      <c r="AM48" s="136">
        <v>61008</v>
      </c>
      <c r="AN48" s="136">
        <v>61008</v>
      </c>
      <c r="AO48" s="136">
        <v>0</v>
      </c>
      <c r="AP48" s="136">
        <v>0</v>
      </c>
      <c r="AQ48" s="136">
        <v>0</v>
      </c>
      <c r="AR48" s="136">
        <v>0</v>
      </c>
      <c r="AS48" s="136">
        <v>0</v>
      </c>
      <c r="AT48" s="136">
        <v>0</v>
      </c>
      <c r="AU48" s="136">
        <v>0</v>
      </c>
      <c r="AV48" s="136">
        <v>0</v>
      </c>
      <c r="AW48" s="136">
        <v>0</v>
      </c>
      <c r="AX48" s="136">
        <v>0</v>
      </c>
      <c r="AY48" s="136">
        <v>0</v>
      </c>
      <c r="AZ48" s="136">
        <v>0</v>
      </c>
      <c r="BA48" s="136">
        <v>0</v>
      </c>
      <c r="BB48" s="136"/>
      <c r="BC48" s="136">
        <v>0</v>
      </c>
      <c r="BD48" s="136">
        <v>0</v>
      </c>
      <c r="BE48" s="136">
        <v>0</v>
      </c>
      <c r="BF48" s="136">
        <v>0</v>
      </c>
      <c r="BG48" s="137">
        <v>0</v>
      </c>
      <c r="BH48" s="137">
        <v>0</v>
      </c>
      <c r="BI48" s="137">
        <v>0</v>
      </c>
      <c r="BJ48" s="137">
        <v>0</v>
      </c>
      <c r="BK48" s="137">
        <v>0</v>
      </c>
      <c r="BL48" s="137">
        <v>0</v>
      </c>
      <c r="BM48" s="137">
        <v>0</v>
      </c>
      <c r="BN48" s="137">
        <v>0</v>
      </c>
      <c r="BO48" s="137">
        <v>0</v>
      </c>
      <c r="BP48" s="137">
        <v>0</v>
      </c>
      <c r="BQ48" s="137">
        <v>0</v>
      </c>
      <c r="BR48" s="137">
        <v>0</v>
      </c>
      <c r="BS48" s="137">
        <v>0</v>
      </c>
      <c r="BT48" s="137">
        <v>0</v>
      </c>
    </row>
    <row r="49" spans="1:72" ht="15" hidden="1" customHeight="1" outlineLevel="1" x14ac:dyDescent="0.3">
      <c r="A49" t="s">
        <v>73</v>
      </c>
      <c r="B49" s="141" t="s">
        <v>272</v>
      </c>
      <c r="C49" s="135">
        <v>0</v>
      </c>
      <c r="D49" s="135">
        <v>0</v>
      </c>
      <c r="E49" s="135">
        <v>0</v>
      </c>
      <c r="F49" s="135">
        <v>0</v>
      </c>
      <c r="G49" s="135">
        <v>0</v>
      </c>
      <c r="H49" s="135">
        <v>0</v>
      </c>
      <c r="I49" s="135">
        <v>0</v>
      </c>
      <c r="J49" s="135">
        <v>0</v>
      </c>
      <c r="K49" s="135">
        <v>0</v>
      </c>
      <c r="L49" s="135">
        <v>0</v>
      </c>
      <c r="M49" s="135">
        <v>0</v>
      </c>
      <c r="N49" s="135">
        <v>0</v>
      </c>
      <c r="O49" s="135">
        <v>0</v>
      </c>
      <c r="P49" s="135">
        <v>0</v>
      </c>
      <c r="Q49" s="135">
        <v>0</v>
      </c>
      <c r="R49" s="135">
        <v>0</v>
      </c>
      <c r="S49" s="135">
        <v>0</v>
      </c>
      <c r="T49" s="135">
        <v>0</v>
      </c>
      <c r="U49" s="135">
        <v>0</v>
      </c>
      <c r="V49" s="135">
        <v>0</v>
      </c>
      <c r="W49" s="135">
        <v>0</v>
      </c>
      <c r="X49" s="135">
        <v>0</v>
      </c>
      <c r="Y49" s="135">
        <v>0</v>
      </c>
      <c r="Z49" s="135">
        <v>0</v>
      </c>
      <c r="AA49" s="135">
        <v>0</v>
      </c>
      <c r="AB49" s="135">
        <v>0</v>
      </c>
      <c r="AC49" s="135">
        <v>0</v>
      </c>
      <c r="AD49" s="135">
        <v>0</v>
      </c>
      <c r="AE49" s="135">
        <v>0</v>
      </c>
      <c r="AF49" s="135">
        <v>0</v>
      </c>
      <c r="AG49" s="135">
        <v>0</v>
      </c>
      <c r="AH49" s="135">
        <v>0</v>
      </c>
      <c r="AI49" s="135">
        <v>0</v>
      </c>
      <c r="AJ49" s="135">
        <v>0</v>
      </c>
      <c r="AK49" s="135">
        <v>0</v>
      </c>
      <c r="AL49" s="135">
        <v>99471</v>
      </c>
      <c r="AM49" s="136">
        <v>153959</v>
      </c>
      <c r="AN49" s="136">
        <v>153959</v>
      </c>
      <c r="AO49" s="136">
        <v>0</v>
      </c>
      <c r="AP49" s="136">
        <v>0</v>
      </c>
      <c r="AQ49" s="136">
        <v>0</v>
      </c>
      <c r="AR49" s="136">
        <v>0</v>
      </c>
      <c r="AS49" s="136">
        <v>0</v>
      </c>
      <c r="AT49" s="136">
        <v>0</v>
      </c>
      <c r="AU49" s="136">
        <v>0</v>
      </c>
      <c r="AV49" s="136">
        <v>0</v>
      </c>
      <c r="AW49" s="136">
        <v>0</v>
      </c>
      <c r="AX49" s="136">
        <v>0</v>
      </c>
      <c r="AY49" s="136">
        <v>0</v>
      </c>
      <c r="AZ49" s="136">
        <v>0</v>
      </c>
      <c r="BA49" s="136">
        <v>0</v>
      </c>
      <c r="BB49" s="136"/>
      <c r="BC49" s="136">
        <v>0</v>
      </c>
      <c r="BD49" s="136">
        <v>0</v>
      </c>
      <c r="BE49" s="136">
        <v>0</v>
      </c>
      <c r="BF49" s="136">
        <v>0</v>
      </c>
      <c r="BG49" s="137">
        <v>0</v>
      </c>
      <c r="BH49" s="137">
        <v>0</v>
      </c>
      <c r="BI49" s="137">
        <v>0</v>
      </c>
      <c r="BJ49" s="137">
        <v>0</v>
      </c>
      <c r="BK49" s="137">
        <v>0</v>
      </c>
      <c r="BL49" s="137">
        <v>0</v>
      </c>
      <c r="BM49" s="137">
        <v>0</v>
      </c>
      <c r="BN49" s="137">
        <v>0</v>
      </c>
      <c r="BO49" s="137">
        <v>0</v>
      </c>
      <c r="BP49" s="137">
        <v>0</v>
      </c>
      <c r="BQ49" s="137">
        <v>0</v>
      </c>
      <c r="BR49" s="137">
        <v>0</v>
      </c>
      <c r="BS49" s="137">
        <v>0</v>
      </c>
      <c r="BT49" s="137">
        <v>0</v>
      </c>
    </row>
    <row r="50" spans="1:72" s="131" customFormat="1" ht="15" customHeight="1" collapsed="1" thickBot="1" x14ac:dyDescent="0.35">
      <c r="A50" s="131" t="s">
        <v>73</v>
      </c>
      <c r="B50" s="140" t="str">
        <f>IF('Sumário | Summary'!P1=1,"Outros","Others")</f>
        <v>Outros</v>
      </c>
      <c r="C50" s="132">
        <f t="shared" ref="C50:BN50" si="11">SUM(C51:C51)</f>
        <v>0</v>
      </c>
      <c r="D50" s="132">
        <f t="shared" si="11"/>
        <v>0</v>
      </c>
      <c r="E50" s="132">
        <f t="shared" si="11"/>
        <v>0</v>
      </c>
      <c r="F50" s="132">
        <f t="shared" si="11"/>
        <v>0</v>
      </c>
      <c r="G50" s="132">
        <f t="shared" si="11"/>
        <v>0</v>
      </c>
      <c r="H50" s="132">
        <f t="shared" si="11"/>
        <v>0</v>
      </c>
      <c r="I50" s="132">
        <f t="shared" si="11"/>
        <v>0</v>
      </c>
      <c r="J50" s="132">
        <f t="shared" si="11"/>
        <v>0</v>
      </c>
      <c r="K50" s="132">
        <f t="shared" si="11"/>
        <v>0</v>
      </c>
      <c r="L50" s="132">
        <f t="shared" si="11"/>
        <v>0</v>
      </c>
      <c r="M50" s="132">
        <f t="shared" si="11"/>
        <v>0</v>
      </c>
      <c r="N50" s="132">
        <f t="shared" si="11"/>
        <v>0</v>
      </c>
      <c r="O50" s="132">
        <f t="shared" si="11"/>
        <v>0</v>
      </c>
      <c r="P50" s="132">
        <f t="shared" si="11"/>
        <v>0</v>
      </c>
      <c r="Q50" s="132">
        <f t="shared" si="11"/>
        <v>0</v>
      </c>
      <c r="R50" s="132">
        <f t="shared" si="11"/>
        <v>0</v>
      </c>
      <c r="S50" s="132">
        <f t="shared" si="11"/>
        <v>0</v>
      </c>
      <c r="T50" s="132">
        <f t="shared" si="11"/>
        <v>0</v>
      </c>
      <c r="U50" s="132">
        <f t="shared" si="11"/>
        <v>0</v>
      </c>
      <c r="V50" s="132">
        <f t="shared" si="11"/>
        <v>0</v>
      </c>
      <c r="W50" s="132">
        <f t="shared" si="11"/>
        <v>47930</v>
      </c>
      <c r="X50" s="132">
        <f t="shared" si="11"/>
        <v>47930</v>
      </c>
      <c r="Y50" s="132">
        <f t="shared" si="11"/>
        <v>47930</v>
      </c>
      <c r="Z50" s="132">
        <f t="shared" si="11"/>
        <v>47930</v>
      </c>
      <c r="AA50" s="132">
        <f t="shared" si="11"/>
        <v>47930</v>
      </c>
      <c r="AB50" s="132">
        <f t="shared" si="11"/>
        <v>45540</v>
      </c>
      <c r="AC50" s="132">
        <f t="shared" si="11"/>
        <v>45540</v>
      </c>
      <c r="AD50" s="132">
        <f t="shared" si="11"/>
        <v>45540</v>
      </c>
      <c r="AE50" s="132">
        <f t="shared" si="11"/>
        <v>45540</v>
      </c>
      <c r="AF50" s="132">
        <f t="shared" si="11"/>
        <v>45540</v>
      </c>
      <c r="AG50" s="132">
        <f t="shared" si="11"/>
        <v>45540</v>
      </c>
      <c r="AH50" s="132">
        <f t="shared" si="11"/>
        <v>45650</v>
      </c>
      <c r="AI50" s="132">
        <f t="shared" si="11"/>
        <v>45650</v>
      </c>
      <c r="AJ50" s="132">
        <f t="shared" si="11"/>
        <v>45650</v>
      </c>
      <c r="AK50" s="132">
        <f t="shared" si="11"/>
        <v>45650</v>
      </c>
      <c r="AL50" s="132">
        <f t="shared" si="11"/>
        <v>45714</v>
      </c>
      <c r="AM50" s="132">
        <f t="shared" si="11"/>
        <v>45872.2</v>
      </c>
      <c r="AN50" s="132">
        <f t="shared" si="11"/>
        <v>45872.2</v>
      </c>
      <c r="AO50" s="132">
        <f t="shared" si="11"/>
        <v>45872.2</v>
      </c>
      <c r="AP50" s="132">
        <f t="shared" si="11"/>
        <v>45872.2</v>
      </c>
      <c r="AQ50" s="132">
        <f t="shared" si="11"/>
        <v>45872.2</v>
      </c>
      <c r="AR50" s="132">
        <f t="shared" si="11"/>
        <v>45844.480000000003</v>
      </c>
      <c r="AS50" s="132">
        <f t="shared" si="11"/>
        <v>45844.480000000003</v>
      </c>
      <c r="AT50" s="132">
        <f t="shared" si="11"/>
        <v>45844.480000000003</v>
      </c>
      <c r="AU50" s="132">
        <f t="shared" si="11"/>
        <v>45844</v>
      </c>
      <c r="AV50" s="132">
        <f t="shared" si="11"/>
        <v>45844</v>
      </c>
      <c r="AW50" s="132">
        <f t="shared" si="11"/>
        <v>45844</v>
      </c>
      <c r="AX50" s="132">
        <f t="shared" si="11"/>
        <v>45844</v>
      </c>
      <c r="AY50" s="132">
        <f t="shared" si="11"/>
        <v>45844</v>
      </c>
      <c r="AZ50" s="132">
        <f t="shared" si="11"/>
        <v>45844</v>
      </c>
      <c r="BA50" s="132">
        <f t="shared" si="11"/>
        <v>45844.480000000003</v>
      </c>
      <c r="BB50" s="132">
        <f t="shared" si="11"/>
        <v>45844</v>
      </c>
      <c r="BC50" s="132">
        <f t="shared" si="11"/>
        <v>45808.480000000003</v>
      </c>
      <c r="BD50" s="132">
        <f t="shared" si="11"/>
        <v>45808.480000000003</v>
      </c>
      <c r="BE50" s="132">
        <f t="shared" si="11"/>
        <v>45808.480000000003</v>
      </c>
      <c r="BF50" s="132">
        <f t="shared" si="11"/>
        <v>45808.480000000003</v>
      </c>
      <c r="BG50" s="132">
        <f t="shared" si="11"/>
        <v>45808.480000000003</v>
      </c>
      <c r="BH50" s="132">
        <f t="shared" si="11"/>
        <v>45808.480000000003</v>
      </c>
      <c r="BI50" s="132">
        <f t="shared" si="11"/>
        <v>45808.480000000003</v>
      </c>
      <c r="BJ50" s="132">
        <f t="shared" si="11"/>
        <v>45808.480000000003</v>
      </c>
      <c r="BK50" s="132">
        <f t="shared" si="11"/>
        <v>45808.480000000003</v>
      </c>
      <c r="BL50" s="132">
        <f t="shared" si="11"/>
        <v>45810.479999999996</v>
      </c>
      <c r="BM50" s="132">
        <f t="shared" si="11"/>
        <v>45808.5</v>
      </c>
      <c r="BN50" s="132">
        <f t="shared" si="11"/>
        <v>45808.5</v>
      </c>
      <c r="BO50" s="132">
        <f t="shared" ref="BO50" si="12">SUM(BO51:BO51)</f>
        <v>45808.5</v>
      </c>
      <c r="BP50" s="132">
        <v>45808.5</v>
      </c>
      <c r="BQ50" s="132">
        <v>45808.5</v>
      </c>
      <c r="BR50" s="132">
        <v>45808.5</v>
      </c>
      <c r="BS50" s="132">
        <v>45808.5</v>
      </c>
      <c r="BT50" s="132">
        <f>SUM(BT51:BT51)</f>
        <v>45808.5</v>
      </c>
    </row>
    <row r="51" spans="1:72" ht="15" hidden="1" customHeight="1" outlineLevel="1" thickBot="1" x14ac:dyDescent="0.35">
      <c r="A51" t="s">
        <v>273</v>
      </c>
      <c r="B51" s="134" t="s">
        <v>274</v>
      </c>
      <c r="C51" s="135">
        <v>0</v>
      </c>
      <c r="D51" s="135">
        <v>0</v>
      </c>
      <c r="E51" s="135">
        <v>0</v>
      </c>
      <c r="F51" s="135">
        <v>0</v>
      </c>
      <c r="G51" s="135">
        <v>0</v>
      </c>
      <c r="H51" s="135">
        <v>0</v>
      </c>
      <c r="I51" s="135">
        <v>0</v>
      </c>
      <c r="J51" s="135">
        <v>0</v>
      </c>
      <c r="K51" s="135">
        <v>0</v>
      </c>
      <c r="L51" s="135">
        <v>0</v>
      </c>
      <c r="M51" s="135">
        <v>0</v>
      </c>
      <c r="N51" s="135">
        <v>0</v>
      </c>
      <c r="O51" s="135">
        <v>0</v>
      </c>
      <c r="P51" s="135">
        <v>0</v>
      </c>
      <c r="Q51" s="135">
        <v>0</v>
      </c>
      <c r="R51" s="135">
        <v>0</v>
      </c>
      <c r="S51" s="135">
        <v>0</v>
      </c>
      <c r="T51" s="135">
        <v>0</v>
      </c>
      <c r="U51" s="135">
        <v>0</v>
      </c>
      <c r="V51" s="135">
        <v>0</v>
      </c>
      <c r="W51" s="135">
        <v>47930</v>
      </c>
      <c r="X51" s="135">
        <v>47930</v>
      </c>
      <c r="Y51" s="135">
        <v>47930</v>
      </c>
      <c r="Z51" s="135">
        <v>47930</v>
      </c>
      <c r="AA51" s="135">
        <v>47930</v>
      </c>
      <c r="AB51" s="135">
        <v>45540</v>
      </c>
      <c r="AC51" s="135">
        <v>45540</v>
      </c>
      <c r="AD51" s="135">
        <v>45540</v>
      </c>
      <c r="AE51" s="135">
        <v>45540</v>
      </c>
      <c r="AF51" s="135">
        <v>45540</v>
      </c>
      <c r="AG51" s="135">
        <v>45540</v>
      </c>
      <c r="AH51" s="135">
        <v>45650</v>
      </c>
      <c r="AI51" s="135">
        <v>45650</v>
      </c>
      <c r="AJ51" s="136">
        <v>45650</v>
      </c>
      <c r="AK51" s="136">
        <v>45650</v>
      </c>
      <c r="AL51" s="136">
        <v>45714</v>
      </c>
      <c r="AM51" s="136">
        <v>45872.2</v>
      </c>
      <c r="AN51" s="136">
        <v>45872.2</v>
      </c>
      <c r="AO51" s="136">
        <v>45872.2</v>
      </c>
      <c r="AP51" s="136">
        <v>45872.2</v>
      </c>
      <c r="AQ51" s="136">
        <v>45872.2</v>
      </c>
      <c r="AR51" s="136">
        <v>45844.480000000003</v>
      </c>
      <c r="AS51" s="136">
        <v>45844.480000000003</v>
      </c>
      <c r="AT51" s="136">
        <v>45844.480000000003</v>
      </c>
      <c r="AU51" s="137">
        <v>45844</v>
      </c>
      <c r="AV51" s="137">
        <v>45844</v>
      </c>
      <c r="AW51" s="137">
        <v>45844</v>
      </c>
      <c r="AX51" s="137">
        <v>45844</v>
      </c>
      <c r="AY51" s="137">
        <v>45844</v>
      </c>
      <c r="AZ51" s="137">
        <v>45844</v>
      </c>
      <c r="BA51" s="137">
        <v>45844.480000000003</v>
      </c>
      <c r="BB51" s="137">
        <v>45844</v>
      </c>
      <c r="BC51" s="136">
        <v>45808.480000000003</v>
      </c>
      <c r="BD51" s="136">
        <v>45808.480000000003</v>
      </c>
      <c r="BE51" s="136">
        <v>45808.480000000003</v>
      </c>
      <c r="BF51" s="136">
        <v>45808.480000000003</v>
      </c>
      <c r="BG51" s="137">
        <v>45808.480000000003</v>
      </c>
      <c r="BH51" s="137">
        <v>45808.480000000003</v>
      </c>
      <c r="BI51" s="137">
        <v>45808.480000000003</v>
      </c>
      <c r="BJ51" s="137">
        <v>45808.480000000003</v>
      </c>
      <c r="BK51" s="137">
        <v>45808.480000000003</v>
      </c>
      <c r="BL51" s="137">
        <v>45810.479999999996</v>
      </c>
      <c r="BM51" s="137">
        <v>45808.5</v>
      </c>
      <c r="BN51" s="137">
        <v>45808.5</v>
      </c>
      <c r="BO51" s="137">
        <v>45808.5</v>
      </c>
      <c r="BP51" s="137">
        <v>45808.5</v>
      </c>
      <c r="BQ51" s="137">
        <v>45808.5</v>
      </c>
      <c r="BR51" s="137">
        <v>45808.5</v>
      </c>
      <c r="BS51" s="137">
        <v>45808.5</v>
      </c>
      <c r="BT51" s="137">
        <v>45808.5</v>
      </c>
    </row>
    <row r="52" spans="1:72" s="131" customFormat="1" ht="15" customHeight="1" collapsed="1" thickTop="1" thickBot="1" x14ac:dyDescent="0.35">
      <c r="B52" s="142" t="s">
        <v>275</v>
      </c>
      <c r="C52" s="143">
        <f t="shared" ref="C52:BN52" si="13">C7+C29+C38+C50</f>
        <v>171067.856</v>
      </c>
      <c r="D52" s="143">
        <f t="shared" si="13"/>
        <v>186094.41999999998</v>
      </c>
      <c r="E52" s="143">
        <f t="shared" si="13"/>
        <v>186094.41999999998</v>
      </c>
      <c r="F52" s="143">
        <f t="shared" si="13"/>
        <v>186094.41999999998</v>
      </c>
      <c r="G52" s="143">
        <f t="shared" si="13"/>
        <v>193400.41999999998</v>
      </c>
      <c r="H52" s="143">
        <f t="shared" si="13"/>
        <v>193145.41999999998</v>
      </c>
      <c r="I52" s="143">
        <f t="shared" si="13"/>
        <v>193442.41999999998</v>
      </c>
      <c r="J52" s="143">
        <f t="shared" si="13"/>
        <v>196358.41999999998</v>
      </c>
      <c r="K52" s="143">
        <f t="shared" si="13"/>
        <v>194559.41999999998</v>
      </c>
      <c r="L52" s="143">
        <f t="shared" si="13"/>
        <v>191844.41999999998</v>
      </c>
      <c r="M52" s="143">
        <f t="shared" si="13"/>
        <v>192691.41999999998</v>
      </c>
      <c r="N52" s="143">
        <f t="shared" si="13"/>
        <v>192691.41999999998</v>
      </c>
      <c r="O52" s="143">
        <f t="shared" si="13"/>
        <v>192691.41999999998</v>
      </c>
      <c r="P52" s="143">
        <f t="shared" si="13"/>
        <v>190925.41999999998</v>
      </c>
      <c r="Q52" s="143">
        <f t="shared" si="13"/>
        <v>190925.41999999998</v>
      </c>
      <c r="R52" s="143">
        <f t="shared" si="13"/>
        <v>190925.41999999998</v>
      </c>
      <c r="S52" s="143">
        <f t="shared" si="13"/>
        <v>190925.41999999998</v>
      </c>
      <c r="T52" s="143">
        <f t="shared" si="13"/>
        <v>190925.41999999998</v>
      </c>
      <c r="U52" s="143">
        <f t="shared" si="13"/>
        <v>190925.41999999998</v>
      </c>
      <c r="V52" s="143">
        <f t="shared" si="13"/>
        <v>205459.41999999998</v>
      </c>
      <c r="W52" s="143">
        <f t="shared" si="13"/>
        <v>253389.41999999998</v>
      </c>
      <c r="X52" s="143">
        <f t="shared" si="13"/>
        <v>248877.47</v>
      </c>
      <c r="Y52" s="143">
        <f t="shared" si="13"/>
        <v>259762.60029999999</v>
      </c>
      <c r="Z52" s="143">
        <f t="shared" si="13"/>
        <v>504768.96030000004</v>
      </c>
      <c r="AA52" s="143">
        <f t="shared" si="13"/>
        <v>504768.96030000004</v>
      </c>
      <c r="AB52" s="143">
        <f t="shared" si="13"/>
        <v>556832.31030000001</v>
      </c>
      <c r="AC52" s="143">
        <f t="shared" si="13"/>
        <v>640520.42975216196</v>
      </c>
      <c r="AD52" s="143">
        <f t="shared" si="13"/>
        <v>640518.88872078271</v>
      </c>
      <c r="AE52" s="143">
        <f t="shared" si="13"/>
        <v>640518.88872078271</v>
      </c>
      <c r="AF52" s="143">
        <f t="shared" si="13"/>
        <v>655543.4606597448</v>
      </c>
      <c r="AG52" s="143">
        <f t="shared" si="13"/>
        <v>655542.77575104474</v>
      </c>
      <c r="AH52" s="143">
        <f t="shared" si="13"/>
        <v>654558.5857510448</v>
      </c>
      <c r="AI52" s="143">
        <f t="shared" si="13"/>
        <v>635543.58534031291</v>
      </c>
      <c r="AJ52" s="143">
        <f t="shared" si="13"/>
        <v>681667.0029310782</v>
      </c>
      <c r="AK52" s="143">
        <f t="shared" si="13"/>
        <v>668744.45427490515</v>
      </c>
      <c r="AL52" s="143">
        <f t="shared" si="13"/>
        <v>1480367.1090770545</v>
      </c>
      <c r="AM52" s="143">
        <f t="shared" si="13"/>
        <v>1533430.1139317111</v>
      </c>
      <c r="AN52" s="143">
        <f t="shared" si="13"/>
        <v>1549264.3859999997</v>
      </c>
      <c r="AO52" s="143">
        <f t="shared" si="13"/>
        <v>467737.09600000002</v>
      </c>
      <c r="AP52" s="143">
        <f t="shared" si="13"/>
        <v>469288.06599999999</v>
      </c>
      <c r="AQ52" s="143">
        <f t="shared" si="13"/>
        <v>440567.95600000001</v>
      </c>
      <c r="AR52" s="143">
        <f t="shared" si="13"/>
        <v>429628.83599999989</v>
      </c>
      <c r="AS52" s="143">
        <f t="shared" si="13"/>
        <v>429359.58600000001</v>
      </c>
      <c r="AT52" s="143">
        <f t="shared" si="13"/>
        <v>430303.70600000001</v>
      </c>
      <c r="AU52" s="143">
        <f t="shared" si="13"/>
        <v>504665.57</v>
      </c>
      <c r="AV52" s="143">
        <f t="shared" si="13"/>
        <v>516586.97666666663</v>
      </c>
      <c r="AW52" s="143">
        <f t="shared" si="13"/>
        <v>517435.98666666663</v>
      </c>
      <c r="AX52" s="143">
        <f t="shared" si="13"/>
        <v>532939.44666666677</v>
      </c>
      <c r="AY52" s="143">
        <f t="shared" si="13"/>
        <v>532985.42333333334</v>
      </c>
      <c r="AZ52" s="143">
        <f t="shared" si="13"/>
        <v>532999.66</v>
      </c>
      <c r="BA52" s="143">
        <f t="shared" si="13"/>
        <v>515810.57999999996</v>
      </c>
      <c r="BB52" s="143">
        <f t="shared" si="13"/>
        <v>516056.02333333332</v>
      </c>
      <c r="BC52" s="143">
        <f t="shared" si="13"/>
        <v>515834.82999999996</v>
      </c>
      <c r="BD52" s="143">
        <f t="shared" si="13"/>
        <v>515820.31999999995</v>
      </c>
      <c r="BE52" s="143">
        <f t="shared" si="13"/>
        <v>517062.80921237415</v>
      </c>
      <c r="BF52" s="143">
        <f t="shared" si="13"/>
        <v>383435.95921237417</v>
      </c>
      <c r="BG52" s="143">
        <f t="shared" si="13"/>
        <v>383384.9358790408</v>
      </c>
      <c r="BH52" s="143">
        <f t="shared" si="13"/>
        <v>383390.45587904082</v>
      </c>
      <c r="BI52" s="143">
        <f t="shared" si="13"/>
        <v>383428.31254570751</v>
      </c>
      <c r="BJ52" s="143">
        <f t="shared" si="13"/>
        <v>383464.71254570747</v>
      </c>
      <c r="BK52" s="143">
        <f t="shared" si="13"/>
        <v>383701.03921237419</v>
      </c>
      <c r="BL52" s="143">
        <f t="shared" si="13"/>
        <v>383859.29921237414</v>
      </c>
      <c r="BM52" s="143">
        <f t="shared" si="13"/>
        <v>384060.46597904083</v>
      </c>
      <c r="BN52" s="143">
        <f t="shared" si="13"/>
        <v>409966.73931237409</v>
      </c>
      <c r="BO52" s="143">
        <f t="shared" ref="BO52" si="14">BO7+BO29+BO38+BO50</f>
        <v>409977.77931237413</v>
      </c>
      <c r="BP52" s="143">
        <v>408999.89931237418</v>
      </c>
      <c r="BQ52" s="143">
        <v>381544.23839352536</v>
      </c>
      <c r="BR52" s="143">
        <v>383050.15264570748</v>
      </c>
      <c r="BS52" s="143">
        <v>382995.99931237422</v>
      </c>
      <c r="BT52" s="143">
        <f>BT7+BT29+BT38+BT50</f>
        <v>411688.70931237424</v>
      </c>
    </row>
    <row r="53" spans="1:72" x14ac:dyDescent="0.3">
      <c r="AC53" s="144"/>
      <c r="BE53" s="145"/>
      <c r="BF53" s="145"/>
      <c r="BG53" s="145"/>
      <c r="BH53" s="145"/>
      <c r="BI53" s="145"/>
      <c r="BJ53" s="145"/>
      <c r="BK53" s="145"/>
      <c r="BL53" s="145"/>
      <c r="BM53" s="145"/>
      <c r="BN53" s="145"/>
      <c r="BO53" s="145"/>
      <c r="BP53" s="145"/>
      <c r="BQ53" s="145"/>
      <c r="BR53" s="145"/>
      <c r="BS53" s="145"/>
      <c r="BT53" s="145"/>
    </row>
    <row r="54" spans="1:72" s="7" customFormat="1" ht="18.75" customHeight="1" x14ac:dyDescent="0.3">
      <c r="B54" s="129" t="str">
        <f>IF('Sumário | Summary'!P1=1,"ABL Total da SPE/Fundo (m²) ¹","SPE/Fund Total Area  (sqm) ¹")</f>
        <v>ABL Total da SPE/Fundo (m²) ¹</v>
      </c>
      <c r="C54" s="130" t="str">
        <f t="shared" ref="C54:BM54" si="15">C6</f>
        <v>1T08</v>
      </c>
      <c r="D54" s="130" t="str">
        <f t="shared" si="15"/>
        <v>2T08</v>
      </c>
      <c r="E54" s="130" t="str">
        <f t="shared" si="15"/>
        <v>3T08</v>
      </c>
      <c r="F54" s="130" t="str">
        <f t="shared" si="15"/>
        <v>4T08</v>
      </c>
      <c r="G54" s="130" t="str">
        <f t="shared" si="15"/>
        <v>1T09</v>
      </c>
      <c r="H54" s="130" t="str">
        <f t="shared" si="15"/>
        <v>2T09</v>
      </c>
      <c r="I54" s="130" t="str">
        <f t="shared" si="15"/>
        <v>3T09</v>
      </c>
      <c r="J54" s="130" t="str">
        <f t="shared" si="15"/>
        <v>4T09</v>
      </c>
      <c r="K54" s="130" t="str">
        <f t="shared" si="15"/>
        <v>1T10</v>
      </c>
      <c r="L54" s="130" t="str">
        <f t="shared" si="15"/>
        <v>2T10</v>
      </c>
      <c r="M54" s="130" t="str">
        <f t="shared" si="15"/>
        <v>3T10</v>
      </c>
      <c r="N54" s="130" t="str">
        <f t="shared" si="15"/>
        <v>4T10</v>
      </c>
      <c r="O54" s="130" t="str">
        <f t="shared" si="15"/>
        <v>1T11</v>
      </c>
      <c r="P54" s="130" t="str">
        <f t="shared" si="15"/>
        <v>2T11</v>
      </c>
      <c r="Q54" s="130" t="str">
        <f t="shared" si="15"/>
        <v>3T11</v>
      </c>
      <c r="R54" s="130" t="str">
        <f t="shared" si="15"/>
        <v>4T11</v>
      </c>
      <c r="S54" s="130" t="str">
        <f t="shared" si="15"/>
        <v>1T12</v>
      </c>
      <c r="T54" s="130" t="str">
        <f t="shared" si="15"/>
        <v>2T12</v>
      </c>
      <c r="U54" s="130" t="str">
        <f t="shared" si="15"/>
        <v>3T12</v>
      </c>
      <c r="V54" s="130" t="str">
        <f t="shared" si="15"/>
        <v>4T12</v>
      </c>
      <c r="W54" s="130" t="str">
        <f t="shared" si="15"/>
        <v>1T13</v>
      </c>
      <c r="X54" s="130" t="str">
        <f t="shared" si="15"/>
        <v>2T13</v>
      </c>
      <c r="Y54" s="130" t="str">
        <f t="shared" si="15"/>
        <v>3T13</v>
      </c>
      <c r="Z54" s="130" t="str">
        <f t="shared" si="15"/>
        <v>4T13</v>
      </c>
      <c r="AA54" s="130" t="str">
        <f t="shared" si="15"/>
        <v>1T14</v>
      </c>
      <c r="AB54" s="130" t="str">
        <f t="shared" si="15"/>
        <v>2T14</v>
      </c>
      <c r="AC54" s="130" t="str">
        <f t="shared" si="15"/>
        <v>3T14</v>
      </c>
      <c r="AD54" s="130" t="str">
        <f t="shared" si="15"/>
        <v>4T14</v>
      </c>
      <c r="AE54" s="130" t="str">
        <f t="shared" si="15"/>
        <v>1T15</v>
      </c>
      <c r="AF54" s="130" t="str">
        <f t="shared" si="15"/>
        <v>2T15</v>
      </c>
      <c r="AG54" s="130" t="str">
        <f t="shared" si="15"/>
        <v>3T15</v>
      </c>
      <c r="AH54" s="130" t="str">
        <f t="shared" si="15"/>
        <v>4T15</v>
      </c>
      <c r="AI54" s="130" t="str">
        <f t="shared" si="15"/>
        <v>1T16</v>
      </c>
      <c r="AJ54" s="130" t="str">
        <f t="shared" si="15"/>
        <v>2T16</v>
      </c>
      <c r="AK54" s="130" t="str">
        <f t="shared" si="15"/>
        <v>3T16</v>
      </c>
      <c r="AL54" s="130" t="str">
        <f t="shared" si="15"/>
        <v>4T16</v>
      </c>
      <c r="AM54" s="130" t="str">
        <f t="shared" si="15"/>
        <v>1T17</v>
      </c>
      <c r="AN54" s="130" t="str">
        <f t="shared" si="15"/>
        <v>2T17</v>
      </c>
      <c r="AO54" s="130" t="str">
        <f t="shared" si="15"/>
        <v>3T17</v>
      </c>
      <c r="AP54" s="130" t="str">
        <f t="shared" si="15"/>
        <v>4T17</v>
      </c>
      <c r="AQ54" s="130" t="str">
        <f t="shared" si="15"/>
        <v>1T18</v>
      </c>
      <c r="AR54" s="130" t="str">
        <f t="shared" si="15"/>
        <v>2T18</v>
      </c>
      <c r="AS54" s="130" t="str">
        <f t="shared" si="15"/>
        <v>3T18</v>
      </c>
      <c r="AT54" s="130" t="str">
        <f t="shared" si="15"/>
        <v>4T18</v>
      </c>
      <c r="AU54" s="130" t="str">
        <f t="shared" si="15"/>
        <v>1T19</v>
      </c>
      <c r="AV54" s="130" t="str">
        <f t="shared" si="15"/>
        <v>2T19</v>
      </c>
      <c r="AW54" s="130" t="str">
        <f t="shared" si="15"/>
        <v>3T19</v>
      </c>
      <c r="AX54" s="130" t="str">
        <f t="shared" si="15"/>
        <v>4T19</v>
      </c>
      <c r="AY54" s="130" t="str">
        <f t="shared" si="15"/>
        <v>1T20</v>
      </c>
      <c r="AZ54" s="130" t="str">
        <f t="shared" si="15"/>
        <v>2T20</v>
      </c>
      <c r="BA54" s="130" t="str">
        <f t="shared" si="15"/>
        <v>3T20</v>
      </c>
      <c r="BB54" s="130" t="str">
        <f t="shared" si="15"/>
        <v>4T20</v>
      </c>
      <c r="BC54" s="130" t="str">
        <f t="shared" si="15"/>
        <v>1T21</v>
      </c>
      <c r="BD54" s="130" t="str">
        <f t="shared" si="15"/>
        <v>2T21</v>
      </c>
      <c r="BE54" s="130" t="str">
        <f t="shared" si="15"/>
        <v>3T21</v>
      </c>
      <c r="BF54" s="130" t="str">
        <f t="shared" si="15"/>
        <v>4T21</v>
      </c>
      <c r="BG54" s="130" t="str">
        <f t="shared" si="15"/>
        <v>1T22</v>
      </c>
      <c r="BH54" s="130" t="str">
        <f t="shared" si="15"/>
        <v>2T22</v>
      </c>
      <c r="BI54" s="130" t="str">
        <f t="shared" si="15"/>
        <v>3T22</v>
      </c>
      <c r="BJ54" s="130" t="str">
        <f t="shared" si="15"/>
        <v>4T22</v>
      </c>
      <c r="BK54" s="130" t="str">
        <f t="shared" si="15"/>
        <v>1T23</v>
      </c>
      <c r="BL54" s="130" t="str">
        <f t="shared" si="15"/>
        <v>2T23</v>
      </c>
      <c r="BM54" s="130" t="str">
        <f t="shared" si="15"/>
        <v>3T23</v>
      </c>
      <c r="BN54" s="130" t="s">
        <v>50</v>
      </c>
      <c r="BO54" s="130" t="s">
        <v>52</v>
      </c>
      <c r="BP54" s="130" t="s">
        <v>53</v>
      </c>
      <c r="BQ54" s="130" t="s">
        <v>54</v>
      </c>
      <c r="BR54" s="130" t="s">
        <v>55</v>
      </c>
      <c r="BS54" s="130" t="s">
        <v>56</v>
      </c>
      <c r="BT54" s="130" t="str">
        <f t="shared" ref="BT54" si="16">BT6</f>
        <v>2T25</v>
      </c>
    </row>
    <row r="55" spans="1:72" s="131" customFormat="1" ht="15" customHeight="1" x14ac:dyDescent="0.3">
      <c r="B55" s="24" t="str">
        <f>IF('Sumário | Summary'!P1=1,"Escritórios","Offices")</f>
        <v>Escritórios</v>
      </c>
      <c r="C55" s="132">
        <f t="shared" ref="C55:BN55" si="17">C56+C68</f>
        <v>76887.076000000001</v>
      </c>
      <c r="D55" s="132">
        <f t="shared" si="17"/>
        <v>91913.639999999985</v>
      </c>
      <c r="E55" s="132">
        <f t="shared" si="17"/>
        <v>91913.639999999985</v>
      </c>
      <c r="F55" s="132">
        <f t="shared" si="17"/>
        <v>91913.639999999985</v>
      </c>
      <c r="G55" s="132">
        <f t="shared" si="17"/>
        <v>99219.639999999985</v>
      </c>
      <c r="H55" s="132">
        <f t="shared" si="17"/>
        <v>98964.639999999985</v>
      </c>
      <c r="I55" s="132">
        <f t="shared" si="17"/>
        <v>98964.639999999985</v>
      </c>
      <c r="J55" s="132">
        <f t="shared" si="17"/>
        <v>98193.639999999985</v>
      </c>
      <c r="K55" s="132">
        <f t="shared" si="17"/>
        <v>96394.639999999985</v>
      </c>
      <c r="L55" s="132">
        <f t="shared" si="17"/>
        <v>93679.639999999985</v>
      </c>
      <c r="M55" s="132">
        <f t="shared" si="17"/>
        <v>93679.639999999985</v>
      </c>
      <c r="N55" s="132">
        <f t="shared" si="17"/>
        <v>93679.639999999985</v>
      </c>
      <c r="O55" s="132">
        <f t="shared" si="17"/>
        <v>93679.639999999985</v>
      </c>
      <c r="P55" s="132">
        <f t="shared" si="17"/>
        <v>91913.639999999985</v>
      </c>
      <c r="Q55" s="132">
        <f t="shared" si="17"/>
        <v>91913.639999999985</v>
      </c>
      <c r="R55" s="132">
        <f t="shared" si="17"/>
        <v>91913.639999999985</v>
      </c>
      <c r="S55" s="132">
        <f t="shared" si="17"/>
        <v>91913.639999999985</v>
      </c>
      <c r="T55" s="132">
        <f t="shared" si="17"/>
        <v>91913.639999999985</v>
      </c>
      <c r="U55" s="132">
        <f t="shared" si="17"/>
        <v>91913.639999999985</v>
      </c>
      <c r="V55" s="132">
        <f t="shared" si="17"/>
        <v>91913.639999999985</v>
      </c>
      <c r="W55" s="132">
        <f t="shared" si="17"/>
        <v>91913.639999999985</v>
      </c>
      <c r="X55" s="132">
        <f t="shared" si="17"/>
        <v>91913.69</v>
      </c>
      <c r="Y55" s="132">
        <f t="shared" si="17"/>
        <v>102798.98999999999</v>
      </c>
      <c r="Z55" s="132">
        <f t="shared" si="17"/>
        <v>102798.98999999999</v>
      </c>
      <c r="AA55" s="132">
        <f t="shared" si="17"/>
        <v>102798.98999999999</v>
      </c>
      <c r="AB55" s="132">
        <f t="shared" si="17"/>
        <v>102798.98999999999</v>
      </c>
      <c r="AC55" s="132">
        <f t="shared" si="17"/>
        <v>121801.25490870001</v>
      </c>
      <c r="AD55" s="132">
        <f t="shared" si="17"/>
        <v>121801.20490869999</v>
      </c>
      <c r="AE55" s="132">
        <f t="shared" si="17"/>
        <v>121801.20490869999</v>
      </c>
      <c r="AF55" s="132">
        <f t="shared" si="17"/>
        <v>118957.56490870001</v>
      </c>
      <c r="AG55" s="132">
        <f t="shared" si="17"/>
        <v>118956.88</v>
      </c>
      <c r="AH55" s="132">
        <f t="shared" si="17"/>
        <v>118956.88</v>
      </c>
      <c r="AI55" s="132">
        <f t="shared" si="17"/>
        <v>99955.299999999988</v>
      </c>
      <c r="AJ55" s="132">
        <f t="shared" si="17"/>
        <v>99955.299999999988</v>
      </c>
      <c r="AK55" s="132">
        <f t="shared" si="17"/>
        <v>99955.06</v>
      </c>
      <c r="AL55" s="132">
        <f t="shared" si="17"/>
        <v>89370</v>
      </c>
      <c r="AM55" s="132">
        <f t="shared" si="17"/>
        <v>87786.016000000003</v>
      </c>
      <c r="AN55" s="132">
        <f t="shared" si="17"/>
        <v>104074.59599999999</v>
      </c>
      <c r="AO55" s="132">
        <f t="shared" si="17"/>
        <v>104075.016</v>
      </c>
      <c r="AP55" s="132">
        <f t="shared" si="17"/>
        <v>104075.016</v>
      </c>
      <c r="AQ55" s="132">
        <f t="shared" si="17"/>
        <v>104075.016</v>
      </c>
      <c r="AR55" s="132">
        <f t="shared" si="17"/>
        <v>104075.016</v>
      </c>
      <c r="AS55" s="132">
        <f t="shared" si="17"/>
        <v>104075.016</v>
      </c>
      <c r="AT55" s="132">
        <f t="shared" si="17"/>
        <v>104903.14600000001</v>
      </c>
      <c r="AU55" s="132">
        <f t="shared" si="17"/>
        <v>115488.14599999999</v>
      </c>
      <c r="AV55" s="132">
        <f t="shared" si="17"/>
        <v>117065.14600000001</v>
      </c>
      <c r="AW55" s="132">
        <f t="shared" si="17"/>
        <v>127070.14599999999</v>
      </c>
      <c r="AX55" s="132">
        <f t="shared" si="17"/>
        <v>155021.87599999999</v>
      </c>
      <c r="AY55" s="132">
        <f t="shared" si="17"/>
        <v>155021.87599999999</v>
      </c>
      <c r="AZ55" s="132">
        <f t="shared" si="17"/>
        <v>156638.56599999999</v>
      </c>
      <c r="BA55" s="132">
        <f t="shared" si="17"/>
        <v>155054.33600000001</v>
      </c>
      <c r="BB55" s="132">
        <f t="shared" si="17"/>
        <v>156956.39600000001</v>
      </c>
      <c r="BC55" s="132">
        <f t="shared" si="17"/>
        <v>156956.45600000001</v>
      </c>
      <c r="BD55" s="132">
        <f t="shared" si="17"/>
        <v>156956.45600000001</v>
      </c>
      <c r="BE55" s="132">
        <f t="shared" si="17"/>
        <v>156956.21521237417</v>
      </c>
      <c r="BF55" s="132">
        <f t="shared" si="17"/>
        <v>88014.889212374139</v>
      </c>
      <c r="BG55" s="132">
        <f t="shared" si="17"/>
        <v>89604.289212374162</v>
      </c>
      <c r="BH55" s="132">
        <f t="shared" si="17"/>
        <v>89603.939212374156</v>
      </c>
      <c r="BI55" s="132">
        <f t="shared" si="17"/>
        <v>89603.939212374156</v>
      </c>
      <c r="BJ55" s="132">
        <f t="shared" si="17"/>
        <v>89603.939212374156</v>
      </c>
      <c r="BK55" s="132">
        <f t="shared" si="17"/>
        <v>89603.939212374156</v>
      </c>
      <c r="BL55" s="132">
        <f t="shared" si="17"/>
        <v>89603.939212374156</v>
      </c>
      <c r="BM55" s="132">
        <f t="shared" si="17"/>
        <v>89604.239312374149</v>
      </c>
      <c r="BN55" s="132">
        <f t="shared" si="17"/>
        <v>85754.239312374149</v>
      </c>
      <c r="BO55" s="132">
        <f t="shared" ref="BO55" si="18">BO56+BO68</f>
        <v>85754.239312374149</v>
      </c>
      <c r="BP55" s="132">
        <v>85754.239312374149</v>
      </c>
      <c r="BQ55" s="132">
        <v>85753.939312374161</v>
      </c>
      <c r="BR55" s="132">
        <v>85926.819312374166</v>
      </c>
      <c r="BS55" s="132">
        <v>78615.429312374152</v>
      </c>
      <c r="BT55" s="132">
        <f>BT56+BT68</f>
        <v>77845.809312374156</v>
      </c>
    </row>
    <row r="56" spans="1:72" s="131" customFormat="1" ht="15" customHeight="1" x14ac:dyDescent="0.3">
      <c r="B56" s="133" t="str">
        <f>IF('Sumário | Summary'!P1=1,"Escritórios AAA","Triple A Offices")</f>
        <v>Escritórios AAA</v>
      </c>
      <c r="C56" s="132">
        <f t="shared" ref="C56:BN56" si="19">SUM(C57:C67)</f>
        <v>39315.885999999999</v>
      </c>
      <c r="D56" s="132">
        <f t="shared" si="19"/>
        <v>50492.45</v>
      </c>
      <c r="E56" s="132">
        <f t="shared" si="19"/>
        <v>50492.45</v>
      </c>
      <c r="F56" s="132">
        <f t="shared" si="19"/>
        <v>50492.45</v>
      </c>
      <c r="G56" s="132">
        <f t="shared" si="19"/>
        <v>57798.45</v>
      </c>
      <c r="H56" s="132">
        <f t="shared" si="19"/>
        <v>57543.45</v>
      </c>
      <c r="I56" s="132">
        <f t="shared" si="19"/>
        <v>57543.45</v>
      </c>
      <c r="J56" s="132">
        <f t="shared" si="19"/>
        <v>56772.45</v>
      </c>
      <c r="K56" s="132">
        <f t="shared" si="19"/>
        <v>54973.45</v>
      </c>
      <c r="L56" s="132">
        <f t="shared" si="19"/>
        <v>52258.45</v>
      </c>
      <c r="M56" s="132">
        <f t="shared" si="19"/>
        <v>52258.45</v>
      </c>
      <c r="N56" s="132">
        <f t="shared" si="19"/>
        <v>52258.45</v>
      </c>
      <c r="O56" s="132">
        <f t="shared" si="19"/>
        <v>52258.45</v>
      </c>
      <c r="P56" s="132">
        <f t="shared" si="19"/>
        <v>50492.45</v>
      </c>
      <c r="Q56" s="132">
        <f t="shared" si="19"/>
        <v>50492.45</v>
      </c>
      <c r="R56" s="132">
        <f t="shared" si="19"/>
        <v>50492.45</v>
      </c>
      <c r="S56" s="132">
        <f t="shared" si="19"/>
        <v>50492.45</v>
      </c>
      <c r="T56" s="132">
        <f t="shared" si="19"/>
        <v>50492.45</v>
      </c>
      <c r="U56" s="132">
        <f t="shared" si="19"/>
        <v>50492.45</v>
      </c>
      <c r="V56" s="132">
        <f t="shared" si="19"/>
        <v>50492.45</v>
      </c>
      <c r="W56" s="132">
        <f t="shared" si="19"/>
        <v>50492.45</v>
      </c>
      <c r="X56" s="132">
        <f t="shared" si="19"/>
        <v>50492.45</v>
      </c>
      <c r="Y56" s="132">
        <f t="shared" si="19"/>
        <v>61377.75</v>
      </c>
      <c r="Z56" s="132">
        <f t="shared" si="19"/>
        <v>61377.75</v>
      </c>
      <c r="AA56" s="132">
        <f t="shared" si="19"/>
        <v>61377.75</v>
      </c>
      <c r="AB56" s="132">
        <f t="shared" si="19"/>
        <v>61377.75</v>
      </c>
      <c r="AC56" s="132">
        <f t="shared" si="19"/>
        <v>80380.014908700003</v>
      </c>
      <c r="AD56" s="132">
        <f t="shared" si="19"/>
        <v>80380.014908700003</v>
      </c>
      <c r="AE56" s="132">
        <f t="shared" si="19"/>
        <v>80380.014908700003</v>
      </c>
      <c r="AF56" s="132">
        <f t="shared" si="19"/>
        <v>80380.014908700003</v>
      </c>
      <c r="AG56" s="132">
        <f t="shared" si="19"/>
        <v>80379.75</v>
      </c>
      <c r="AH56" s="132">
        <f t="shared" si="19"/>
        <v>80379.75</v>
      </c>
      <c r="AI56" s="132">
        <f t="shared" si="19"/>
        <v>61377.75</v>
      </c>
      <c r="AJ56" s="132">
        <f t="shared" si="19"/>
        <v>61377.75</v>
      </c>
      <c r="AK56" s="132">
        <f t="shared" si="19"/>
        <v>61377.75</v>
      </c>
      <c r="AL56" s="132">
        <f t="shared" si="19"/>
        <v>61377.75</v>
      </c>
      <c r="AM56" s="132">
        <f t="shared" si="19"/>
        <v>59793.525999999998</v>
      </c>
      <c r="AN56" s="132">
        <f t="shared" si="19"/>
        <v>76082.525999999998</v>
      </c>
      <c r="AO56" s="132">
        <f t="shared" si="19"/>
        <v>76082.525999999998</v>
      </c>
      <c r="AP56" s="132">
        <f t="shared" si="19"/>
        <v>76082.525999999998</v>
      </c>
      <c r="AQ56" s="132">
        <f t="shared" si="19"/>
        <v>76082.525999999998</v>
      </c>
      <c r="AR56" s="132">
        <f t="shared" si="19"/>
        <v>76082.525999999998</v>
      </c>
      <c r="AS56" s="132">
        <f t="shared" si="19"/>
        <v>76082.525999999998</v>
      </c>
      <c r="AT56" s="132">
        <f t="shared" si="19"/>
        <v>76910.656000000003</v>
      </c>
      <c r="AU56" s="132">
        <f t="shared" si="19"/>
        <v>76910.656000000003</v>
      </c>
      <c r="AV56" s="132">
        <f t="shared" si="19"/>
        <v>76910.656000000003</v>
      </c>
      <c r="AW56" s="132">
        <f t="shared" si="19"/>
        <v>76910.656000000003</v>
      </c>
      <c r="AX56" s="132">
        <f t="shared" si="19"/>
        <v>107785.746</v>
      </c>
      <c r="AY56" s="132">
        <f t="shared" si="19"/>
        <v>107785.746</v>
      </c>
      <c r="AZ56" s="132">
        <f t="shared" si="19"/>
        <v>109402.436</v>
      </c>
      <c r="BA56" s="132">
        <f t="shared" si="19"/>
        <v>107818.20600000001</v>
      </c>
      <c r="BB56" s="132">
        <f t="shared" si="19"/>
        <v>109720.266</v>
      </c>
      <c r="BC56" s="132">
        <f t="shared" si="19"/>
        <v>109720.266</v>
      </c>
      <c r="BD56" s="132">
        <f t="shared" si="19"/>
        <v>109720.266</v>
      </c>
      <c r="BE56" s="132">
        <f t="shared" si="19"/>
        <v>109720.02521237417</v>
      </c>
      <c r="BF56" s="132">
        <f t="shared" si="19"/>
        <v>40778.759212374149</v>
      </c>
      <c r="BG56" s="132">
        <f t="shared" si="19"/>
        <v>42368.099212374153</v>
      </c>
      <c r="BH56" s="132">
        <f t="shared" si="19"/>
        <v>42367.699212374151</v>
      </c>
      <c r="BI56" s="132">
        <f t="shared" si="19"/>
        <v>42367.699212374151</v>
      </c>
      <c r="BJ56" s="132">
        <f t="shared" si="19"/>
        <v>42367.699212374151</v>
      </c>
      <c r="BK56" s="132">
        <f t="shared" si="19"/>
        <v>42367.699212374151</v>
      </c>
      <c r="BL56" s="132">
        <f t="shared" si="19"/>
        <v>42367.699212374151</v>
      </c>
      <c r="BM56" s="132">
        <f t="shared" si="19"/>
        <v>42367.999312374151</v>
      </c>
      <c r="BN56" s="132">
        <f t="shared" si="19"/>
        <v>42367.999312374151</v>
      </c>
      <c r="BO56" s="132">
        <f t="shared" ref="BO56" si="20">SUM(BO57:BO67)</f>
        <v>42367.999312374151</v>
      </c>
      <c r="BP56" s="132">
        <v>42367.999312374151</v>
      </c>
      <c r="BQ56" s="132">
        <v>42367.699312374156</v>
      </c>
      <c r="BR56" s="132">
        <v>42540.579312374153</v>
      </c>
      <c r="BS56" s="132">
        <v>42540.579312374153</v>
      </c>
      <c r="BT56" s="132">
        <f>SUM(BT57:BT67)</f>
        <v>42540.579312374153</v>
      </c>
    </row>
    <row r="57" spans="1:72" ht="15" hidden="1" customHeight="1" outlineLevel="1" x14ac:dyDescent="0.3">
      <c r="A57" t="s">
        <v>73</v>
      </c>
      <c r="B57" s="146" t="s">
        <v>217</v>
      </c>
      <c r="C57" s="137">
        <v>4466.7</v>
      </c>
      <c r="D57" s="137">
        <v>4466.7</v>
      </c>
      <c r="E57" s="137">
        <v>4466.7</v>
      </c>
      <c r="F57" s="137">
        <v>4466.7</v>
      </c>
      <c r="G57" s="137">
        <v>4466.7</v>
      </c>
      <c r="H57" s="137">
        <v>4466.7</v>
      </c>
      <c r="I57" s="137">
        <v>4466.7</v>
      </c>
      <c r="J57" s="137">
        <v>4466.7</v>
      </c>
      <c r="K57" s="137">
        <v>4466.7</v>
      </c>
      <c r="L57" s="137">
        <v>4466.7</v>
      </c>
      <c r="M57" s="137">
        <v>4466.7</v>
      </c>
      <c r="N57" s="137">
        <v>4466.7</v>
      </c>
      <c r="O57" s="137">
        <v>4466.7</v>
      </c>
      <c r="P57" s="137">
        <v>4466.7</v>
      </c>
      <c r="Q57" s="137">
        <v>4466.7</v>
      </c>
      <c r="R57" s="137">
        <v>4466.7</v>
      </c>
      <c r="S57" s="137">
        <v>4466.7</v>
      </c>
      <c r="T57" s="137">
        <v>4466.7</v>
      </c>
      <c r="U57" s="137">
        <v>4466.7</v>
      </c>
      <c r="V57" s="137">
        <v>4466.7</v>
      </c>
      <c r="W57" s="137">
        <v>4466.7</v>
      </c>
      <c r="X57" s="137">
        <v>4466.7</v>
      </c>
      <c r="Y57" s="137">
        <v>4466.7</v>
      </c>
      <c r="Z57" s="137">
        <v>4466.7</v>
      </c>
      <c r="AA57" s="137">
        <v>4466.7</v>
      </c>
      <c r="AB57" s="137">
        <v>4466.7</v>
      </c>
      <c r="AC57" s="137">
        <v>4466.7</v>
      </c>
      <c r="AD57" s="137">
        <v>4466.7</v>
      </c>
      <c r="AE57" s="137">
        <v>4466.7</v>
      </c>
      <c r="AF57" s="137">
        <v>4466.7</v>
      </c>
      <c r="AG57" s="137">
        <v>4466.7</v>
      </c>
      <c r="AH57" s="137">
        <v>4466.7</v>
      </c>
      <c r="AI57" s="137">
        <v>4466.7</v>
      </c>
      <c r="AJ57" s="137">
        <v>4466.7</v>
      </c>
      <c r="AK57" s="137">
        <v>4466.7</v>
      </c>
      <c r="AL57" s="136">
        <v>4466.7</v>
      </c>
      <c r="AM57" s="136">
        <v>4466.7</v>
      </c>
      <c r="AN57" s="136">
        <v>4466.7</v>
      </c>
      <c r="AO57" s="136">
        <v>4466.7</v>
      </c>
      <c r="AP57" s="136">
        <v>4466.7</v>
      </c>
      <c r="AQ57" s="136">
        <v>4466.7</v>
      </c>
      <c r="AR57" s="136">
        <v>4466.7</v>
      </c>
      <c r="AS57" s="136">
        <v>4466.7</v>
      </c>
      <c r="AT57" s="136">
        <v>4466.7</v>
      </c>
      <c r="AU57" s="136">
        <v>4466.7</v>
      </c>
      <c r="AV57" s="136">
        <v>4466.7</v>
      </c>
      <c r="AW57" s="136">
        <v>4466.7</v>
      </c>
      <c r="AX57" s="136">
        <v>4466.7</v>
      </c>
      <c r="AY57" s="136">
        <v>4466.7</v>
      </c>
      <c r="AZ57" s="136">
        <v>4466.7</v>
      </c>
      <c r="BA57" s="136">
        <v>4466.7</v>
      </c>
      <c r="BB57" s="136">
        <v>4466.7</v>
      </c>
      <c r="BC57" s="136">
        <v>4466.7</v>
      </c>
      <c r="BD57" s="136">
        <v>4466.7</v>
      </c>
      <c r="BE57" s="136">
        <v>4466.7</v>
      </c>
      <c r="BF57" s="136">
        <v>0</v>
      </c>
      <c r="BG57" s="137">
        <v>0</v>
      </c>
      <c r="BH57" s="137">
        <v>0</v>
      </c>
      <c r="BI57" s="137">
        <v>0</v>
      </c>
      <c r="BJ57" s="137">
        <v>0</v>
      </c>
      <c r="BK57" s="137">
        <v>0</v>
      </c>
      <c r="BL57" s="137">
        <v>0</v>
      </c>
      <c r="BM57" s="137">
        <v>0</v>
      </c>
      <c r="BN57" s="137">
        <v>0</v>
      </c>
      <c r="BO57" s="137">
        <v>0</v>
      </c>
      <c r="BP57" s="137">
        <v>0</v>
      </c>
      <c r="BQ57" s="137">
        <v>0</v>
      </c>
      <c r="BR57" s="137">
        <v>0</v>
      </c>
      <c r="BS57" s="137">
        <v>0</v>
      </c>
      <c r="BT57" s="137">
        <v>0</v>
      </c>
    </row>
    <row r="58" spans="1:72" ht="15" hidden="1" customHeight="1" outlineLevel="1" x14ac:dyDescent="0.3">
      <c r="A58" t="s">
        <v>73</v>
      </c>
      <c r="B58" s="134" t="s">
        <v>218</v>
      </c>
      <c r="C58" s="136">
        <v>3168.46</v>
      </c>
      <c r="D58" s="136">
        <v>3168.46</v>
      </c>
      <c r="E58" s="136">
        <v>3168.46</v>
      </c>
      <c r="F58" s="136">
        <v>3168.46</v>
      </c>
      <c r="G58" s="136">
        <v>3168.46</v>
      </c>
      <c r="H58" s="136">
        <v>3168.46</v>
      </c>
      <c r="I58" s="136">
        <v>3168.46</v>
      </c>
      <c r="J58" s="136">
        <v>3168.46</v>
      </c>
      <c r="K58" s="136">
        <v>3168.46</v>
      </c>
      <c r="L58" s="136">
        <v>3168.46</v>
      </c>
      <c r="M58" s="136">
        <v>3168.46</v>
      </c>
      <c r="N58" s="136">
        <v>3168.46</v>
      </c>
      <c r="O58" s="136">
        <v>3168.46</v>
      </c>
      <c r="P58" s="136">
        <v>3168.46</v>
      </c>
      <c r="Q58" s="136">
        <v>3168.46</v>
      </c>
      <c r="R58" s="136">
        <v>3168.46</v>
      </c>
      <c r="S58" s="136">
        <v>3168.46</v>
      </c>
      <c r="T58" s="136">
        <v>3168.46</v>
      </c>
      <c r="U58" s="136">
        <v>3168.46</v>
      </c>
      <c r="V58" s="136">
        <v>3168.46</v>
      </c>
      <c r="W58" s="136">
        <v>3168.46</v>
      </c>
      <c r="X58" s="136">
        <v>3168.46</v>
      </c>
      <c r="Y58" s="136">
        <v>3168.46</v>
      </c>
      <c r="Z58" s="136">
        <v>3168.46</v>
      </c>
      <c r="AA58" s="136">
        <v>3168.46</v>
      </c>
      <c r="AB58" s="136">
        <v>3168.46</v>
      </c>
      <c r="AC58" s="136">
        <v>3168.46</v>
      </c>
      <c r="AD58" s="136">
        <v>3168.46</v>
      </c>
      <c r="AE58" s="136">
        <v>3168.46</v>
      </c>
      <c r="AF58" s="136">
        <v>3168.46</v>
      </c>
      <c r="AG58" s="136">
        <v>3168.46</v>
      </c>
      <c r="AH58" s="136">
        <v>3168.46</v>
      </c>
      <c r="AI58" s="136">
        <v>3168.46</v>
      </c>
      <c r="AJ58" s="136">
        <v>3168.46</v>
      </c>
      <c r="AK58" s="136">
        <v>3168.46</v>
      </c>
      <c r="AL58" s="136">
        <v>3168.46</v>
      </c>
      <c r="AM58" s="136">
        <v>1584.23</v>
      </c>
      <c r="AN58" s="136">
        <v>1584.23</v>
      </c>
      <c r="AO58" s="136">
        <v>1584.23</v>
      </c>
      <c r="AP58" s="136">
        <v>1584.23</v>
      </c>
      <c r="AQ58" s="136">
        <v>1584.23</v>
      </c>
      <c r="AR58" s="136">
        <v>1584.23</v>
      </c>
      <c r="AS58" s="136">
        <v>1584.23</v>
      </c>
      <c r="AT58" s="136">
        <v>1584.23</v>
      </c>
      <c r="AU58" s="136">
        <v>1584.23</v>
      </c>
      <c r="AV58" s="136">
        <v>1584.23</v>
      </c>
      <c r="AW58" s="136">
        <v>1584.23</v>
      </c>
      <c r="AX58" s="136">
        <v>1584.23</v>
      </c>
      <c r="AY58" s="136">
        <v>1584.23</v>
      </c>
      <c r="AZ58" s="136">
        <v>1584.23</v>
      </c>
      <c r="BA58" s="136">
        <v>0</v>
      </c>
      <c r="BB58" s="136">
        <v>0</v>
      </c>
      <c r="BC58" s="136">
        <v>0</v>
      </c>
      <c r="BD58" s="136">
        <v>0</v>
      </c>
      <c r="BE58" s="136">
        <v>0</v>
      </c>
      <c r="BF58" s="136">
        <v>0</v>
      </c>
      <c r="BG58" s="137">
        <v>0</v>
      </c>
      <c r="BH58" s="137">
        <v>0</v>
      </c>
      <c r="BI58" s="137">
        <v>0</v>
      </c>
      <c r="BJ58" s="137">
        <v>0</v>
      </c>
      <c r="BK58" s="137">
        <v>0</v>
      </c>
      <c r="BL58" s="137">
        <v>0</v>
      </c>
      <c r="BM58" s="137">
        <v>0</v>
      </c>
      <c r="BN58" s="137">
        <v>0</v>
      </c>
      <c r="BO58" s="137">
        <v>0</v>
      </c>
      <c r="BP58" s="137">
        <v>0</v>
      </c>
      <c r="BQ58" s="137">
        <v>0</v>
      </c>
      <c r="BR58" s="137">
        <v>0</v>
      </c>
      <c r="BS58" s="137">
        <v>0</v>
      </c>
      <c r="BT58" s="137">
        <v>0</v>
      </c>
    </row>
    <row r="59" spans="1:72" ht="15" hidden="1" customHeight="1" outlineLevel="1" x14ac:dyDescent="0.3">
      <c r="A59" t="s">
        <v>73</v>
      </c>
      <c r="B59" s="134" t="s">
        <v>219</v>
      </c>
      <c r="C59" s="136">
        <v>18705.61</v>
      </c>
      <c r="D59" s="136">
        <v>18705.61</v>
      </c>
      <c r="E59" s="136">
        <v>18705.61</v>
      </c>
      <c r="F59" s="136">
        <v>18705.61</v>
      </c>
      <c r="G59" s="136">
        <v>18705.61</v>
      </c>
      <c r="H59" s="136">
        <v>18705.61</v>
      </c>
      <c r="I59" s="136">
        <v>18705.61</v>
      </c>
      <c r="J59" s="136">
        <v>18705.61</v>
      </c>
      <c r="K59" s="136">
        <v>18705.61</v>
      </c>
      <c r="L59" s="136">
        <v>18705.61</v>
      </c>
      <c r="M59" s="136">
        <v>18705.61</v>
      </c>
      <c r="N59" s="136">
        <v>18705.61</v>
      </c>
      <c r="O59" s="136">
        <v>18705.61</v>
      </c>
      <c r="P59" s="136">
        <v>18705.61</v>
      </c>
      <c r="Q59" s="136">
        <v>18705.61</v>
      </c>
      <c r="R59" s="136">
        <v>18705.61</v>
      </c>
      <c r="S59" s="136">
        <v>18705.61</v>
      </c>
      <c r="T59" s="136">
        <v>18705.61</v>
      </c>
      <c r="U59" s="136">
        <v>18705.61</v>
      </c>
      <c r="V59" s="136">
        <v>18705.61</v>
      </c>
      <c r="W59" s="136">
        <v>18705.61</v>
      </c>
      <c r="X59" s="136">
        <v>18705.61</v>
      </c>
      <c r="Y59" s="136">
        <v>18705.61</v>
      </c>
      <c r="Z59" s="136">
        <v>18705.61</v>
      </c>
      <c r="AA59" s="136">
        <v>18705.61</v>
      </c>
      <c r="AB59" s="136">
        <v>18705.61</v>
      </c>
      <c r="AC59" s="136">
        <v>18705.61</v>
      </c>
      <c r="AD59" s="136">
        <v>18705.61</v>
      </c>
      <c r="AE59" s="136">
        <v>18705.61</v>
      </c>
      <c r="AF59" s="136">
        <v>18705.61</v>
      </c>
      <c r="AG59" s="136">
        <v>18705.61</v>
      </c>
      <c r="AH59" s="136">
        <v>18705.61</v>
      </c>
      <c r="AI59" s="136">
        <v>18705.61</v>
      </c>
      <c r="AJ59" s="136">
        <v>18705.61</v>
      </c>
      <c r="AK59" s="136">
        <v>18705.61</v>
      </c>
      <c r="AL59" s="136">
        <v>18705.61</v>
      </c>
      <c r="AM59" s="136">
        <v>18705.61</v>
      </c>
      <c r="AN59" s="136">
        <v>18705.61</v>
      </c>
      <c r="AO59" s="136">
        <v>18705.61</v>
      </c>
      <c r="AP59" s="136">
        <v>18705.61</v>
      </c>
      <c r="AQ59" s="136">
        <v>18705.61</v>
      </c>
      <c r="AR59" s="136">
        <v>18705.61</v>
      </c>
      <c r="AS59" s="136">
        <v>18705.61</v>
      </c>
      <c r="AT59" s="136">
        <v>18705.61</v>
      </c>
      <c r="AU59" s="136">
        <v>18705.61</v>
      </c>
      <c r="AV59" s="136">
        <v>18705.61</v>
      </c>
      <c r="AW59" s="136">
        <v>18705.61</v>
      </c>
      <c r="AX59" s="136">
        <v>19687</v>
      </c>
      <c r="AY59" s="136">
        <v>19687</v>
      </c>
      <c r="AZ59" s="136">
        <v>21303.690000000002</v>
      </c>
      <c r="BA59" s="136">
        <v>21303.690000000002</v>
      </c>
      <c r="BB59" s="136">
        <v>23205.75</v>
      </c>
      <c r="BC59" s="136">
        <v>23205.75</v>
      </c>
      <c r="BD59" s="136">
        <v>23205.75</v>
      </c>
      <c r="BE59" s="136">
        <v>23205.75</v>
      </c>
      <c r="BF59" s="136">
        <v>0</v>
      </c>
      <c r="BG59" s="137">
        <v>0</v>
      </c>
      <c r="BH59" s="137">
        <v>0</v>
      </c>
      <c r="BI59" s="137">
        <v>0</v>
      </c>
      <c r="BJ59" s="137">
        <v>0</v>
      </c>
      <c r="BK59" s="137">
        <v>0</v>
      </c>
      <c r="BL59" s="137">
        <v>0</v>
      </c>
      <c r="BM59" s="137">
        <v>0</v>
      </c>
      <c r="BN59" s="137">
        <v>0</v>
      </c>
      <c r="BO59" s="137">
        <v>0</v>
      </c>
      <c r="BP59" s="137">
        <v>0</v>
      </c>
      <c r="BQ59" s="137">
        <v>0</v>
      </c>
      <c r="BR59" s="137">
        <v>0</v>
      </c>
      <c r="BS59" s="137">
        <v>0</v>
      </c>
      <c r="BT59" s="137">
        <v>0</v>
      </c>
    </row>
    <row r="60" spans="1:72" ht="15" hidden="1" customHeight="1" outlineLevel="1" x14ac:dyDescent="0.3">
      <c r="A60" t="s">
        <v>73</v>
      </c>
      <c r="B60" s="134" t="s">
        <v>220</v>
      </c>
      <c r="C60" s="136">
        <v>12975.116000000002</v>
      </c>
      <c r="D60" s="136">
        <v>12975.116000000002</v>
      </c>
      <c r="E60" s="136">
        <v>12975.116000000002</v>
      </c>
      <c r="F60" s="136">
        <v>12975.116000000002</v>
      </c>
      <c r="G60" s="136">
        <v>12975.116000000002</v>
      </c>
      <c r="H60" s="136">
        <v>12975.116000000002</v>
      </c>
      <c r="I60" s="136">
        <v>12975.116000000002</v>
      </c>
      <c r="J60" s="136">
        <v>12975.116000000002</v>
      </c>
      <c r="K60" s="136">
        <v>12975.116000000002</v>
      </c>
      <c r="L60" s="136">
        <v>12975.116000000002</v>
      </c>
      <c r="M60" s="136">
        <v>12975.116000000002</v>
      </c>
      <c r="N60" s="136">
        <v>12975.116000000002</v>
      </c>
      <c r="O60" s="136">
        <v>12975.116000000002</v>
      </c>
      <c r="P60" s="136">
        <v>12975.116000000002</v>
      </c>
      <c r="Q60" s="136">
        <v>12975.116000000002</v>
      </c>
      <c r="R60" s="136">
        <v>12975.116000000002</v>
      </c>
      <c r="S60" s="136">
        <v>12975.116000000002</v>
      </c>
      <c r="T60" s="136">
        <v>12975.116000000002</v>
      </c>
      <c r="U60" s="136">
        <v>12975.116000000002</v>
      </c>
      <c r="V60" s="136">
        <v>12975.116000000002</v>
      </c>
      <c r="W60" s="136">
        <v>12975.116000000002</v>
      </c>
      <c r="X60" s="136">
        <v>12975.116000000002</v>
      </c>
      <c r="Y60" s="136">
        <v>12975.116000000002</v>
      </c>
      <c r="Z60" s="136">
        <v>12975.116000000002</v>
      </c>
      <c r="AA60" s="136">
        <v>12975.116000000002</v>
      </c>
      <c r="AB60" s="136">
        <v>12975.116000000002</v>
      </c>
      <c r="AC60" s="136">
        <v>12975.116000000002</v>
      </c>
      <c r="AD60" s="136">
        <v>12975.116000000002</v>
      </c>
      <c r="AE60" s="136">
        <v>12975.116000000002</v>
      </c>
      <c r="AF60" s="136">
        <v>12975.116000000002</v>
      </c>
      <c r="AG60" s="136">
        <v>12975.116000000002</v>
      </c>
      <c r="AH60" s="136">
        <v>12975.116000000002</v>
      </c>
      <c r="AI60" s="136">
        <v>12975.116000000002</v>
      </c>
      <c r="AJ60" s="136">
        <v>12975.116000000002</v>
      </c>
      <c r="AK60" s="136">
        <v>12975.116000000002</v>
      </c>
      <c r="AL60" s="136">
        <v>12975.116000000002</v>
      </c>
      <c r="AM60" s="136">
        <v>12975.116000000002</v>
      </c>
      <c r="AN60" s="136">
        <v>12975.116000000002</v>
      </c>
      <c r="AO60" s="136">
        <v>12975.116000000002</v>
      </c>
      <c r="AP60" s="136">
        <v>12975.116000000002</v>
      </c>
      <c r="AQ60" s="136">
        <v>12975.116000000002</v>
      </c>
      <c r="AR60" s="136">
        <v>12975.116000000002</v>
      </c>
      <c r="AS60" s="136">
        <v>12975.116000000002</v>
      </c>
      <c r="AT60" s="136">
        <v>12975.116000000002</v>
      </c>
      <c r="AU60" s="136">
        <v>12975.116000000002</v>
      </c>
      <c r="AV60" s="136">
        <v>12975.116000000002</v>
      </c>
      <c r="AW60" s="136">
        <v>12975.116000000002</v>
      </c>
      <c r="AX60" s="136">
        <v>12975.116000000002</v>
      </c>
      <c r="AY60" s="136">
        <v>12975.116000000002</v>
      </c>
      <c r="AZ60" s="136">
        <v>12975.116000000002</v>
      </c>
      <c r="BA60" s="136">
        <v>12975.116000000002</v>
      </c>
      <c r="BB60" s="136">
        <v>12975.116000000002</v>
      </c>
      <c r="BC60" s="136">
        <v>12975.116000000002</v>
      </c>
      <c r="BD60" s="136">
        <v>12975.116000000002</v>
      </c>
      <c r="BE60" s="136">
        <v>12975.116000000002</v>
      </c>
      <c r="BF60" s="136">
        <v>0</v>
      </c>
      <c r="BG60" s="137">
        <v>0</v>
      </c>
      <c r="BH60" s="137">
        <v>0</v>
      </c>
      <c r="BI60" s="137">
        <v>0</v>
      </c>
      <c r="BJ60" s="137">
        <v>0</v>
      </c>
      <c r="BK60" s="137">
        <v>0</v>
      </c>
      <c r="BL60" s="137">
        <v>0</v>
      </c>
      <c r="BM60" s="137">
        <v>0</v>
      </c>
      <c r="BN60" s="137">
        <v>0</v>
      </c>
      <c r="BO60" s="137">
        <v>0</v>
      </c>
      <c r="BP60" s="137">
        <v>0</v>
      </c>
      <c r="BQ60" s="137">
        <v>0</v>
      </c>
      <c r="BR60" s="137">
        <v>0</v>
      </c>
      <c r="BS60" s="137">
        <v>0</v>
      </c>
      <c r="BT60" s="137">
        <v>0</v>
      </c>
    </row>
    <row r="61" spans="1:72" ht="15" hidden="1" customHeight="1" outlineLevel="1" x14ac:dyDescent="0.3">
      <c r="A61" t="s">
        <v>73</v>
      </c>
      <c r="B61" s="134" t="s">
        <v>276</v>
      </c>
      <c r="C61" s="136">
        <v>0</v>
      </c>
      <c r="D61" s="136">
        <v>11176.564</v>
      </c>
      <c r="E61" s="136">
        <v>11176.564</v>
      </c>
      <c r="F61" s="136">
        <v>11176.564</v>
      </c>
      <c r="G61" s="136">
        <v>11176.564</v>
      </c>
      <c r="H61" s="136">
        <v>11176.564</v>
      </c>
      <c r="I61" s="136">
        <v>11176.564</v>
      </c>
      <c r="J61" s="136">
        <v>11176.564</v>
      </c>
      <c r="K61" s="136">
        <v>11176.564</v>
      </c>
      <c r="L61" s="136">
        <v>11176.564</v>
      </c>
      <c r="M61" s="136">
        <v>11176.564</v>
      </c>
      <c r="N61" s="136">
        <v>11176.564</v>
      </c>
      <c r="O61" s="136">
        <v>11176.564</v>
      </c>
      <c r="P61" s="136">
        <v>11176.564</v>
      </c>
      <c r="Q61" s="136">
        <v>11176.564</v>
      </c>
      <c r="R61" s="136">
        <v>11176.564</v>
      </c>
      <c r="S61" s="136">
        <v>11176.564</v>
      </c>
      <c r="T61" s="136">
        <v>11176.564</v>
      </c>
      <c r="U61" s="136">
        <v>11176.564</v>
      </c>
      <c r="V61" s="136">
        <v>11176.564</v>
      </c>
      <c r="W61" s="136">
        <v>11176.564</v>
      </c>
      <c r="X61" s="136">
        <v>11176.564</v>
      </c>
      <c r="Y61" s="136">
        <v>11176.564</v>
      </c>
      <c r="Z61" s="136">
        <v>11176.564</v>
      </c>
      <c r="AA61" s="136">
        <v>11176.564</v>
      </c>
      <c r="AB61" s="136">
        <v>11176.564</v>
      </c>
      <c r="AC61" s="136">
        <v>11176.564</v>
      </c>
      <c r="AD61" s="136">
        <v>11176.564</v>
      </c>
      <c r="AE61" s="136">
        <v>11176.564</v>
      </c>
      <c r="AF61" s="136">
        <v>11176.564</v>
      </c>
      <c r="AG61" s="136">
        <v>11176.564</v>
      </c>
      <c r="AH61" s="136">
        <v>11176.564</v>
      </c>
      <c r="AI61" s="136">
        <v>11176.564</v>
      </c>
      <c r="AJ61" s="136">
        <v>11176.564</v>
      </c>
      <c r="AK61" s="136">
        <v>11176.564</v>
      </c>
      <c r="AL61" s="136">
        <v>11176.564</v>
      </c>
      <c r="AM61" s="136">
        <v>11176.57</v>
      </c>
      <c r="AN61" s="136">
        <v>11176.57</v>
      </c>
      <c r="AO61" s="136">
        <v>11176.57</v>
      </c>
      <c r="AP61" s="136">
        <v>11176.57</v>
      </c>
      <c r="AQ61" s="136">
        <v>11176.57</v>
      </c>
      <c r="AR61" s="136">
        <v>11176.57</v>
      </c>
      <c r="AS61" s="136">
        <v>11176.57</v>
      </c>
      <c r="AT61" s="136">
        <v>12004.699999999999</v>
      </c>
      <c r="AU61" s="136">
        <v>12004.699999999999</v>
      </c>
      <c r="AV61" s="136">
        <v>12004.699999999999</v>
      </c>
      <c r="AW61" s="136">
        <v>12004.699999999999</v>
      </c>
      <c r="AX61" s="136">
        <v>12004.699999999999</v>
      </c>
      <c r="AY61" s="136">
        <v>12004.699999999999</v>
      </c>
      <c r="AZ61" s="136">
        <v>12004.699999999999</v>
      </c>
      <c r="BA61" s="136">
        <v>12004.699999999999</v>
      </c>
      <c r="BB61" s="136">
        <v>12004.699999999999</v>
      </c>
      <c r="BC61" s="136">
        <v>12004.699999999999</v>
      </c>
      <c r="BD61" s="136">
        <v>12004.699999999999</v>
      </c>
      <c r="BE61" s="136">
        <v>12004.699999999999</v>
      </c>
      <c r="BF61" s="136">
        <v>0</v>
      </c>
      <c r="BG61" s="137">
        <v>0</v>
      </c>
      <c r="BH61" s="137">
        <v>0</v>
      </c>
      <c r="BI61" s="137">
        <v>0</v>
      </c>
      <c r="BJ61" s="137">
        <v>0</v>
      </c>
      <c r="BK61" s="137">
        <v>0</v>
      </c>
      <c r="BL61" s="137">
        <v>0</v>
      </c>
      <c r="BM61" s="137">
        <v>0</v>
      </c>
      <c r="BN61" s="137">
        <v>0</v>
      </c>
      <c r="BO61" s="137">
        <v>0</v>
      </c>
      <c r="BP61" s="137">
        <v>0</v>
      </c>
      <c r="BQ61" s="137">
        <v>0</v>
      </c>
      <c r="BR61" s="137">
        <v>0</v>
      </c>
      <c r="BS61" s="137">
        <v>0</v>
      </c>
      <c r="BT61" s="137">
        <v>0</v>
      </c>
    </row>
    <row r="62" spans="1:72" ht="15" hidden="1" customHeight="1" outlineLevel="1" x14ac:dyDescent="0.3">
      <c r="A62" t="s">
        <v>277</v>
      </c>
      <c r="B62" s="134" t="s">
        <v>223</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10885.3</v>
      </c>
      <c r="Z62" s="136">
        <v>10885.3</v>
      </c>
      <c r="AA62" s="136">
        <v>10885.3</v>
      </c>
      <c r="AB62" s="136">
        <v>10885.3</v>
      </c>
      <c r="AC62" s="136">
        <v>10885.3</v>
      </c>
      <c r="AD62" s="136">
        <v>10885.3</v>
      </c>
      <c r="AE62" s="136">
        <v>10885.3</v>
      </c>
      <c r="AF62" s="136">
        <v>10885.3</v>
      </c>
      <c r="AG62" s="136">
        <v>10885.3</v>
      </c>
      <c r="AH62" s="136">
        <v>10885.3</v>
      </c>
      <c r="AI62" s="136">
        <v>10885.3</v>
      </c>
      <c r="AJ62" s="136">
        <v>10885.3</v>
      </c>
      <c r="AK62" s="136">
        <v>10885.3</v>
      </c>
      <c r="AL62" s="136">
        <v>10885.3</v>
      </c>
      <c r="AM62" s="136">
        <v>10885.3</v>
      </c>
      <c r="AN62" s="136">
        <v>10885.3</v>
      </c>
      <c r="AO62" s="136">
        <v>10885.3</v>
      </c>
      <c r="AP62" s="136">
        <v>10885.3</v>
      </c>
      <c r="AQ62" s="136">
        <v>10885.3</v>
      </c>
      <c r="AR62" s="136">
        <v>10885.3</v>
      </c>
      <c r="AS62" s="136">
        <v>10885.3</v>
      </c>
      <c r="AT62" s="136">
        <v>10885.3</v>
      </c>
      <c r="AU62" s="136">
        <v>10885.3</v>
      </c>
      <c r="AV62" s="136">
        <v>10885.3</v>
      </c>
      <c r="AW62" s="136">
        <v>10885.3</v>
      </c>
      <c r="AX62" s="136">
        <v>10886</v>
      </c>
      <c r="AY62" s="136">
        <v>10886</v>
      </c>
      <c r="AZ62" s="136">
        <v>10886</v>
      </c>
      <c r="BA62" s="136">
        <v>10886</v>
      </c>
      <c r="BB62" s="136">
        <v>10886</v>
      </c>
      <c r="BC62" s="136">
        <v>10886</v>
      </c>
      <c r="BD62" s="136">
        <v>10886</v>
      </c>
      <c r="BE62" s="136">
        <v>10886</v>
      </c>
      <c r="BF62" s="136">
        <v>10886</v>
      </c>
      <c r="BG62" s="137">
        <v>10886</v>
      </c>
      <c r="BH62" s="137">
        <v>10885.600000000002</v>
      </c>
      <c r="BI62" s="137">
        <v>10885.600000000002</v>
      </c>
      <c r="BJ62" s="137">
        <v>10885.600000000002</v>
      </c>
      <c r="BK62" s="137">
        <v>10885.600000000002</v>
      </c>
      <c r="BL62" s="137">
        <v>10885.600000000002</v>
      </c>
      <c r="BM62" s="137">
        <v>10885.900000000001</v>
      </c>
      <c r="BN62" s="137">
        <v>10885.900000000001</v>
      </c>
      <c r="BO62" s="137">
        <v>10885.900000000001</v>
      </c>
      <c r="BP62" s="137">
        <v>10885.900000000001</v>
      </c>
      <c r="BQ62" s="137">
        <v>10885.600000000002</v>
      </c>
      <c r="BR62" s="137">
        <v>10885.600000000002</v>
      </c>
      <c r="BS62" s="137">
        <v>10885.600000000002</v>
      </c>
      <c r="BT62" s="137">
        <v>10885.600000000002</v>
      </c>
    </row>
    <row r="63" spans="1:72" ht="15" hidden="1" customHeight="1" outlineLevel="1" x14ac:dyDescent="0.3">
      <c r="A63" t="s">
        <v>73</v>
      </c>
      <c r="B63" s="134" t="s">
        <v>224</v>
      </c>
      <c r="C63" s="135">
        <v>0</v>
      </c>
      <c r="D63" s="135">
        <v>0</v>
      </c>
      <c r="E63" s="135">
        <v>0</v>
      </c>
      <c r="F63" s="135">
        <v>0</v>
      </c>
      <c r="G63" s="135">
        <v>0</v>
      </c>
      <c r="H63" s="135">
        <v>0</v>
      </c>
      <c r="I63" s="135">
        <v>0</v>
      </c>
      <c r="J63" s="135">
        <v>0</v>
      </c>
      <c r="K63" s="135">
        <v>0</v>
      </c>
      <c r="L63" s="135">
        <v>0</v>
      </c>
      <c r="M63" s="135">
        <v>0</v>
      </c>
      <c r="N63" s="135">
        <v>0</v>
      </c>
      <c r="O63" s="135">
        <v>0</v>
      </c>
      <c r="P63" s="135">
        <v>0</v>
      </c>
      <c r="Q63" s="135">
        <v>0</v>
      </c>
      <c r="R63" s="135">
        <v>0</v>
      </c>
      <c r="S63" s="135">
        <v>0</v>
      </c>
      <c r="T63" s="135">
        <v>0</v>
      </c>
      <c r="U63" s="135">
        <v>0</v>
      </c>
      <c r="V63" s="135">
        <v>0</v>
      </c>
      <c r="W63" s="135">
        <v>0</v>
      </c>
      <c r="X63" s="135">
        <v>0</v>
      </c>
      <c r="Y63" s="135">
        <v>0</v>
      </c>
      <c r="Z63" s="135">
        <v>0</v>
      </c>
      <c r="AA63" s="135">
        <v>0</v>
      </c>
      <c r="AB63" s="135">
        <v>0</v>
      </c>
      <c r="AC63" s="135">
        <v>0</v>
      </c>
      <c r="AD63" s="135">
        <v>0</v>
      </c>
      <c r="AE63" s="135">
        <v>0</v>
      </c>
      <c r="AF63" s="135">
        <v>0</v>
      </c>
      <c r="AG63" s="135">
        <v>0</v>
      </c>
      <c r="AH63" s="135">
        <v>0</v>
      </c>
      <c r="AI63" s="135">
        <v>0</v>
      </c>
      <c r="AJ63" s="135">
        <v>0</v>
      </c>
      <c r="AK63" s="135">
        <v>0</v>
      </c>
      <c r="AL63" s="135">
        <v>0</v>
      </c>
      <c r="AM63" s="135">
        <v>0</v>
      </c>
      <c r="AN63" s="136">
        <v>16289</v>
      </c>
      <c r="AO63" s="136">
        <v>16289</v>
      </c>
      <c r="AP63" s="136">
        <v>16289</v>
      </c>
      <c r="AQ63" s="136">
        <v>16289</v>
      </c>
      <c r="AR63" s="136">
        <v>16289</v>
      </c>
      <c r="AS63" s="136">
        <v>16289</v>
      </c>
      <c r="AT63" s="136">
        <v>16289</v>
      </c>
      <c r="AU63" s="136">
        <v>16289</v>
      </c>
      <c r="AV63" s="136">
        <v>16289</v>
      </c>
      <c r="AW63" s="136">
        <v>16289</v>
      </c>
      <c r="AX63" s="136">
        <v>16289</v>
      </c>
      <c r="AY63" s="136">
        <v>16289</v>
      </c>
      <c r="AZ63" s="136">
        <v>16289</v>
      </c>
      <c r="BA63" s="136">
        <v>16289</v>
      </c>
      <c r="BB63" s="136">
        <v>16289</v>
      </c>
      <c r="BC63" s="136">
        <v>16289</v>
      </c>
      <c r="BD63" s="136">
        <v>16289</v>
      </c>
      <c r="BE63" s="136">
        <v>16289</v>
      </c>
      <c r="BF63" s="136">
        <v>0</v>
      </c>
      <c r="BG63" s="137">
        <v>0</v>
      </c>
      <c r="BH63" s="137">
        <v>0</v>
      </c>
      <c r="BI63" s="137">
        <v>0</v>
      </c>
      <c r="BJ63" s="137">
        <v>0</v>
      </c>
      <c r="BK63" s="137">
        <v>0</v>
      </c>
      <c r="BL63" s="137">
        <v>0</v>
      </c>
      <c r="BM63" s="137">
        <v>0</v>
      </c>
      <c r="BN63" s="137">
        <v>0</v>
      </c>
      <c r="BO63" s="137">
        <v>0</v>
      </c>
      <c r="BP63" s="137">
        <v>0</v>
      </c>
      <c r="BQ63" s="137">
        <v>0</v>
      </c>
      <c r="BR63" s="137">
        <v>0</v>
      </c>
      <c r="BS63" s="137">
        <v>0</v>
      </c>
      <c r="BT63" s="137">
        <v>0</v>
      </c>
    </row>
    <row r="64" spans="1:72" ht="15" hidden="1" customHeight="1" outlineLevel="1" x14ac:dyDescent="0.3">
      <c r="A64" t="s">
        <v>73</v>
      </c>
      <c r="B64" s="134" t="s">
        <v>225</v>
      </c>
      <c r="C64" s="135">
        <v>0</v>
      </c>
      <c r="D64" s="135">
        <v>0</v>
      </c>
      <c r="E64" s="135">
        <v>0</v>
      </c>
      <c r="F64" s="135">
        <v>0</v>
      </c>
      <c r="G64" s="135">
        <v>0</v>
      </c>
      <c r="H64" s="135">
        <v>0</v>
      </c>
      <c r="I64" s="135">
        <v>0</v>
      </c>
      <c r="J64" s="135">
        <v>0</v>
      </c>
      <c r="K64" s="135">
        <v>0</v>
      </c>
      <c r="L64" s="135">
        <v>0</v>
      </c>
      <c r="M64" s="135">
        <v>0</v>
      </c>
      <c r="N64" s="135">
        <v>0</v>
      </c>
      <c r="O64" s="135">
        <v>0</v>
      </c>
      <c r="P64" s="135">
        <v>0</v>
      </c>
      <c r="Q64" s="135">
        <v>0</v>
      </c>
      <c r="R64" s="135">
        <v>0</v>
      </c>
      <c r="S64" s="135">
        <v>0</v>
      </c>
      <c r="T64" s="135">
        <v>0</v>
      </c>
      <c r="U64" s="135">
        <v>0</v>
      </c>
      <c r="V64" s="135">
        <v>0</v>
      </c>
      <c r="W64" s="135">
        <v>0</v>
      </c>
      <c r="X64" s="135">
        <v>0</v>
      </c>
      <c r="Y64" s="135">
        <v>0</v>
      </c>
      <c r="Z64" s="135">
        <v>0</v>
      </c>
      <c r="AA64" s="135">
        <v>0</v>
      </c>
      <c r="AB64" s="135">
        <v>0</v>
      </c>
      <c r="AC64" s="135">
        <v>19002.264908700003</v>
      </c>
      <c r="AD64" s="135">
        <v>19002.264908700003</v>
      </c>
      <c r="AE64" s="135">
        <v>19002.264908700003</v>
      </c>
      <c r="AF64" s="135">
        <v>19002.264908700003</v>
      </c>
      <c r="AG64" s="135">
        <v>19002</v>
      </c>
      <c r="AH64" s="135">
        <v>19002</v>
      </c>
      <c r="AI64" s="137">
        <v>0</v>
      </c>
      <c r="AJ64" s="137">
        <v>0</v>
      </c>
      <c r="AK64" s="137">
        <v>0</v>
      </c>
      <c r="AL64" s="137">
        <v>0</v>
      </c>
      <c r="AM64" s="137">
        <v>0</v>
      </c>
      <c r="AN64" s="137">
        <v>0</v>
      </c>
      <c r="AO64" s="137">
        <v>0</v>
      </c>
      <c r="AP64" s="137">
        <v>0</v>
      </c>
      <c r="AQ64" s="137">
        <v>0</v>
      </c>
      <c r="AR64" s="137">
        <v>0</v>
      </c>
      <c r="AS64" s="137">
        <v>0</v>
      </c>
      <c r="AT64" s="137">
        <v>0</v>
      </c>
      <c r="AU64" s="137">
        <v>0</v>
      </c>
      <c r="AV64" s="137">
        <v>0</v>
      </c>
      <c r="AW64" s="137">
        <v>0</v>
      </c>
      <c r="AX64" s="137">
        <v>0</v>
      </c>
      <c r="AY64" s="137">
        <v>0</v>
      </c>
      <c r="AZ64" s="137">
        <v>0</v>
      </c>
      <c r="BA64" s="137">
        <v>0</v>
      </c>
      <c r="BB64" s="137">
        <v>0</v>
      </c>
      <c r="BC64" s="136">
        <v>0</v>
      </c>
      <c r="BD64" s="136">
        <v>0</v>
      </c>
      <c r="BE64" s="136">
        <v>0</v>
      </c>
      <c r="BF64" s="136">
        <v>0</v>
      </c>
      <c r="BG64" s="137">
        <v>0</v>
      </c>
      <c r="BH64" s="137">
        <v>0</v>
      </c>
      <c r="BI64" s="137">
        <v>0</v>
      </c>
      <c r="BJ64" s="137">
        <v>0</v>
      </c>
      <c r="BK64" s="137">
        <v>0</v>
      </c>
      <c r="BL64" s="137">
        <v>0</v>
      </c>
      <c r="BM64" s="137">
        <v>0</v>
      </c>
      <c r="BN64" s="137">
        <v>0</v>
      </c>
      <c r="BO64" s="137">
        <v>0</v>
      </c>
      <c r="BP64" s="137">
        <v>0</v>
      </c>
      <c r="BQ64" s="137">
        <v>0</v>
      </c>
      <c r="BR64" s="137">
        <v>0</v>
      </c>
      <c r="BS64" s="137">
        <v>0</v>
      </c>
      <c r="BT64" s="137">
        <v>0</v>
      </c>
    </row>
    <row r="65" spans="1:72" ht="15" hidden="1" customHeight="1" outlineLevel="1" x14ac:dyDescent="0.3">
      <c r="A65" t="s">
        <v>73</v>
      </c>
      <c r="B65" s="134" t="s">
        <v>226</v>
      </c>
      <c r="C65" s="135">
        <v>0</v>
      </c>
      <c r="D65" s="135">
        <v>0</v>
      </c>
      <c r="E65" s="135">
        <v>0</v>
      </c>
      <c r="F65" s="135">
        <v>0</v>
      </c>
      <c r="G65" s="135">
        <v>7306</v>
      </c>
      <c r="H65" s="135">
        <v>7051</v>
      </c>
      <c r="I65" s="135">
        <v>7051</v>
      </c>
      <c r="J65" s="135">
        <v>6280</v>
      </c>
      <c r="K65" s="135">
        <v>4481</v>
      </c>
      <c r="L65" s="135">
        <v>1766</v>
      </c>
      <c r="M65" s="135">
        <v>1766</v>
      </c>
      <c r="N65" s="135">
        <v>1766</v>
      </c>
      <c r="O65" s="135">
        <v>1766</v>
      </c>
      <c r="P65" s="135">
        <v>0</v>
      </c>
      <c r="Q65" s="135">
        <v>0</v>
      </c>
      <c r="R65" s="135">
        <v>0</v>
      </c>
      <c r="S65" s="135">
        <v>0</v>
      </c>
      <c r="T65" s="135">
        <v>0</v>
      </c>
      <c r="U65" s="135">
        <v>0</v>
      </c>
      <c r="V65" s="135">
        <v>0</v>
      </c>
      <c r="W65" s="135">
        <v>0</v>
      </c>
      <c r="X65" s="135">
        <v>0</v>
      </c>
      <c r="Y65" s="135">
        <v>0</v>
      </c>
      <c r="Z65" s="135">
        <v>0</v>
      </c>
      <c r="AA65" s="135">
        <v>0</v>
      </c>
      <c r="AB65" s="135">
        <v>0</v>
      </c>
      <c r="AC65" s="135">
        <v>0</v>
      </c>
      <c r="AD65" s="135">
        <v>0</v>
      </c>
      <c r="AE65" s="135">
        <v>0</v>
      </c>
      <c r="AF65" s="135">
        <v>0</v>
      </c>
      <c r="AG65" s="135">
        <v>0</v>
      </c>
      <c r="AH65" s="135">
        <v>0</v>
      </c>
      <c r="AI65" s="137">
        <v>0</v>
      </c>
      <c r="AJ65" s="137">
        <v>0</v>
      </c>
      <c r="AK65" s="137">
        <v>0</v>
      </c>
      <c r="AL65" s="137">
        <v>0</v>
      </c>
      <c r="AM65" s="137">
        <v>0</v>
      </c>
      <c r="AN65" s="137">
        <v>0</v>
      </c>
      <c r="AO65" s="137">
        <v>0</v>
      </c>
      <c r="AP65" s="137">
        <v>0</v>
      </c>
      <c r="AQ65" s="137">
        <v>0</v>
      </c>
      <c r="AR65" s="137">
        <v>0</v>
      </c>
      <c r="AS65" s="137">
        <v>0</v>
      </c>
      <c r="AT65" s="137">
        <v>0</v>
      </c>
      <c r="AU65" s="137">
        <v>0</v>
      </c>
      <c r="AV65" s="137">
        <v>0</v>
      </c>
      <c r="AW65" s="137">
        <v>0</v>
      </c>
      <c r="AX65" s="137">
        <v>0</v>
      </c>
      <c r="AY65" s="137">
        <v>0</v>
      </c>
      <c r="AZ65" s="137">
        <v>0</v>
      </c>
      <c r="BA65" s="137">
        <v>0</v>
      </c>
      <c r="BB65" s="137">
        <v>0</v>
      </c>
      <c r="BC65" s="136">
        <v>0</v>
      </c>
      <c r="BD65" s="136">
        <v>0</v>
      </c>
      <c r="BE65" s="136">
        <v>0</v>
      </c>
      <c r="BF65" s="136">
        <v>0</v>
      </c>
      <c r="BG65" s="137">
        <v>0</v>
      </c>
      <c r="BH65" s="137">
        <v>0</v>
      </c>
      <c r="BI65" s="137">
        <v>0</v>
      </c>
      <c r="BJ65" s="137">
        <v>0</v>
      </c>
      <c r="BK65" s="137">
        <v>0</v>
      </c>
      <c r="BL65" s="137">
        <v>0</v>
      </c>
      <c r="BM65" s="137">
        <v>0</v>
      </c>
      <c r="BN65" s="137">
        <v>0</v>
      </c>
      <c r="BO65" s="137">
        <v>0</v>
      </c>
      <c r="BP65" s="137">
        <v>0</v>
      </c>
      <c r="BQ65" s="137">
        <v>0</v>
      </c>
      <c r="BR65" s="137">
        <v>0</v>
      </c>
      <c r="BS65" s="137">
        <v>0</v>
      </c>
      <c r="BT65" s="137">
        <v>0</v>
      </c>
    </row>
    <row r="66" spans="1:72" ht="15" hidden="1" customHeight="1" outlineLevel="1" x14ac:dyDescent="0.3">
      <c r="A66" t="s">
        <v>278</v>
      </c>
      <c r="B66" s="134" t="s">
        <v>228</v>
      </c>
      <c r="C66" s="135">
        <v>0</v>
      </c>
      <c r="D66" s="135">
        <v>0</v>
      </c>
      <c r="E66" s="135">
        <v>0</v>
      </c>
      <c r="F66" s="135">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c r="AM66" s="136"/>
      <c r="AN66" s="136"/>
      <c r="AO66" s="136"/>
      <c r="AP66" s="136"/>
      <c r="AQ66" s="136"/>
      <c r="AR66" s="136"/>
      <c r="AS66" s="136"/>
      <c r="AT66" s="136"/>
      <c r="AU66" s="136">
        <v>0</v>
      </c>
      <c r="AV66" s="136"/>
      <c r="AW66" s="136"/>
      <c r="AX66" s="136">
        <v>10475</v>
      </c>
      <c r="AY66" s="136">
        <v>10475</v>
      </c>
      <c r="AZ66" s="136">
        <v>10475</v>
      </c>
      <c r="BA66" s="136">
        <v>10475</v>
      </c>
      <c r="BB66" s="136">
        <v>10475</v>
      </c>
      <c r="BC66" s="136">
        <v>10475</v>
      </c>
      <c r="BD66" s="136">
        <v>10475</v>
      </c>
      <c r="BE66" s="136">
        <v>10474.920000000006</v>
      </c>
      <c r="BF66" s="136">
        <v>10474.920000000006</v>
      </c>
      <c r="BG66" s="137">
        <v>12064.260000000007</v>
      </c>
      <c r="BH66" s="137">
        <v>12064.260000000007</v>
      </c>
      <c r="BI66" s="137">
        <v>12064.260000000007</v>
      </c>
      <c r="BJ66" s="137">
        <v>12064.260000000007</v>
      </c>
      <c r="BK66" s="137">
        <v>12064.260000000007</v>
      </c>
      <c r="BL66" s="137">
        <v>12064.260000000007</v>
      </c>
      <c r="BM66" s="137">
        <v>12064.260100000007</v>
      </c>
      <c r="BN66" s="137">
        <v>12064.260100000007</v>
      </c>
      <c r="BO66" s="137">
        <v>12064.260100000007</v>
      </c>
      <c r="BP66" s="137">
        <v>12064.260100000007</v>
      </c>
      <c r="BQ66" s="137">
        <v>12064.260100000007</v>
      </c>
      <c r="BR66" s="137">
        <v>12237.140100000006</v>
      </c>
      <c r="BS66" s="137">
        <v>12237.140100000006</v>
      </c>
      <c r="BT66" s="137">
        <v>12237.140100000006</v>
      </c>
    </row>
    <row r="67" spans="1:72" ht="15" hidden="1" customHeight="1" outlineLevel="1" x14ac:dyDescent="0.3">
      <c r="A67" t="s">
        <v>279</v>
      </c>
      <c r="B67" s="134" t="s">
        <v>230</v>
      </c>
      <c r="C67" s="135">
        <v>0</v>
      </c>
      <c r="D67" s="135">
        <v>0</v>
      </c>
      <c r="E67" s="135">
        <v>0</v>
      </c>
      <c r="F67" s="135">
        <v>0</v>
      </c>
      <c r="G67" s="136">
        <v>0</v>
      </c>
      <c r="H67" s="136">
        <v>0</v>
      </c>
      <c r="I67" s="136">
        <v>0</v>
      </c>
      <c r="J67" s="136">
        <v>0</v>
      </c>
      <c r="K67" s="136">
        <v>0</v>
      </c>
      <c r="L67" s="136">
        <v>0</v>
      </c>
      <c r="M67" s="136">
        <v>0</v>
      </c>
      <c r="N67" s="136">
        <v>0</v>
      </c>
      <c r="O67" s="136">
        <v>0</v>
      </c>
      <c r="P67" s="136">
        <v>0</v>
      </c>
      <c r="Q67" s="136">
        <v>0</v>
      </c>
      <c r="R67" s="136">
        <v>0</v>
      </c>
      <c r="S67" s="136">
        <v>0</v>
      </c>
      <c r="T67" s="136">
        <v>0</v>
      </c>
      <c r="U67" s="136">
        <v>0</v>
      </c>
      <c r="V67" s="136">
        <v>0</v>
      </c>
      <c r="W67" s="136">
        <v>0</v>
      </c>
      <c r="X67" s="136">
        <v>0</v>
      </c>
      <c r="Y67" s="136">
        <v>0</v>
      </c>
      <c r="Z67" s="136">
        <v>0</v>
      </c>
      <c r="AA67" s="136">
        <v>0</v>
      </c>
      <c r="AB67" s="136">
        <v>0</v>
      </c>
      <c r="AC67" s="136">
        <v>0</v>
      </c>
      <c r="AD67" s="136">
        <v>0</v>
      </c>
      <c r="AE67" s="136">
        <v>0</v>
      </c>
      <c r="AF67" s="136">
        <v>0</v>
      </c>
      <c r="AG67" s="136">
        <v>0</v>
      </c>
      <c r="AH67" s="136">
        <v>0</v>
      </c>
      <c r="AI67" s="136">
        <v>0</v>
      </c>
      <c r="AJ67" s="136">
        <v>0</v>
      </c>
      <c r="AK67" s="136">
        <v>0</v>
      </c>
      <c r="AL67" s="136"/>
      <c r="AM67" s="136"/>
      <c r="AN67" s="136"/>
      <c r="AO67" s="136"/>
      <c r="AP67" s="136"/>
      <c r="AQ67" s="136"/>
      <c r="AR67" s="136"/>
      <c r="AS67" s="136"/>
      <c r="AT67" s="136"/>
      <c r="AU67" s="136">
        <v>0</v>
      </c>
      <c r="AV67" s="136"/>
      <c r="AW67" s="136"/>
      <c r="AX67" s="136">
        <v>19418</v>
      </c>
      <c r="AY67" s="136">
        <v>19418</v>
      </c>
      <c r="AZ67" s="136">
        <v>19418</v>
      </c>
      <c r="BA67" s="136">
        <v>19418</v>
      </c>
      <c r="BB67" s="136">
        <v>19418</v>
      </c>
      <c r="BC67" s="136">
        <v>19418</v>
      </c>
      <c r="BD67" s="136">
        <v>19418</v>
      </c>
      <c r="BE67" s="136">
        <v>19417.839212374143</v>
      </c>
      <c r="BF67" s="136">
        <v>19417.839212374143</v>
      </c>
      <c r="BG67" s="137">
        <v>19417.839212374143</v>
      </c>
      <c r="BH67" s="137">
        <v>19417.839212374143</v>
      </c>
      <c r="BI67" s="137">
        <v>19417.839212374143</v>
      </c>
      <c r="BJ67" s="137">
        <v>19417.839212374143</v>
      </c>
      <c r="BK67" s="137">
        <v>19417.839212374143</v>
      </c>
      <c r="BL67" s="137">
        <v>19417.839212374143</v>
      </c>
      <c r="BM67" s="137">
        <v>19417.839212374143</v>
      </c>
      <c r="BN67" s="137">
        <v>19417.839212374143</v>
      </c>
      <c r="BO67" s="137">
        <v>19417.839212374143</v>
      </c>
      <c r="BP67" s="137">
        <v>19417.839212374143</v>
      </c>
      <c r="BQ67" s="137">
        <v>19417.839212374143</v>
      </c>
      <c r="BR67" s="137">
        <v>19417.839212374143</v>
      </c>
      <c r="BS67" s="137">
        <v>19417.839212374143</v>
      </c>
      <c r="BT67" s="137">
        <v>19417.839212374143</v>
      </c>
    </row>
    <row r="68" spans="1:72" s="123" customFormat="1" ht="15" customHeight="1" collapsed="1" x14ac:dyDescent="0.3">
      <c r="B68" s="133" t="str">
        <f>IF('Sumário | Summary'!P1=1,"Escritórios Classe A","Class A Offices")</f>
        <v>Escritórios Classe A</v>
      </c>
      <c r="C68" s="132">
        <f t="shared" ref="C68:BN68" si="21">SUM(C69:C76)</f>
        <v>37571.189999999995</v>
      </c>
      <c r="D68" s="132">
        <f t="shared" si="21"/>
        <v>41421.189999999995</v>
      </c>
      <c r="E68" s="132">
        <f t="shared" si="21"/>
        <v>41421.189999999995</v>
      </c>
      <c r="F68" s="132">
        <f t="shared" si="21"/>
        <v>41421.189999999995</v>
      </c>
      <c r="G68" s="132">
        <f t="shared" si="21"/>
        <v>41421.189999999995</v>
      </c>
      <c r="H68" s="132">
        <f t="shared" si="21"/>
        <v>41421.189999999995</v>
      </c>
      <c r="I68" s="132">
        <f t="shared" si="21"/>
        <v>41421.189999999995</v>
      </c>
      <c r="J68" s="132">
        <f t="shared" si="21"/>
        <v>41421.189999999995</v>
      </c>
      <c r="K68" s="132">
        <f t="shared" si="21"/>
        <v>41421.189999999995</v>
      </c>
      <c r="L68" s="132">
        <f t="shared" si="21"/>
        <v>41421.189999999995</v>
      </c>
      <c r="M68" s="132">
        <f t="shared" si="21"/>
        <v>41421.189999999995</v>
      </c>
      <c r="N68" s="132">
        <f t="shared" si="21"/>
        <v>41421.189999999995</v>
      </c>
      <c r="O68" s="132">
        <f t="shared" si="21"/>
        <v>41421.189999999995</v>
      </c>
      <c r="P68" s="132">
        <f t="shared" si="21"/>
        <v>41421.189999999995</v>
      </c>
      <c r="Q68" s="132">
        <f t="shared" si="21"/>
        <v>41421.189999999995</v>
      </c>
      <c r="R68" s="132">
        <f t="shared" si="21"/>
        <v>41421.189999999995</v>
      </c>
      <c r="S68" s="132">
        <f t="shared" si="21"/>
        <v>41421.189999999995</v>
      </c>
      <c r="T68" s="132">
        <f t="shared" si="21"/>
        <v>41421.189999999995</v>
      </c>
      <c r="U68" s="132">
        <f t="shared" si="21"/>
        <v>41421.189999999995</v>
      </c>
      <c r="V68" s="132">
        <f t="shared" si="21"/>
        <v>41421.189999999995</v>
      </c>
      <c r="W68" s="132">
        <f t="shared" si="21"/>
        <v>41421.189999999995</v>
      </c>
      <c r="X68" s="132">
        <f t="shared" si="21"/>
        <v>41421.24</v>
      </c>
      <c r="Y68" s="132">
        <f t="shared" si="21"/>
        <v>41421.24</v>
      </c>
      <c r="Z68" s="132">
        <f t="shared" si="21"/>
        <v>41421.24</v>
      </c>
      <c r="AA68" s="132">
        <f t="shared" si="21"/>
        <v>41421.24</v>
      </c>
      <c r="AB68" s="132">
        <f t="shared" si="21"/>
        <v>41421.24</v>
      </c>
      <c r="AC68" s="132">
        <f t="shared" si="21"/>
        <v>41421.24</v>
      </c>
      <c r="AD68" s="132">
        <f t="shared" si="21"/>
        <v>41421.189999999995</v>
      </c>
      <c r="AE68" s="132">
        <f t="shared" si="21"/>
        <v>41421.189999999995</v>
      </c>
      <c r="AF68" s="132">
        <f t="shared" si="21"/>
        <v>38577.549999999996</v>
      </c>
      <c r="AG68" s="132">
        <f t="shared" si="21"/>
        <v>38577.129999999997</v>
      </c>
      <c r="AH68" s="132">
        <f t="shared" si="21"/>
        <v>38577.129999999997</v>
      </c>
      <c r="AI68" s="132">
        <f t="shared" si="21"/>
        <v>38577.549999999996</v>
      </c>
      <c r="AJ68" s="132">
        <f t="shared" si="21"/>
        <v>38577.549999999996</v>
      </c>
      <c r="AK68" s="132">
        <f t="shared" si="21"/>
        <v>38577.31</v>
      </c>
      <c r="AL68" s="132">
        <f t="shared" si="21"/>
        <v>27992.249999999996</v>
      </c>
      <c r="AM68" s="132">
        <f t="shared" si="21"/>
        <v>27992.489999999998</v>
      </c>
      <c r="AN68" s="132">
        <f t="shared" si="21"/>
        <v>27992.069999999996</v>
      </c>
      <c r="AO68" s="132">
        <f t="shared" si="21"/>
        <v>27992.489999999998</v>
      </c>
      <c r="AP68" s="132">
        <f t="shared" si="21"/>
        <v>27992.489999999998</v>
      </c>
      <c r="AQ68" s="132">
        <f t="shared" si="21"/>
        <v>27992.489999999998</v>
      </c>
      <c r="AR68" s="132">
        <f t="shared" si="21"/>
        <v>27992.489999999998</v>
      </c>
      <c r="AS68" s="132">
        <f t="shared" si="21"/>
        <v>27992.489999999998</v>
      </c>
      <c r="AT68" s="132">
        <f t="shared" si="21"/>
        <v>27992.489999999998</v>
      </c>
      <c r="AU68" s="132">
        <f t="shared" si="21"/>
        <v>38577.489999999991</v>
      </c>
      <c r="AV68" s="132">
        <f t="shared" si="21"/>
        <v>40154.49</v>
      </c>
      <c r="AW68" s="132">
        <f t="shared" si="21"/>
        <v>50159.489999999991</v>
      </c>
      <c r="AX68" s="132">
        <f t="shared" si="21"/>
        <v>47236.13</v>
      </c>
      <c r="AY68" s="132">
        <f t="shared" si="21"/>
        <v>47236.13</v>
      </c>
      <c r="AZ68" s="132">
        <f t="shared" si="21"/>
        <v>47236.13</v>
      </c>
      <c r="BA68" s="132">
        <f t="shared" si="21"/>
        <v>47236.13</v>
      </c>
      <c r="BB68" s="132">
        <f t="shared" si="21"/>
        <v>47236.13</v>
      </c>
      <c r="BC68" s="132">
        <f t="shared" si="21"/>
        <v>47236.19</v>
      </c>
      <c r="BD68" s="132">
        <f t="shared" si="21"/>
        <v>47236.19</v>
      </c>
      <c r="BE68" s="132">
        <f t="shared" si="21"/>
        <v>47236.19</v>
      </c>
      <c r="BF68" s="132">
        <f t="shared" si="21"/>
        <v>47236.13</v>
      </c>
      <c r="BG68" s="132">
        <f t="shared" si="21"/>
        <v>47236.19</v>
      </c>
      <c r="BH68" s="132">
        <f t="shared" si="21"/>
        <v>47236.240000000005</v>
      </c>
      <c r="BI68" s="132">
        <f t="shared" si="21"/>
        <v>47236.240000000005</v>
      </c>
      <c r="BJ68" s="132">
        <f t="shared" si="21"/>
        <v>47236.240000000005</v>
      </c>
      <c r="BK68" s="132">
        <f t="shared" si="21"/>
        <v>47236.240000000005</v>
      </c>
      <c r="BL68" s="132">
        <f t="shared" si="21"/>
        <v>47236.240000000005</v>
      </c>
      <c r="BM68" s="132">
        <f t="shared" si="21"/>
        <v>47236.240000000005</v>
      </c>
      <c r="BN68" s="132">
        <f t="shared" si="21"/>
        <v>43386.239999999998</v>
      </c>
      <c r="BO68" s="132">
        <f t="shared" ref="BO68" si="22">SUM(BO69:BO76)</f>
        <v>43386.239999999998</v>
      </c>
      <c r="BP68" s="132">
        <v>43386.239999999998</v>
      </c>
      <c r="BQ68" s="132">
        <v>43386.240000000005</v>
      </c>
      <c r="BR68" s="132">
        <v>43386.240000000005</v>
      </c>
      <c r="BS68" s="132">
        <v>36074.85</v>
      </c>
      <c r="BT68" s="132">
        <f>SUM(BT69:BT76)</f>
        <v>35305.229999999996</v>
      </c>
    </row>
    <row r="69" spans="1:72" ht="15" hidden="1" customHeight="1" outlineLevel="1" x14ac:dyDescent="0.3">
      <c r="A69" t="s">
        <v>280</v>
      </c>
      <c r="B69" s="134" t="s">
        <v>232</v>
      </c>
      <c r="C69" s="136">
        <v>11987.249999999996</v>
      </c>
      <c r="D69" s="136">
        <v>11987.249999999996</v>
      </c>
      <c r="E69" s="136">
        <v>11987.249999999996</v>
      </c>
      <c r="F69" s="136">
        <v>11987.249999999996</v>
      </c>
      <c r="G69" s="136">
        <v>11987.249999999996</v>
      </c>
      <c r="H69" s="136">
        <v>11987.249999999996</v>
      </c>
      <c r="I69" s="136">
        <v>11987.249999999996</v>
      </c>
      <c r="J69" s="136">
        <v>11987.249999999996</v>
      </c>
      <c r="K69" s="136">
        <v>11987.249999999996</v>
      </c>
      <c r="L69" s="136">
        <v>11987.249999999996</v>
      </c>
      <c r="M69" s="136">
        <v>11987.249999999996</v>
      </c>
      <c r="N69" s="136">
        <v>11987.249999999996</v>
      </c>
      <c r="O69" s="136">
        <v>11987.249999999996</v>
      </c>
      <c r="P69" s="136">
        <v>11987.249999999996</v>
      </c>
      <c r="Q69" s="136">
        <v>11987.249999999996</v>
      </c>
      <c r="R69" s="136">
        <v>11987.249999999996</v>
      </c>
      <c r="S69" s="136">
        <v>11987.249999999996</v>
      </c>
      <c r="T69" s="136">
        <v>11987.249999999996</v>
      </c>
      <c r="U69" s="136">
        <v>11987.249999999996</v>
      </c>
      <c r="V69" s="136">
        <v>11987.249999999996</v>
      </c>
      <c r="W69" s="136">
        <v>11987.249999999996</v>
      </c>
      <c r="X69" s="136">
        <v>11987.249999999996</v>
      </c>
      <c r="Y69" s="136">
        <v>11987.249999999996</v>
      </c>
      <c r="Z69" s="136">
        <v>11987.249999999996</v>
      </c>
      <c r="AA69" s="136">
        <v>11987.249999999996</v>
      </c>
      <c r="AB69" s="136">
        <v>11987.249999999996</v>
      </c>
      <c r="AC69" s="136">
        <v>11987.249999999996</v>
      </c>
      <c r="AD69" s="136">
        <v>11987.249999999996</v>
      </c>
      <c r="AE69" s="136">
        <v>11987.249999999996</v>
      </c>
      <c r="AF69" s="136">
        <v>11987.249999999996</v>
      </c>
      <c r="AG69" s="136">
        <v>11987.249999999996</v>
      </c>
      <c r="AH69" s="136">
        <v>11987.249999999996</v>
      </c>
      <c r="AI69" s="136">
        <v>11987.249999999996</v>
      </c>
      <c r="AJ69" s="136">
        <v>11987.249999999996</v>
      </c>
      <c r="AK69" s="136">
        <v>11987.249999999996</v>
      </c>
      <c r="AL69" s="136">
        <v>11987.249999999996</v>
      </c>
      <c r="AM69" s="136">
        <v>11987.249999999996</v>
      </c>
      <c r="AN69" s="136">
        <v>11987.249999999996</v>
      </c>
      <c r="AO69" s="136">
        <v>11987.249999999996</v>
      </c>
      <c r="AP69" s="136">
        <v>11987.249999999996</v>
      </c>
      <c r="AQ69" s="136">
        <v>11987.249999999996</v>
      </c>
      <c r="AR69" s="136">
        <v>11987.249999999996</v>
      </c>
      <c r="AS69" s="136">
        <v>11987.249999999996</v>
      </c>
      <c r="AT69" s="136">
        <v>11987.249999999996</v>
      </c>
      <c r="AU69" s="136">
        <v>11987.249999999996</v>
      </c>
      <c r="AV69" s="136">
        <v>11987.249999999996</v>
      </c>
      <c r="AW69" s="136">
        <v>11987.249999999996</v>
      </c>
      <c r="AX69" s="136">
        <v>11987.249999999996</v>
      </c>
      <c r="AY69" s="136">
        <v>11987.249999999996</v>
      </c>
      <c r="AZ69" s="136">
        <v>11987.249999999996</v>
      </c>
      <c r="BA69" s="136">
        <v>11987.249999999996</v>
      </c>
      <c r="BB69" s="136">
        <v>11987.249999999996</v>
      </c>
      <c r="BC69" s="136">
        <v>11987.249999999996</v>
      </c>
      <c r="BD69" s="136">
        <v>11987.249999999996</v>
      </c>
      <c r="BE69" s="136">
        <v>11987.249999999996</v>
      </c>
      <c r="BF69" s="136">
        <v>11987.249999999996</v>
      </c>
      <c r="BG69" s="137">
        <v>11987.249999999996</v>
      </c>
      <c r="BH69" s="137">
        <v>11987.249999999996</v>
      </c>
      <c r="BI69" s="137">
        <v>11987.249999999996</v>
      </c>
      <c r="BJ69" s="137">
        <v>11987.249999999996</v>
      </c>
      <c r="BK69" s="137">
        <v>11987.249999999996</v>
      </c>
      <c r="BL69" s="137">
        <v>11987.249999999996</v>
      </c>
      <c r="BM69" s="137">
        <v>11987.249999999996</v>
      </c>
      <c r="BN69" s="137">
        <v>11987.249999999996</v>
      </c>
      <c r="BO69" s="137">
        <v>11987.249999999996</v>
      </c>
      <c r="BP69" s="137">
        <v>11987.249999999996</v>
      </c>
      <c r="BQ69" s="137">
        <v>11987.249999999996</v>
      </c>
      <c r="BR69" s="137">
        <v>11987.249999999996</v>
      </c>
      <c r="BS69" s="137">
        <v>11987.249999999996</v>
      </c>
      <c r="BT69" s="137">
        <v>11987.249999999996</v>
      </c>
    </row>
    <row r="70" spans="1:72" ht="15" hidden="1" customHeight="1" outlineLevel="1" x14ac:dyDescent="0.3">
      <c r="A70" t="s">
        <v>281</v>
      </c>
      <c r="B70" s="134" t="s">
        <v>234</v>
      </c>
      <c r="C70" s="136">
        <v>8385.82</v>
      </c>
      <c r="D70" s="136">
        <v>8385.82</v>
      </c>
      <c r="E70" s="136">
        <v>8385.82</v>
      </c>
      <c r="F70" s="136">
        <v>8385.82</v>
      </c>
      <c r="G70" s="136">
        <v>8385.82</v>
      </c>
      <c r="H70" s="136">
        <v>8385.82</v>
      </c>
      <c r="I70" s="136">
        <v>8385.82</v>
      </c>
      <c r="J70" s="136">
        <v>8385.82</v>
      </c>
      <c r="K70" s="136">
        <v>8385.82</v>
      </c>
      <c r="L70" s="136">
        <v>8385.82</v>
      </c>
      <c r="M70" s="136">
        <v>8385.82</v>
      </c>
      <c r="N70" s="136">
        <v>8385.82</v>
      </c>
      <c r="O70" s="136">
        <v>8385.82</v>
      </c>
      <c r="P70" s="136">
        <v>8385.82</v>
      </c>
      <c r="Q70" s="136">
        <v>8385.82</v>
      </c>
      <c r="R70" s="136">
        <v>8385.82</v>
      </c>
      <c r="S70" s="136">
        <v>8385.82</v>
      </c>
      <c r="T70" s="136">
        <v>8385.82</v>
      </c>
      <c r="U70" s="136">
        <v>8385.82</v>
      </c>
      <c r="V70" s="136">
        <v>8385.82</v>
      </c>
      <c r="W70" s="136">
        <v>8385.82</v>
      </c>
      <c r="X70" s="136">
        <v>8385.82</v>
      </c>
      <c r="Y70" s="136">
        <v>8385.82</v>
      </c>
      <c r="Z70" s="136">
        <v>8385.82</v>
      </c>
      <c r="AA70" s="136">
        <v>8385.82</v>
      </c>
      <c r="AB70" s="136">
        <v>8385.82</v>
      </c>
      <c r="AC70" s="136">
        <v>8385.82</v>
      </c>
      <c r="AD70" s="136">
        <v>8385.82</v>
      </c>
      <c r="AE70" s="136">
        <v>8385.82</v>
      </c>
      <c r="AF70" s="136">
        <v>8385.82</v>
      </c>
      <c r="AG70" s="136">
        <v>8385.82</v>
      </c>
      <c r="AH70" s="136">
        <v>8385.82</v>
      </c>
      <c r="AI70" s="136">
        <v>8385.82</v>
      </c>
      <c r="AJ70" s="136">
        <v>8385.82</v>
      </c>
      <c r="AK70" s="136">
        <v>8386</v>
      </c>
      <c r="AL70" s="136">
        <v>8386</v>
      </c>
      <c r="AM70" s="136">
        <v>8385.82</v>
      </c>
      <c r="AN70" s="136">
        <v>8385.82</v>
      </c>
      <c r="AO70" s="136">
        <v>8385.82</v>
      </c>
      <c r="AP70" s="136">
        <v>8385.82</v>
      </c>
      <c r="AQ70" s="136">
        <v>8385.82</v>
      </c>
      <c r="AR70" s="136">
        <v>8385.82</v>
      </c>
      <c r="AS70" s="136">
        <v>8385.82</v>
      </c>
      <c r="AT70" s="136">
        <v>8385.82</v>
      </c>
      <c r="AU70" s="136">
        <v>8385.82</v>
      </c>
      <c r="AV70" s="136">
        <v>8385.82</v>
      </c>
      <c r="AW70" s="136">
        <v>8385.82</v>
      </c>
      <c r="AX70" s="136">
        <v>8385.82</v>
      </c>
      <c r="AY70" s="136">
        <v>8385.82</v>
      </c>
      <c r="AZ70" s="136">
        <v>8385.82</v>
      </c>
      <c r="BA70" s="136">
        <v>8385.82</v>
      </c>
      <c r="BB70" s="136">
        <v>8385.82</v>
      </c>
      <c r="BC70" s="136">
        <v>8385.82</v>
      </c>
      <c r="BD70" s="136">
        <v>8385.82</v>
      </c>
      <c r="BE70" s="136">
        <v>8385.82</v>
      </c>
      <c r="BF70" s="136">
        <v>8385.82</v>
      </c>
      <c r="BG70" s="137">
        <v>8385.82</v>
      </c>
      <c r="BH70" s="137">
        <v>8385.82</v>
      </c>
      <c r="BI70" s="137">
        <v>8385.82</v>
      </c>
      <c r="BJ70" s="137">
        <v>8385.82</v>
      </c>
      <c r="BK70" s="137">
        <v>8385.82</v>
      </c>
      <c r="BL70" s="137">
        <v>8385.82</v>
      </c>
      <c r="BM70" s="137">
        <v>8385.82</v>
      </c>
      <c r="BN70" s="137">
        <v>8385.82</v>
      </c>
      <c r="BO70" s="137">
        <v>8385.82</v>
      </c>
      <c r="BP70" s="137">
        <v>8385.82</v>
      </c>
      <c r="BQ70" s="137">
        <v>8385.82</v>
      </c>
      <c r="BR70" s="137">
        <v>8385.82</v>
      </c>
      <c r="BS70" s="137">
        <v>8385.82</v>
      </c>
      <c r="BT70" s="137">
        <v>8385.82</v>
      </c>
    </row>
    <row r="71" spans="1:72" ht="15" hidden="1" customHeight="1" outlineLevel="1" x14ac:dyDescent="0.3">
      <c r="A71" t="s">
        <v>73</v>
      </c>
      <c r="B71" s="134" t="s">
        <v>235</v>
      </c>
      <c r="C71" s="135">
        <v>2923</v>
      </c>
      <c r="D71" s="135">
        <v>2923</v>
      </c>
      <c r="E71" s="135">
        <v>2923</v>
      </c>
      <c r="F71" s="135">
        <v>2923</v>
      </c>
      <c r="G71" s="135">
        <v>2923</v>
      </c>
      <c r="H71" s="135">
        <v>2923</v>
      </c>
      <c r="I71" s="135">
        <v>2923</v>
      </c>
      <c r="J71" s="135">
        <v>2923</v>
      </c>
      <c r="K71" s="135">
        <v>2923</v>
      </c>
      <c r="L71" s="135">
        <v>2923</v>
      </c>
      <c r="M71" s="135">
        <v>2923</v>
      </c>
      <c r="N71" s="135">
        <v>2923</v>
      </c>
      <c r="O71" s="135">
        <v>2923</v>
      </c>
      <c r="P71" s="135">
        <v>2923</v>
      </c>
      <c r="Q71" s="135">
        <v>2923</v>
      </c>
      <c r="R71" s="135">
        <v>2923</v>
      </c>
      <c r="S71" s="135">
        <v>2923</v>
      </c>
      <c r="T71" s="135">
        <v>2923</v>
      </c>
      <c r="U71" s="135">
        <v>2923</v>
      </c>
      <c r="V71" s="135">
        <v>2923</v>
      </c>
      <c r="W71" s="135">
        <v>2923</v>
      </c>
      <c r="X71" s="135">
        <v>2923</v>
      </c>
      <c r="Y71" s="135">
        <v>2923</v>
      </c>
      <c r="Z71" s="135">
        <v>2923</v>
      </c>
      <c r="AA71" s="135">
        <v>2923</v>
      </c>
      <c r="AB71" s="135">
        <v>2923</v>
      </c>
      <c r="AC71" s="135">
        <v>2923</v>
      </c>
      <c r="AD71" s="135">
        <v>2923</v>
      </c>
      <c r="AE71" s="135">
        <v>2923</v>
      </c>
      <c r="AF71" s="135">
        <v>2923.36</v>
      </c>
      <c r="AG71" s="135">
        <v>2923</v>
      </c>
      <c r="AH71" s="135">
        <v>2923</v>
      </c>
      <c r="AI71" s="135">
        <v>2923.36</v>
      </c>
      <c r="AJ71" s="136">
        <v>2923.36</v>
      </c>
      <c r="AK71" s="136">
        <v>2923</v>
      </c>
      <c r="AL71" s="136">
        <v>2923</v>
      </c>
      <c r="AM71" s="136">
        <v>2923.36</v>
      </c>
      <c r="AN71" s="136">
        <v>2923</v>
      </c>
      <c r="AO71" s="136">
        <v>2923.36</v>
      </c>
      <c r="AP71" s="136">
        <v>2923.36</v>
      </c>
      <c r="AQ71" s="136">
        <v>2923.36</v>
      </c>
      <c r="AR71" s="136">
        <v>2923.36</v>
      </c>
      <c r="AS71" s="136">
        <v>2923.36</v>
      </c>
      <c r="AT71" s="136">
        <v>2923.36</v>
      </c>
      <c r="AU71" s="136">
        <v>2923.36</v>
      </c>
      <c r="AV71" s="136">
        <v>2923.36</v>
      </c>
      <c r="AW71" s="136">
        <v>2923.36</v>
      </c>
      <c r="AX71" s="137">
        <v>0</v>
      </c>
      <c r="AY71" s="137">
        <v>0</v>
      </c>
      <c r="AZ71" s="137">
        <v>0</v>
      </c>
      <c r="BA71" s="137">
        <v>0</v>
      </c>
      <c r="BB71" s="137">
        <v>0</v>
      </c>
      <c r="BC71" s="136">
        <v>0</v>
      </c>
      <c r="BD71" s="136">
        <v>0</v>
      </c>
      <c r="BE71" s="136">
        <v>0</v>
      </c>
      <c r="BF71" s="136">
        <v>0</v>
      </c>
      <c r="BG71" s="137">
        <v>0</v>
      </c>
      <c r="BH71" s="137">
        <v>0</v>
      </c>
      <c r="BI71" s="137">
        <v>0</v>
      </c>
      <c r="BJ71" s="137">
        <v>0</v>
      </c>
      <c r="BK71" s="137">
        <v>0</v>
      </c>
      <c r="BL71" s="137">
        <v>0</v>
      </c>
      <c r="BM71" s="137">
        <v>0</v>
      </c>
      <c r="BN71" s="137">
        <v>0</v>
      </c>
      <c r="BO71" s="137">
        <v>0</v>
      </c>
      <c r="BP71" s="137">
        <v>0</v>
      </c>
      <c r="BQ71" s="137">
        <v>0</v>
      </c>
      <c r="BR71" s="137">
        <v>0</v>
      </c>
      <c r="BS71" s="137">
        <v>0</v>
      </c>
      <c r="BT71" s="137">
        <v>0</v>
      </c>
    </row>
    <row r="72" spans="1:72" ht="15" hidden="1" customHeight="1" outlineLevel="1" x14ac:dyDescent="0.3">
      <c r="A72" t="s">
        <v>282</v>
      </c>
      <c r="B72" s="134" t="s">
        <v>237</v>
      </c>
      <c r="C72" s="136">
        <v>10585.060000000001</v>
      </c>
      <c r="D72" s="136">
        <v>10585.060000000001</v>
      </c>
      <c r="E72" s="136">
        <v>10585.060000000001</v>
      </c>
      <c r="F72" s="136">
        <v>10585.060000000001</v>
      </c>
      <c r="G72" s="136">
        <v>10585.060000000001</v>
      </c>
      <c r="H72" s="136">
        <v>10585.060000000001</v>
      </c>
      <c r="I72" s="136">
        <v>10585.060000000001</v>
      </c>
      <c r="J72" s="136">
        <v>10585.060000000001</v>
      </c>
      <c r="K72" s="136">
        <v>10585.060000000001</v>
      </c>
      <c r="L72" s="136">
        <v>10585.060000000001</v>
      </c>
      <c r="M72" s="136">
        <v>10585.060000000001</v>
      </c>
      <c r="N72" s="136">
        <v>10585.060000000001</v>
      </c>
      <c r="O72" s="136">
        <v>10585.060000000001</v>
      </c>
      <c r="P72" s="136">
        <v>10585.060000000001</v>
      </c>
      <c r="Q72" s="136">
        <v>10585.060000000001</v>
      </c>
      <c r="R72" s="136">
        <v>10585.060000000001</v>
      </c>
      <c r="S72" s="136">
        <v>10585.060000000001</v>
      </c>
      <c r="T72" s="136">
        <v>10585.060000000001</v>
      </c>
      <c r="U72" s="136">
        <v>10585.060000000001</v>
      </c>
      <c r="V72" s="136">
        <v>10585.060000000001</v>
      </c>
      <c r="W72" s="136">
        <v>10585.060000000001</v>
      </c>
      <c r="X72" s="136">
        <v>10585.060000000001</v>
      </c>
      <c r="Y72" s="136">
        <v>10585.060000000001</v>
      </c>
      <c r="Z72" s="136">
        <v>10585.060000000001</v>
      </c>
      <c r="AA72" s="136">
        <v>10585.060000000001</v>
      </c>
      <c r="AB72" s="136">
        <v>10585.060000000001</v>
      </c>
      <c r="AC72" s="136">
        <v>10585.060000000001</v>
      </c>
      <c r="AD72" s="136">
        <v>10585.060000000001</v>
      </c>
      <c r="AE72" s="136">
        <v>10585.060000000001</v>
      </c>
      <c r="AF72" s="136">
        <v>10585.060000000001</v>
      </c>
      <c r="AG72" s="136">
        <v>10585.060000000001</v>
      </c>
      <c r="AH72" s="136">
        <v>10585.060000000001</v>
      </c>
      <c r="AI72" s="136">
        <v>10585.060000000001</v>
      </c>
      <c r="AJ72" s="136">
        <v>10585.060000000001</v>
      </c>
      <c r="AK72" s="136">
        <v>10585.060000000001</v>
      </c>
      <c r="AL72" s="135">
        <v>0</v>
      </c>
      <c r="AM72" s="135">
        <v>0</v>
      </c>
      <c r="AN72" s="135">
        <v>0</v>
      </c>
      <c r="AO72" s="135">
        <v>0</v>
      </c>
      <c r="AP72" s="135">
        <v>0</v>
      </c>
      <c r="AQ72" s="135">
        <v>0</v>
      </c>
      <c r="AR72" s="135">
        <v>0</v>
      </c>
      <c r="AS72" s="135">
        <v>0</v>
      </c>
      <c r="AT72" s="135">
        <v>0</v>
      </c>
      <c r="AU72" s="137">
        <v>10585</v>
      </c>
      <c r="AV72" s="135">
        <v>0</v>
      </c>
      <c r="AW72" s="137">
        <v>10005</v>
      </c>
      <c r="AX72" s="137">
        <v>10005</v>
      </c>
      <c r="AY72" s="137">
        <v>10005</v>
      </c>
      <c r="AZ72" s="137">
        <v>10005</v>
      </c>
      <c r="BA72" s="137">
        <v>10005</v>
      </c>
      <c r="BB72" s="137">
        <v>10005</v>
      </c>
      <c r="BC72" s="137">
        <v>10005.06</v>
      </c>
      <c r="BD72" s="137">
        <v>10005.06</v>
      </c>
      <c r="BE72" s="137">
        <v>10005.06</v>
      </c>
      <c r="BF72" s="137">
        <v>10005</v>
      </c>
      <c r="BG72" s="137">
        <v>10005.06</v>
      </c>
      <c r="BH72" s="137">
        <v>10005.06</v>
      </c>
      <c r="BI72" s="137">
        <v>10005.06</v>
      </c>
      <c r="BJ72" s="137">
        <v>10005.06</v>
      </c>
      <c r="BK72" s="137">
        <v>10005.06</v>
      </c>
      <c r="BL72" s="137">
        <v>10005.06</v>
      </c>
      <c r="BM72" s="137">
        <v>10005.06</v>
      </c>
      <c r="BN72" s="137">
        <v>10005.06</v>
      </c>
      <c r="BO72" s="137">
        <v>10005.06</v>
      </c>
      <c r="BP72" s="137">
        <v>10005.06</v>
      </c>
      <c r="BQ72" s="137">
        <v>10005.060000000001</v>
      </c>
      <c r="BR72" s="137">
        <v>10005.060000000001</v>
      </c>
      <c r="BS72" s="137">
        <v>2693.6699999999996</v>
      </c>
      <c r="BT72" s="137">
        <v>1924.0499999999997</v>
      </c>
    </row>
    <row r="73" spans="1:72" ht="15" hidden="1" customHeight="1" outlineLevel="1" x14ac:dyDescent="0.3">
      <c r="A73" t="s">
        <v>283</v>
      </c>
      <c r="B73" s="134" t="s">
        <v>239</v>
      </c>
      <c r="C73" s="135">
        <v>846.06</v>
      </c>
      <c r="D73" s="135">
        <v>846.06</v>
      </c>
      <c r="E73" s="135">
        <v>846.06</v>
      </c>
      <c r="F73" s="135">
        <v>846.06</v>
      </c>
      <c r="G73" s="135">
        <v>846.06</v>
      </c>
      <c r="H73" s="135">
        <v>846.06</v>
      </c>
      <c r="I73" s="135">
        <v>846.06</v>
      </c>
      <c r="J73" s="135">
        <v>846.06</v>
      </c>
      <c r="K73" s="135">
        <v>846.06</v>
      </c>
      <c r="L73" s="135">
        <v>846.06</v>
      </c>
      <c r="M73" s="135">
        <v>846.06</v>
      </c>
      <c r="N73" s="135">
        <v>846.06</v>
      </c>
      <c r="O73" s="135">
        <v>846.06</v>
      </c>
      <c r="P73" s="135">
        <v>846.06</v>
      </c>
      <c r="Q73" s="135">
        <v>846.06</v>
      </c>
      <c r="R73" s="135">
        <v>846.06</v>
      </c>
      <c r="S73" s="135">
        <v>846.06</v>
      </c>
      <c r="T73" s="135">
        <v>846.06</v>
      </c>
      <c r="U73" s="135">
        <v>846.06</v>
      </c>
      <c r="V73" s="135">
        <v>846.06</v>
      </c>
      <c r="W73" s="135">
        <v>846.06</v>
      </c>
      <c r="X73" s="135">
        <v>846.06</v>
      </c>
      <c r="Y73" s="135">
        <v>846.06</v>
      </c>
      <c r="Z73" s="135">
        <v>846.06</v>
      </c>
      <c r="AA73" s="135">
        <v>846.06</v>
      </c>
      <c r="AB73" s="135">
        <v>846.06</v>
      </c>
      <c r="AC73" s="135">
        <v>846.06</v>
      </c>
      <c r="AD73" s="135">
        <v>846.06</v>
      </c>
      <c r="AE73" s="135">
        <v>846.06</v>
      </c>
      <c r="AF73" s="135">
        <v>846.06</v>
      </c>
      <c r="AG73" s="135">
        <v>846</v>
      </c>
      <c r="AH73" s="135">
        <v>846</v>
      </c>
      <c r="AI73" s="135">
        <v>846.06</v>
      </c>
      <c r="AJ73" s="136">
        <v>846.06</v>
      </c>
      <c r="AK73" s="136">
        <v>846</v>
      </c>
      <c r="AL73" s="136">
        <v>846</v>
      </c>
      <c r="AM73" s="136">
        <v>846.06</v>
      </c>
      <c r="AN73" s="136">
        <v>846</v>
      </c>
      <c r="AO73" s="136">
        <v>846.06</v>
      </c>
      <c r="AP73" s="136">
        <v>846.06</v>
      </c>
      <c r="AQ73" s="136">
        <v>846.06</v>
      </c>
      <c r="AR73" s="136">
        <v>846.06</v>
      </c>
      <c r="AS73" s="136">
        <v>846.06</v>
      </c>
      <c r="AT73" s="136">
        <v>846.06</v>
      </c>
      <c r="AU73" s="136">
        <v>846.06</v>
      </c>
      <c r="AV73" s="136">
        <v>846.06</v>
      </c>
      <c r="AW73" s="136">
        <v>846.06</v>
      </c>
      <c r="AX73" s="136">
        <v>846.06</v>
      </c>
      <c r="AY73" s="136">
        <v>846.06</v>
      </c>
      <c r="AZ73" s="136">
        <v>846.06</v>
      </c>
      <c r="BA73" s="136">
        <v>846.06</v>
      </c>
      <c r="BB73" s="136">
        <v>846.06</v>
      </c>
      <c r="BC73" s="136">
        <v>846.06</v>
      </c>
      <c r="BD73" s="136">
        <v>846.06</v>
      </c>
      <c r="BE73" s="136">
        <v>846.06</v>
      </c>
      <c r="BF73" s="136">
        <v>846.06</v>
      </c>
      <c r="BG73" s="137">
        <v>846.06</v>
      </c>
      <c r="BH73" s="137">
        <v>846.06</v>
      </c>
      <c r="BI73" s="137">
        <v>846.06</v>
      </c>
      <c r="BJ73" s="137">
        <v>846.06</v>
      </c>
      <c r="BK73" s="137">
        <v>846.06</v>
      </c>
      <c r="BL73" s="137">
        <v>846.06</v>
      </c>
      <c r="BM73" s="137">
        <v>846.06</v>
      </c>
      <c r="BN73" s="137">
        <v>846.06</v>
      </c>
      <c r="BO73" s="137">
        <v>846.06</v>
      </c>
      <c r="BP73" s="137">
        <v>846.06</v>
      </c>
      <c r="BQ73" s="137">
        <v>846.06</v>
      </c>
      <c r="BR73" s="137">
        <v>846.06</v>
      </c>
      <c r="BS73" s="137">
        <v>846.06</v>
      </c>
      <c r="BT73" s="137">
        <v>846.06</v>
      </c>
    </row>
    <row r="74" spans="1:72" ht="15" hidden="1" customHeight="1" outlineLevel="1" x14ac:dyDescent="0.3">
      <c r="A74" t="s">
        <v>284</v>
      </c>
      <c r="B74" s="134" t="s">
        <v>241</v>
      </c>
      <c r="C74" s="135">
        <v>0</v>
      </c>
      <c r="D74" s="135">
        <v>3850</v>
      </c>
      <c r="E74" s="135">
        <v>3850</v>
      </c>
      <c r="F74" s="135">
        <v>3850</v>
      </c>
      <c r="G74" s="135">
        <v>3850</v>
      </c>
      <c r="H74" s="135">
        <v>3850</v>
      </c>
      <c r="I74" s="135">
        <v>3850</v>
      </c>
      <c r="J74" s="135">
        <v>3850</v>
      </c>
      <c r="K74" s="135">
        <v>3850</v>
      </c>
      <c r="L74" s="135">
        <v>3850</v>
      </c>
      <c r="M74" s="135">
        <v>3850</v>
      </c>
      <c r="N74" s="135">
        <v>3850</v>
      </c>
      <c r="O74" s="135">
        <v>3850</v>
      </c>
      <c r="P74" s="135">
        <v>3850</v>
      </c>
      <c r="Q74" s="135">
        <v>3850</v>
      </c>
      <c r="R74" s="135">
        <v>3850</v>
      </c>
      <c r="S74" s="135">
        <v>3850</v>
      </c>
      <c r="T74" s="135">
        <v>3850</v>
      </c>
      <c r="U74" s="135">
        <v>3850</v>
      </c>
      <c r="V74" s="135">
        <v>3850</v>
      </c>
      <c r="W74" s="135">
        <v>3850</v>
      </c>
      <c r="X74" s="135">
        <v>3850</v>
      </c>
      <c r="Y74" s="135">
        <v>3850</v>
      </c>
      <c r="Z74" s="135">
        <v>3850</v>
      </c>
      <c r="AA74" s="135">
        <v>3850</v>
      </c>
      <c r="AB74" s="135">
        <v>3850</v>
      </c>
      <c r="AC74" s="135">
        <v>3850</v>
      </c>
      <c r="AD74" s="135">
        <v>3850</v>
      </c>
      <c r="AE74" s="135">
        <v>3850</v>
      </c>
      <c r="AF74" s="135">
        <v>3850</v>
      </c>
      <c r="AG74" s="135">
        <v>3850</v>
      </c>
      <c r="AH74" s="135">
        <v>3850</v>
      </c>
      <c r="AI74" s="135">
        <v>3850</v>
      </c>
      <c r="AJ74" s="136">
        <v>3850</v>
      </c>
      <c r="AK74" s="136">
        <v>3850</v>
      </c>
      <c r="AL74" s="136">
        <v>3850</v>
      </c>
      <c r="AM74" s="136">
        <v>3850</v>
      </c>
      <c r="AN74" s="136">
        <v>3850</v>
      </c>
      <c r="AO74" s="136">
        <v>3850</v>
      </c>
      <c r="AP74" s="136">
        <v>3850</v>
      </c>
      <c r="AQ74" s="136">
        <v>3850</v>
      </c>
      <c r="AR74" s="136">
        <v>3850</v>
      </c>
      <c r="AS74" s="136">
        <v>3850</v>
      </c>
      <c r="AT74" s="136">
        <v>3850</v>
      </c>
      <c r="AU74" s="136">
        <v>3850</v>
      </c>
      <c r="AV74" s="136">
        <v>3850</v>
      </c>
      <c r="AW74" s="136">
        <v>3850</v>
      </c>
      <c r="AX74" s="136">
        <v>3850</v>
      </c>
      <c r="AY74" s="136">
        <v>3850</v>
      </c>
      <c r="AZ74" s="136">
        <v>3850</v>
      </c>
      <c r="BA74" s="136">
        <v>3850</v>
      </c>
      <c r="BB74" s="136">
        <v>3850</v>
      </c>
      <c r="BC74" s="136">
        <v>3850</v>
      </c>
      <c r="BD74" s="136">
        <v>3850</v>
      </c>
      <c r="BE74" s="136">
        <v>3850</v>
      </c>
      <c r="BF74" s="136">
        <v>3850</v>
      </c>
      <c r="BG74" s="137">
        <v>3850</v>
      </c>
      <c r="BH74" s="137">
        <v>3850</v>
      </c>
      <c r="BI74" s="137">
        <v>3850</v>
      </c>
      <c r="BJ74" s="137">
        <v>3850</v>
      </c>
      <c r="BK74" s="137">
        <v>3850</v>
      </c>
      <c r="BL74" s="137">
        <v>3850</v>
      </c>
      <c r="BM74" s="137">
        <v>3850</v>
      </c>
      <c r="BN74" s="137">
        <v>0</v>
      </c>
      <c r="BO74" s="137">
        <v>0</v>
      </c>
      <c r="BP74" s="137">
        <v>0</v>
      </c>
      <c r="BQ74" s="137">
        <v>0</v>
      </c>
      <c r="BR74" s="137">
        <v>0</v>
      </c>
      <c r="BS74" s="137">
        <v>0</v>
      </c>
      <c r="BT74" s="137">
        <v>0</v>
      </c>
    </row>
    <row r="75" spans="1:72" ht="15" hidden="1" customHeight="1" outlineLevel="1" x14ac:dyDescent="0.3">
      <c r="A75" t="s">
        <v>73</v>
      </c>
      <c r="B75" s="134" t="s">
        <v>243</v>
      </c>
      <c r="C75" s="135">
        <v>2844</v>
      </c>
      <c r="D75" s="135">
        <v>2844</v>
      </c>
      <c r="E75" s="135">
        <v>2844</v>
      </c>
      <c r="F75" s="135">
        <v>2844</v>
      </c>
      <c r="G75" s="135">
        <v>2844</v>
      </c>
      <c r="H75" s="135">
        <v>2844</v>
      </c>
      <c r="I75" s="135">
        <v>2844</v>
      </c>
      <c r="J75" s="135">
        <v>2844</v>
      </c>
      <c r="K75" s="135">
        <v>2844</v>
      </c>
      <c r="L75" s="135">
        <v>2844</v>
      </c>
      <c r="M75" s="135">
        <v>2844</v>
      </c>
      <c r="N75" s="135">
        <v>2844</v>
      </c>
      <c r="O75" s="135">
        <v>2844</v>
      </c>
      <c r="P75" s="135">
        <v>2844</v>
      </c>
      <c r="Q75" s="135">
        <v>2844</v>
      </c>
      <c r="R75" s="135">
        <v>2844</v>
      </c>
      <c r="S75" s="135">
        <v>2844</v>
      </c>
      <c r="T75" s="135">
        <v>2844</v>
      </c>
      <c r="U75" s="135">
        <v>2844</v>
      </c>
      <c r="V75" s="135">
        <v>2844</v>
      </c>
      <c r="W75" s="135">
        <v>2844</v>
      </c>
      <c r="X75" s="135">
        <v>2844.05</v>
      </c>
      <c r="Y75" s="135">
        <v>2844.05</v>
      </c>
      <c r="Z75" s="135">
        <v>2844.05</v>
      </c>
      <c r="AA75" s="135">
        <v>2844.05</v>
      </c>
      <c r="AB75" s="135">
        <v>2844.05</v>
      </c>
      <c r="AC75" s="135">
        <v>2844.05</v>
      </c>
      <c r="AD75" s="135">
        <v>2844</v>
      </c>
      <c r="AE75" s="135">
        <v>2844</v>
      </c>
      <c r="AF75" s="136">
        <v>0</v>
      </c>
      <c r="AG75" s="136">
        <v>0</v>
      </c>
      <c r="AH75" s="136">
        <v>0</v>
      </c>
      <c r="AI75" s="136">
        <v>0</v>
      </c>
      <c r="AJ75" s="136">
        <v>0</v>
      </c>
      <c r="AK75" s="136">
        <v>0</v>
      </c>
      <c r="AL75" s="136">
        <v>0</v>
      </c>
      <c r="AM75" s="136">
        <v>0</v>
      </c>
      <c r="AN75" s="136">
        <v>0</v>
      </c>
      <c r="AO75" s="136">
        <v>0</v>
      </c>
      <c r="AP75" s="136">
        <v>0</v>
      </c>
      <c r="AQ75" s="136">
        <v>0</v>
      </c>
      <c r="AR75" s="136">
        <v>0</v>
      </c>
      <c r="AS75" s="136">
        <v>0</v>
      </c>
      <c r="AT75" s="136">
        <v>0</v>
      </c>
      <c r="AU75" s="136">
        <v>0</v>
      </c>
      <c r="AV75" s="136">
        <v>0</v>
      </c>
      <c r="AW75" s="136">
        <v>0</v>
      </c>
      <c r="AX75" s="136">
        <v>0</v>
      </c>
      <c r="AY75" s="136">
        <v>0</v>
      </c>
      <c r="AZ75" s="136">
        <v>0</v>
      </c>
      <c r="BA75" s="136">
        <v>0</v>
      </c>
      <c r="BB75" s="136">
        <v>0</v>
      </c>
      <c r="BC75" s="136">
        <v>0</v>
      </c>
      <c r="BD75" s="136">
        <v>0</v>
      </c>
      <c r="BE75" s="136">
        <v>0</v>
      </c>
      <c r="BF75" s="136">
        <v>0</v>
      </c>
      <c r="BG75" s="137">
        <v>0</v>
      </c>
      <c r="BH75" s="137">
        <v>0</v>
      </c>
      <c r="BI75" s="137">
        <v>0</v>
      </c>
      <c r="BJ75" s="137">
        <v>0</v>
      </c>
      <c r="BK75" s="137">
        <v>0</v>
      </c>
      <c r="BL75" s="137">
        <v>0</v>
      </c>
      <c r="BM75" s="137">
        <v>0</v>
      </c>
      <c r="BN75" s="137">
        <v>0</v>
      </c>
      <c r="BO75" s="137">
        <v>0</v>
      </c>
      <c r="BP75" s="137">
        <v>0</v>
      </c>
      <c r="BQ75" s="137">
        <v>0</v>
      </c>
      <c r="BR75" s="137">
        <v>0</v>
      </c>
      <c r="BS75" s="137">
        <v>0</v>
      </c>
      <c r="BT75" s="137">
        <v>0</v>
      </c>
    </row>
    <row r="76" spans="1:72" ht="15" hidden="1" customHeight="1" outlineLevel="1" x14ac:dyDescent="0.3">
      <c r="A76" t="s">
        <v>285</v>
      </c>
      <c r="B76" s="134" t="s">
        <v>245</v>
      </c>
      <c r="C76" s="135" t="s">
        <v>73</v>
      </c>
      <c r="D76" s="135" t="s">
        <v>73</v>
      </c>
      <c r="E76" s="135" t="s">
        <v>73</v>
      </c>
      <c r="F76" s="135" t="s">
        <v>73</v>
      </c>
      <c r="G76" s="135" t="s">
        <v>73</v>
      </c>
      <c r="H76" s="135" t="s">
        <v>73</v>
      </c>
      <c r="I76" s="135" t="s">
        <v>73</v>
      </c>
      <c r="J76" s="135" t="s">
        <v>73</v>
      </c>
      <c r="K76" s="135" t="s">
        <v>73</v>
      </c>
      <c r="L76" s="135" t="s">
        <v>73</v>
      </c>
      <c r="M76" s="135" t="s">
        <v>73</v>
      </c>
      <c r="N76" s="135" t="s">
        <v>73</v>
      </c>
      <c r="O76" s="135" t="s">
        <v>73</v>
      </c>
      <c r="P76" s="135" t="s">
        <v>73</v>
      </c>
      <c r="Q76" s="135" t="s">
        <v>73</v>
      </c>
      <c r="R76" s="135" t="s">
        <v>73</v>
      </c>
      <c r="S76" s="135" t="s">
        <v>73</v>
      </c>
      <c r="T76" s="135" t="s">
        <v>73</v>
      </c>
      <c r="U76" s="135" t="s">
        <v>73</v>
      </c>
      <c r="V76" s="135" t="s">
        <v>73</v>
      </c>
      <c r="W76" s="135" t="s">
        <v>73</v>
      </c>
      <c r="X76" s="135" t="s">
        <v>73</v>
      </c>
      <c r="Y76" s="135" t="s">
        <v>73</v>
      </c>
      <c r="Z76" s="135" t="s">
        <v>73</v>
      </c>
      <c r="AA76" s="135" t="s">
        <v>73</v>
      </c>
      <c r="AB76" s="135" t="s">
        <v>73</v>
      </c>
      <c r="AC76" s="135" t="s">
        <v>73</v>
      </c>
      <c r="AD76" s="135" t="s">
        <v>73</v>
      </c>
      <c r="AE76" s="135" t="s">
        <v>73</v>
      </c>
      <c r="AF76" s="135" t="s">
        <v>73</v>
      </c>
      <c r="AG76" s="135" t="s">
        <v>73</v>
      </c>
      <c r="AH76" s="135" t="s">
        <v>73</v>
      </c>
      <c r="AI76" s="135" t="s">
        <v>73</v>
      </c>
      <c r="AJ76" s="135" t="s">
        <v>73</v>
      </c>
      <c r="AK76" s="135" t="s">
        <v>73</v>
      </c>
      <c r="AL76" s="139" t="s">
        <v>73</v>
      </c>
      <c r="AM76" s="139" t="s">
        <v>73</v>
      </c>
      <c r="AN76" s="139" t="s">
        <v>73</v>
      </c>
      <c r="AO76" s="139" t="s">
        <v>73</v>
      </c>
      <c r="AP76" s="139" t="s">
        <v>73</v>
      </c>
      <c r="AQ76" s="139" t="s">
        <v>73</v>
      </c>
      <c r="AR76" s="139" t="s">
        <v>73</v>
      </c>
      <c r="AS76" s="139" t="s">
        <v>73</v>
      </c>
      <c r="AT76" s="139" t="s">
        <v>73</v>
      </c>
      <c r="AU76" s="139">
        <v>0</v>
      </c>
      <c r="AV76" s="136">
        <v>12162</v>
      </c>
      <c r="AW76" s="136">
        <v>12162</v>
      </c>
      <c r="AX76" s="136">
        <v>12162</v>
      </c>
      <c r="AY76" s="136">
        <v>12162</v>
      </c>
      <c r="AZ76" s="136">
        <v>12162</v>
      </c>
      <c r="BA76" s="136">
        <v>12162</v>
      </c>
      <c r="BB76" s="136">
        <v>12162</v>
      </c>
      <c r="BC76" s="136">
        <v>12162</v>
      </c>
      <c r="BD76" s="136">
        <v>12162</v>
      </c>
      <c r="BE76" s="136">
        <v>12162</v>
      </c>
      <c r="BF76" s="136">
        <v>12162</v>
      </c>
      <c r="BG76" s="137">
        <v>12162</v>
      </c>
      <c r="BH76" s="137">
        <v>12162.05</v>
      </c>
      <c r="BI76" s="137">
        <v>12162.05</v>
      </c>
      <c r="BJ76" s="137">
        <v>12162.05</v>
      </c>
      <c r="BK76" s="137">
        <v>12162.05</v>
      </c>
      <c r="BL76" s="137">
        <v>12162.05</v>
      </c>
      <c r="BM76" s="137">
        <v>12162.05</v>
      </c>
      <c r="BN76" s="137">
        <v>12162.05</v>
      </c>
      <c r="BO76" s="137">
        <v>12162.05</v>
      </c>
      <c r="BP76" s="137">
        <v>12162.05</v>
      </c>
      <c r="BQ76" s="137">
        <v>12162.050000000003</v>
      </c>
      <c r="BR76" s="137">
        <v>12162.050000000003</v>
      </c>
      <c r="BS76" s="137">
        <v>12162.050000000003</v>
      </c>
      <c r="BT76" s="137">
        <v>12162.050000000003</v>
      </c>
    </row>
    <row r="77" spans="1:72" s="131" customFormat="1" ht="15" customHeight="1" collapsed="1" x14ac:dyDescent="0.3">
      <c r="B77" s="140" t="s">
        <v>246</v>
      </c>
      <c r="C77" s="132">
        <f t="shared" ref="C77:BN77" si="23">SUM(C78:C85)</f>
        <v>64416</v>
      </c>
      <c r="D77" s="132">
        <f t="shared" si="23"/>
        <v>64416</v>
      </c>
      <c r="E77" s="132">
        <f t="shared" si="23"/>
        <v>64416</v>
      </c>
      <c r="F77" s="132">
        <f t="shared" si="23"/>
        <v>64416</v>
      </c>
      <c r="G77" s="132">
        <f t="shared" si="23"/>
        <v>64416</v>
      </c>
      <c r="H77" s="132">
        <f t="shared" si="23"/>
        <v>64416</v>
      </c>
      <c r="I77" s="132">
        <f t="shared" si="23"/>
        <v>64713</v>
      </c>
      <c r="J77" s="132">
        <f t="shared" si="23"/>
        <v>68400</v>
      </c>
      <c r="K77" s="132">
        <f t="shared" si="23"/>
        <v>68400</v>
      </c>
      <c r="L77" s="132">
        <f t="shared" si="23"/>
        <v>68400</v>
      </c>
      <c r="M77" s="132">
        <f t="shared" si="23"/>
        <v>69247</v>
      </c>
      <c r="N77" s="132">
        <f t="shared" si="23"/>
        <v>69247</v>
      </c>
      <c r="O77" s="132">
        <f t="shared" si="23"/>
        <v>69247</v>
      </c>
      <c r="P77" s="132">
        <f t="shared" si="23"/>
        <v>69247</v>
      </c>
      <c r="Q77" s="132">
        <f t="shared" si="23"/>
        <v>69247</v>
      </c>
      <c r="R77" s="132">
        <f t="shared" si="23"/>
        <v>69247</v>
      </c>
      <c r="S77" s="132">
        <f t="shared" si="23"/>
        <v>69247</v>
      </c>
      <c r="T77" s="132">
        <f t="shared" si="23"/>
        <v>134509</v>
      </c>
      <c r="U77" s="132">
        <f t="shared" si="23"/>
        <v>134509</v>
      </c>
      <c r="V77" s="132">
        <f t="shared" si="23"/>
        <v>149043</v>
      </c>
      <c r="W77" s="132">
        <f t="shared" si="23"/>
        <v>149043</v>
      </c>
      <c r="X77" s="132">
        <f t="shared" si="23"/>
        <v>144531</v>
      </c>
      <c r="Y77" s="132">
        <f t="shared" si="23"/>
        <v>144530.8303</v>
      </c>
      <c r="Z77" s="132">
        <f t="shared" si="23"/>
        <v>223865.8303</v>
      </c>
      <c r="AA77" s="132">
        <f t="shared" si="23"/>
        <v>223865.8303</v>
      </c>
      <c r="AB77" s="132">
        <f t="shared" si="23"/>
        <v>223865.8303</v>
      </c>
      <c r="AC77" s="132">
        <f t="shared" si="23"/>
        <v>224665.13484346194</v>
      </c>
      <c r="AD77" s="132">
        <f t="shared" si="23"/>
        <v>224664.24381208274</v>
      </c>
      <c r="AE77" s="132">
        <f t="shared" si="23"/>
        <v>224664.24381208274</v>
      </c>
      <c r="AF77" s="132">
        <f t="shared" si="23"/>
        <v>242763.72575104475</v>
      </c>
      <c r="AG77" s="132">
        <f t="shared" si="23"/>
        <v>242763.72575104475</v>
      </c>
      <c r="AH77" s="132">
        <f t="shared" si="23"/>
        <v>241910.72575104478</v>
      </c>
      <c r="AI77" s="132">
        <f t="shared" si="23"/>
        <v>241851.59534031298</v>
      </c>
      <c r="AJ77" s="132">
        <f t="shared" si="23"/>
        <v>268642.85063107818</v>
      </c>
      <c r="AK77" s="132">
        <f t="shared" si="23"/>
        <v>268536.13427490514</v>
      </c>
      <c r="AL77" s="132">
        <f t="shared" si="23"/>
        <v>203025.74907705461</v>
      </c>
      <c r="AM77" s="132">
        <f t="shared" si="23"/>
        <v>202560.07980271135</v>
      </c>
      <c r="AN77" s="132">
        <f t="shared" si="23"/>
        <v>202647.52</v>
      </c>
      <c r="AO77" s="132">
        <f t="shared" si="23"/>
        <v>203386.55000000002</v>
      </c>
      <c r="AP77" s="132">
        <f t="shared" si="23"/>
        <v>204937.75187099999</v>
      </c>
      <c r="AQ77" s="132">
        <f t="shared" si="23"/>
        <v>203576.48907099996</v>
      </c>
      <c r="AR77" s="132">
        <f t="shared" si="23"/>
        <v>203835.94889199996</v>
      </c>
      <c r="AS77" s="132">
        <f t="shared" si="23"/>
        <v>203863.76950699999</v>
      </c>
      <c r="AT77" s="132">
        <f t="shared" si="23"/>
        <v>203877.07950699999</v>
      </c>
      <c r="AU77" s="132">
        <f t="shared" si="23"/>
        <v>260951.64</v>
      </c>
      <c r="AV77" s="132">
        <f t="shared" si="23"/>
        <v>203141.73053333332</v>
      </c>
      <c r="AW77" s="132">
        <f t="shared" si="23"/>
        <v>240424.45719999998</v>
      </c>
      <c r="AX77" s="132">
        <f t="shared" si="23"/>
        <v>241850.03999999998</v>
      </c>
      <c r="AY77" s="132">
        <f t="shared" si="23"/>
        <v>241892.15197433333</v>
      </c>
      <c r="AZ77" s="132">
        <f t="shared" si="23"/>
        <v>241907.448641</v>
      </c>
      <c r="BA77" s="132">
        <f t="shared" si="23"/>
        <v>241938.15197433333</v>
      </c>
      <c r="BB77" s="132">
        <f t="shared" si="23"/>
        <v>242184.34340266671</v>
      </c>
      <c r="BC77" s="132">
        <f t="shared" si="23"/>
        <v>241999.16673600001</v>
      </c>
      <c r="BD77" s="132">
        <f t="shared" si="23"/>
        <v>240663.913936</v>
      </c>
      <c r="BE77" s="132">
        <f t="shared" si="23"/>
        <v>240130.03393600002</v>
      </c>
      <c r="BF77" s="132">
        <f t="shared" si="23"/>
        <v>203098.37470866667</v>
      </c>
      <c r="BG77" s="132">
        <f t="shared" si="23"/>
        <v>203136.83132166663</v>
      </c>
      <c r="BH77" s="132">
        <f t="shared" si="23"/>
        <v>203142.30132166666</v>
      </c>
      <c r="BI77" s="132">
        <f t="shared" si="23"/>
        <v>203173.75253199998</v>
      </c>
      <c r="BJ77" s="132">
        <f t="shared" si="23"/>
        <v>176329.62119166669</v>
      </c>
      <c r="BK77" s="132">
        <f t="shared" si="23"/>
        <v>176426.227766</v>
      </c>
      <c r="BL77" s="132">
        <f t="shared" si="23"/>
        <v>176578.24286599999</v>
      </c>
      <c r="BM77" s="132">
        <f t="shared" si="23"/>
        <v>176702.99523399997</v>
      </c>
      <c r="BN77" s="132">
        <f t="shared" si="23"/>
        <v>176706.54063799998</v>
      </c>
      <c r="BO77" s="132">
        <f t="shared" ref="BO77" si="24">SUM(BO78:BO85)</f>
        <v>167906.32030199998</v>
      </c>
      <c r="BP77" s="132">
        <v>102124.19807800002</v>
      </c>
      <c r="BQ77" s="132">
        <v>102356.37644173493</v>
      </c>
      <c r="BR77" s="132">
        <v>67118.260041666683</v>
      </c>
      <c r="BS77" s="132">
        <v>67098.849589000005</v>
      </c>
      <c r="BT77" s="132">
        <f>SUM(BT78:BT85)</f>
        <v>67096.576045000023</v>
      </c>
    </row>
    <row r="78" spans="1:72" ht="15" hidden="1" customHeight="1" outlineLevel="1" x14ac:dyDescent="0.3">
      <c r="A78" t="s">
        <v>286</v>
      </c>
      <c r="B78" s="134" t="s">
        <v>248</v>
      </c>
      <c r="C78" s="135">
        <v>4443</v>
      </c>
      <c r="D78" s="135">
        <v>4443</v>
      </c>
      <c r="E78" s="135">
        <v>4443</v>
      </c>
      <c r="F78" s="135">
        <v>4443</v>
      </c>
      <c r="G78" s="135">
        <v>4443</v>
      </c>
      <c r="H78" s="135">
        <v>4443</v>
      </c>
      <c r="I78" s="135">
        <v>4759</v>
      </c>
      <c r="J78" s="135">
        <v>8446</v>
      </c>
      <c r="K78" s="135">
        <v>8446</v>
      </c>
      <c r="L78" s="135">
        <v>8446</v>
      </c>
      <c r="M78" s="135">
        <v>9293</v>
      </c>
      <c r="N78" s="135">
        <v>9293</v>
      </c>
      <c r="O78" s="135">
        <v>9293</v>
      </c>
      <c r="P78" s="135">
        <v>9293</v>
      </c>
      <c r="Q78" s="135">
        <v>9293</v>
      </c>
      <c r="R78" s="135">
        <v>9293</v>
      </c>
      <c r="S78" s="135">
        <v>9293</v>
      </c>
      <c r="T78" s="135">
        <v>9293</v>
      </c>
      <c r="U78" s="135">
        <v>9293</v>
      </c>
      <c r="V78" s="135">
        <v>9293</v>
      </c>
      <c r="W78" s="135">
        <v>9293</v>
      </c>
      <c r="X78" s="135">
        <v>9293</v>
      </c>
      <c r="Y78" s="135">
        <v>9292.8302999999996</v>
      </c>
      <c r="Z78" s="135">
        <v>9292.8302999999996</v>
      </c>
      <c r="AA78" s="135">
        <v>9292.8302999999996</v>
      </c>
      <c r="AB78" s="135">
        <v>9292.8302999999996</v>
      </c>
      <c r="AC78" s="135">
        <v>9294.7257000000009</v>
      </c>
      <c r="AD78" s="135">
        <v>9295</v>
      </c>
      <c r="AE78" s="135">
        <v>9295</v>
      </c>
      <c r="AF78" s="135">
        <v>9294.7699260000009</v>
      </c>
      <c r="AG78" s="135">
        <v>9294.7699260000009</v>
      </c>
      <c r="AH78" s="135">
        <v>9294.7699260000009</v>
      </c>
      <c r="AI78" s="135">
        <v>9294.7193820000011</v>
      </c>
      <c r="AJ78" s="135">
        <v>9383.1777000000002</v>
      </c>
      <c r="AK78" s="135">
        <v>9383</v>
      </c>
      <c r="AL78" s="135">
        <v>9383</v>
      </c>
      <c r="AM78" s="135">
        <v>8915.2318709999981</v>
      </c>
      <c r="AN78" s="136">
        <v>8915</v>
      </c>
      <c r="AO78" s="136">
        <v>8915</v>
      </c>
      <c r="AP78" s="136">
        <v>8915.2318709999981</v>
      </c>
      <c r="AQ78" s="136">
        <v>8915.231871</v>
      </c>
      <c r="AR78" s="136">
        <v>9174.9616919999989</v>
      </c>
      <c r="AS78" s="136">
        <v>9086.4623069999998</v>
      </c>
      <c r="AT78" s="136">
        <v>9086.4623069999998</v>
      </c>
      <c r="AU78" s="137">
        <v>28764</v>
      </c>
      <c r="AV78" s="136">
        <v>9150</v>
      </c>
      <c r="AW78" s="137">
        <v>9413</v>
      </c>
      <c r="AX78" s="137">
        <v>9413</v>
      </c>
      <c r="AY78" s="136">
        <v>9414.4486410000009</v>
      </c>
      <c r="AZ78" s="136">
        <v>9414.4486410000009</v>
      </c>
      <c r="BA78" s="136">
        <v>9414.4486410000009</v>
      </c>
      <c r="BB78" s="136">
        <v>9413.5167359999996</v>
      </c>
      <c r="BC78" s="136">
        <v>9413.5167360000014</v>
      </c>
      <c r="BD78" s="136">
        <v>9413.5167360000014</v>
      </c>
      <c r="BE78" s="136">
        <v>9413.5167360000014</v>
      </c>
      <c r="BF78" s="136">
        <v>9371.3988420000005</v>
      </c>
      <c r="BG78" s="137">
        <v>9409.8554550000008</v>
      </c>
      <c r="BH78" s="137">
        <v>9409.8554550000008</v>
      </c>
      <c r="BI78" s="137">
        <v>9412.8133320000015</v>
      </c>
      <c r="BJ78" s="137">
        <v>9418.7290859999994</v>
      </c>
      <c r="BK78" s="137">
        <v>9481.9059269999998</v>
      </c>
      <c r="BL78" s="137">
        <v>9481.9059269999998</v>
      </c>
      <c r="BM78" s="137">
        <v>9481.9059269999998</v>
      </c>
      <c r="BN78" s="137">
        <v>9481.9059270000016</v>
      </c>
      <c r="BO78" s="137">
        <v>9481.9059270000016</v>
      </c>
      <c r="BP78" s="137">
        <v>10766.570611000003</v>
      </c>
      <c r="BQ78" s="137">
        <v>10766.570611000005</v>
      </c>
      <c r="BR78" s="137">
        <v>10781.224701666672</v>
      </c>
      <c r="BS78" s="137">
        <v>10761.814249000003</v>
      </c>
      <c r="BT78" s="137">
        <v>10761.814249000003</v>
      </c>
    </row>
    <row r="79" spans="1:72" ht="15" hidden="1" customHeight="1" outlineLevel="1" x14ac:dyDescent="0.3">
      <c r="A79" t="s">
        <v>287</v>
      </c>
      <c r="B79" s="134" t="s">
        <v>250</v>
      </c>
      <c r="C79" s="135">
        <v>59973</v>
      </c>
      <c r="D79" s="135">
        <v>59973</v>
      </c>
      <c r="E79" s="135">
        <v>59973</v>
      </c>
      <c r="F79" s="135">
        <v>59973</v>
      </c>
      <c r="G79" s="135">
        <v>59973</v>
      </c>
      <c r="H79" s="135">
        <v>59973</v>
      </c>
      <c r="I79" s="135">
        <v>59954</v>
      </c>
      <c r="J79" s="135">
        <v>59954</v>
      </c>
      <c r="K79" s="135">
        <v>59954</v>
      </c>
      <c r="L79" s="135">
        <v>59954</v>
      </c>
      <c r="M79" s="135">
        <v>59954</v>
      </c>
      <c r="N79" s="135">
        <v>59954</v>
      </c>
      <c r="O79" s="135">
        <v>59954</v>
      </c>
      <c r="P79" s="135">
        <v>59954</v>
      </c>
      <c r="Q79" s="135">
        <v>59954</v>
      </c>
      <c r="R79" s="135">
        <v>59954</v>
      </c>
      <c r="S79" s="135">
        <v>59954</v>
      </c>
      <c r="T79" s="135">
        <v>59954</v>
      </c>
      <c r="U79" s="135">
        <v>59954</v>
      </c>
      <c r="V79" s="135">
        <v>74488</v>
      </c>
      <c r="W79" s="135">
        <v>74488</v>
      </c>
      <c r="X79" s="135">
        <v>69976</v>
      </c>
      <c r="Y79" s="135">
        <v>69976</v>
      </c>
      <c r="Z79" s="135">
        <v>69976</v>
      </c>
      <c r="AA79" s="135">
        <v>69976</v>
      </c>
      <c r="AB79" s="135">
        <v>69976</v>
      </c>
      <c r="AC79" s="135">
        <v>69518.509143461968</v>
      </c>
      <c r="AD79" s="135">
        <v>69517.993812082728</v>
      </c>
      <c r="AE79" s="135">
        <v>69517.993812082728</v>
      </c>
      <c r="AF79" s="135">
        <v>69650.875825044772</v>
      </c>
      <c r="AG79" s="135">
        <v>69650.875825044772</v>
      </c>
      <c r="AH79" s="135">
        <v>69650.875825044786</v>
      </c>
      <c r="AI79" s="135">
        <v>69653.515958312986</v>
      </c>
      <c r="AJ79" s="135">
        <v>69634.514999185805</v>
      </c>
      <c r="AK79" s="135">
        <v>69618.954567659996</v>
      </c>
      <c r="AL79" s="135">
        <v>69614.069369809484</v>
      </c>
      <c r="AM79" s="135">
        <v>69614.240000000005</v>
      </c>
      <c r="AN79" s="136">
        <v>69509.95</v>
      </c>
      <c r="AO79" s="136">
        <v>69509.95</v>
      </c>
      <c r="AP79" s="136">
        <v>69503.009999999995</v>
      </c>
      <c r="AQ79" s="136">
        <v>69503.009999999995</v>
      </c>
      <c r="AR79" s="136">
        <v>69503.009999999995</v>
      </c>
      <c r="AS79" s="136">
        <v>69503.009999999995</v>
      </c>
      <c r="AT79" s="136">
        <v>69503.009999999995</v>
      </c>
      <c r="AU79" s="137">
        <v>69535</v>
      </c>
      <c r="AV79" s="136">
        <v>69550.039999999994</v>
      </c>
      <c r="AW79" s="137">
        <v>69533</v>
      </c>
      <c r="AX79" s="137">
        <v>69261</v>
      </c>
      <c r="AY79" s="136">
        <v>69260.963333333333</v>
      </c>
      <c r="AZ79" s="137">
        <v>69261</v>
      </c>
      <c r="BA79" s="136">
        <v>69260.963333333333</v>
      </c>
      <c r="BB79" s="136">
        <v>69260.97</v>
      </c>
      <c r="BC79" s="136">
        <v>69261</v>
      </c>
      <c r="BD79" s="136">
        <v>69260.969999999987</v>
      </c>
      <c r="BE79" s="136">
        <v>69260.969999999987</v>
      </c>
      <c r="BF79" s="136">
        <v>69619.66</v>
      </c>
      <c r="BG79" s="137">
        <v>69619.659999999989</v>
      </c>
      <c r="BH79" s="137">
        <v>69619.82666666666</v>
      </c>
      <c r="BI79" s="137">
        <v>69620.159999999989</v>
      </c>
      <c r="BJ79" s="137">
        <v>42753.513038999998</v>
      </c>
      <c r="BK79" s="137">
        <v>42753.513038999998</v>
      </c>
      <c r="BL79" s="137">
        <v>42760.268138999993</v>
      </c>
      <c r="BM79" s="137">
        <v>42885.020506999994</v>
      </c>
      <c r="BN79" s="137">
        <v>42888.565911000005</v>
      </c>
      <c r="BO79" s="137">
        <v>42895.345574999999</v>
      </c>
      <c r="BP79" s="137">
        <v>42294.829467000003</v>
      </c>
      <c r="BQ79" s="137">
        <v>42527.007830734925</v>
      </c>
      <c r="BR79" s="137">
        <v>7274.2373400000006</v>
      </c>
      <c r="BS79" s="137">
        <v>7274.2373399999997</v>
      </c>
      <c r="BT79" s="137">
        <v>7271.963796</v>
      </c>
    </row>
    <row r="80" spans="1:72" ht="15" hidden="1" customHeight="1" outlineLevel="1" x14ac:dyDescent="0.3">
      <c r="A80" t="s">
        <v>73</v>
      </c>
      <c r="B80" s="134" t="s">
        <v>251</v>
      </c>
      <c r="C80" s="135">
        <v>0</v>
      </c>
      <c r="D80" s="135">
        <v>0</v>
      </c>
      <c r="E80" s="135">
        <v>0</v>
      </c>
      <c r="F80" s="135">
        <v>0</v>
      </c>
      <c r="G80" s="135">
        <v>0</v>
      </c>
      <c r="H80" s="135">
        <v>0</v>
      </c>
      <c r="I80" s="135">
        <v>0</v>
      </c>
      <c r="J80" s="135">
        <v>0</v>
      </c>
      <c r="K80" s="135">
        <v>0</v>
      </c>
      <c r="L80" s="135">
        <v>0</v>
      </c>
      <c r="M80" s="135">
        <v>0</v>
      </c>
      <c r="N80" s="135">
        <v>0</v>
      </c>
      <c r="O80" s="135">
        <v>0</v>
      </c>
      <c r="P80" s="135">
        <v>0</v>
      </c>
      <c r="Q80" s="135">
        <v>0</v>
      </c>
      <c r="R80" s="135">
        <v>0</v>
      </c>
      <c r="S80" s="135">
        <v>0</v>
      </c>
      <c r="T80" s="135">
        <v>33982</v>
      </c>
      <c r="U80" s="135">
        <v>33982</v>
      </c>
      <c r="V80" s="135">
        <v>33982</v>
      </c>
      <c r="W80" s="135">
        <v>33982</v>
      </c>
      <c r="X80" s="135">
        <v>33982</v>
      </c>
      <c r="Y80" s="135">
        <v>33982</v>
      </c>
      <c r="Z80" s="135">
        <v>33982</v>
      </c>
      <c r="AA80" s="135">
        <v>33982</v>
      </c>
      <c r="AB80" s="135">
        <v>33982</v>
      </c>
      <c r="AC80" s="135">
        <v>35297.5</v>
      </c>
      <c r="AD80" s="135">
        <v>35297.5</v>
      </c>
      <c r="AE80" s="135">
        <v>35297.5</v>
      </c>
      <c r="AF80" s="135">
        <v>35295.21</v>
      </c>
      <c r="AG80" s="135">
        <v>35295.21</v>
      </c>
      <c r="AH80" s="135">
        <v>35536.400000000001</v>
      </c>
      <c r="AI80" s="135">
        <v>35536.400000000001</v>
      </c>
      <c r="AJ80" s="135">
        <v>35536.400000000001</v>
      </c>
      <c r="AK80" s="135">
        <v>35537.5</v>
      </c>
      <c r="AL80" s="135">
        <v>0</v>
      </c>
      <c r="AM80" s="135">
        <v>0</v>
      </c>
      <c r="AN80" s="136">
        <v>0</v>
      </c>
      <c r="AO80" s="136">
        <v>0</v>
      </c>
      <c r="AP80" s="136">
        <v>0</v>
      </c>
      <c r="AQ80" s="136">
        <v>0</v>
      </c>
      <c r="AR80" s="136">
        <v>0</v>
      </c>
      <c r="AS80" s="136">
        <v>0</v>
      </c>
      <c r="AT80" s="136">
        <v>0</v>
      </c>
      <c r="AU80" s="137">
        <v>36947</v>
      </c>
      <c r="AV80" s="136">
        <v>0</v>
      </c>
      <c r="AW80" s="137">
        <v>37011</v>
      </c>
      <c r="AX80" s="137">
        <v>37351</v>
      </c>
      <c r="AY80" s="137">
        <v>37391</v>
      </c>
      <c r="AZ80" s="137">
        <v>37407</v>
      </c>
      <c r="BA80" s="137">
        <v>37437</v>
      </c>
      <c r="BB80" s="137">
        <v>37454</v>
      </c>
      <c r="BC80" s="137">
        <v>37462.51</v>
      </c>
      <c r="BD80" s="137">
        <v>37462.51</v>
      </c>
      <c r="BE80" s="137">
        <v>37462.510000000009</v>
      </c>
      <c r="BF80" s="137">
        <v>0</v>
      </c>
      <c r="BG80" s="137">
        <v>0</v>
      </c>
      <c r="BH80" s="137">
        <v>0</v>
      </c>
      <c r="BI80" s="137">
        <v>0</v>
      </c>
      <c r="BJ80" s="137">
        <v>0</v>
      </c>
      <c r="BK80" s="137">
        <v>0</v>
      </c>
      <c r="BL80" s="137">
        <v>0</v>
      </c>
      <c r="BM80" s="137">
        <v>0</v>
      </c>
      <c r="BN80" s="137">
        <v>0</v>
      </c>
      <c r="BO80" s="137">
        <v>0</v>
      </c>
      <c r="BP80" s="137">
        <v>0</v>
      </c>
      <c r="BQ80" s="137">
        <v>0</v>
      </c>
      <c r="BR80" s="137">
        <v>0</v>
      </c>
      <c r="BS80" s="137">
        <v>0</v>
      </c>
      <c r="BT80" s="137">
        <v>0</v>
      </c>
    </row>
    <row r="81" spans="1:72" ht="15" hidden="1" customHeight="1" outlineLevel="1" x14ac:dyDescent="0.3">
      <c r="A81" t="s">
        <v>288</v>
      </c>
      <c r="B81" s="134" t="s">
        <v>253</v>
      </c>
      <c r="C81" s="135">
        <v>0</v>
      </c>
      <c r="D81" s="135">
        <v>0</v>
      </c>
      <c r="E81" s="135">
        <v>0</v>
      </c>
      <c r="F81" s="135">
        <v>0</v>
      </c>
      <c r="G81" s="135">
        <v>0</v>
      </c>
      <c r="H81" s="135">
        <v>0</v>
      </c>
      <c r="I81" s="135">
        <v>0</v>
      </c>
      <c r="J81" s="135">
        <v>0</v>
      </c>
      <c r="K81" s="135">
        <v>0</v>
      </c>
      <c r="L81" s="135">
        <v>0</v>
      </c>
      <c r="M81" s="135">
        <v>0</v>
      </c>
      <c r="N81" s="135">
        <v>0</v>
      </c>
      <c r="O81" s="135">
        <v>0</v>
      </c>
      <c r="P81" s="135">
        <v>0</v>
      </c>
      <c r="Q81" s="135">
        <v>0</v>
      </c>
      <c r="R81" s="135">
        <v>0</v>
      </c>
      <c r="S81" s="135">
        <v>0</v>
      </c>
      <c r="T81" s="135">
        <v>0</v>
      </c>
      <c r="U81" s="135">
        <v>0</v>
      </c>
      <c r="V81" s="135">
        <v>0</v>
      </c>
      <c r="W81" s="135">
        <v>0</v>
      </c>
      <c r="X81" s="135">
        <v>0</v>
      </c>
      <c r="Y81" s="135">
        <v>0</v>
      </c>
      <c r="Z81" s="135">
        <v>43275</v>
      </c>
      <c r="AA81" s="135">
        <v>43275</v>
      </c>
      <c r="AB81" s="135">
        <v>43275</v>
      </c>
      <c r="AC81" s="135">
        <v>44114</v>
      </c>
      <c r="AD81" s="135">
        <v>44113.75</v>
      </c>
      <c r="AE81" s="135">
        <v>44113.75</v>
      </c>
      <c r="AF81" s="135">
        <v>44114.459999999985</v>
      </c>
      <c r="AG81" s="135">
        <v>44114.459999999985</v>
      </c>
      <c r="AH81" s="135">
        <v>44114.459999999985</v>
      </c>
      <c r="AI81" s="135">
        <v>44113.64</v>
      </c>
      <c r="AJ81" s="135">
        <v>44156</v>
      </c>
      <c r="AK81" s="135">
        <v>44113.75</v>
      </c>
      <c r="AL81" s="136">
        <v>44113.75</v>
      </c>
      <c r="AM81" s="136">
        <v>44114.23</v>
      </c>
      <c r="AN81" s="136">
        <v>44135.44</v>
      </c>
      <c r="AO81" s="136">
        <v>44135.44</v>
      </c>
      <c r="AP81" s="136">
        <v>44135.44</v>
      </c>
      <c r="AQ81" s="136">
        <v>44122.13</v>
      </c>
      <c r="AR81" s="136">
        <v>44122.130000000005</v>
      </c>
      <c r="AS81" s="136">
        <v>44122.130000000005</v>
      </c>
      <c r="AT81" s="136">
        <v>44135.44</v>
      </c>
      <c r="AU81" s="137">
        <v>44119</v>
      </c>
      <c r="AV81" s="136">
        <v>44119.233333333337</v>
      </c>
      <c r="AW81" s="137">
        <v>44113</v>
      </c>
      <c r="AX81" s="137">
        <v>44116</v>
      </c>
      <c r="AY81" s="136">
        <v>44116.18</v>
      </c>
      <c r="AZ81" s="137">
        <v>44116</v>
      </c>
      <c r="BA81" s="136">
        <v>44116.18</v>
      </c>
      <c r="BB81" s="136">
        <v>44108.366666666669</v>
      </c>
      <c r="BC81" s="136">
        <v>44035</v>
      </c>
      <c r="BD81" s="136">
        <v>44035.01</v>
      </c>
      <c r="BE81" s="136">
        <v>44035.01</v>
      </c>
      <c r="BF81" s="136">
        <v>44001.53666666666</v>
      </c>
      <c r="BG81" s="137">
        <v>44001.53666666666</v>
      </c>
      <c r="BH81" s="137">
        <v>44035.010000000009</v>
      </c>
      <c r="BI81" s="137">
        <v>44035</v>
      </c>
      <c r="BJ81" s="137">
        <v>44035</v>
      </c>
      <c r="BK81" s="137">
        <v>44035</v>
      </c>
      <c r="BL81" s="137">
        <v>44035</v>
      </c>
      <c r="BM81" s="137">
        <v>44035</v>
      </c>
      <c r="BN81" s="137">
        <v>44035</v>
      </c>
      <c r="BO81" s="137">
        <v>35228</v>
      </c>
      <c r="BP81" s="137">
        <v>35228</v>
      </c>
      <c r="BQ81" s="137">
        <v>35228</v>
      </c>
      <c r="BR81" s="137">
        <v>35228.000000000007</v>
      </c>
      <c r="BS81" s="137">
        <v>35228.000000000007</v>
      </c>
      <c r="BT81" s="137">
        <v>35228.000000000022</v>
      </c>
    </row>
    <row r="82" spans="1:72" ht="15" hidden="1" customHeight="1" outlineLevel="1" x14ac:dyDescent="0.3">
      <c r="A82" t="s">
        <v>289</v>
      </c>
      <c r="B82" s="134" t="s">
        <v>255</v>
      </c>
      <c r="C82" s="135">
        <v>0</v>
      </c>
      <c r="D82" s="135">
        <v>0</v>
      </c>
      <c r="E82" s="135">
        <v>0</v>
      </c>
      <c r="F82" s="135">
        <v>0</v>
      </c>
      <c r="G82" s="135">
        <v>0</v>
      </c>
      <c r="H82" s="135">
        <v>0</v>
      </c>
      <c r="I82" s="135">
        <v>0</v>
      </c>
      <c r="J82" s="135">
        <v>0</v>
      </c>
      <c r="K82" s="135">
        <v>0</v>
      </c>
      <c r="L82" s="135">
        <v>0</v>
      </c>
      <c r="M82" s="135">
        <v>0</v>
      </c>
      <c r="N82" s="135">
        <v>0</v>
      </c>
      <c r="O82" s="135">
        <v>0</v>
      </c>
      <c r="P82" s="135">
        <v>0</v>
      </c>
      <c r="Q82" s="135">
        <v>0</v>
      </c>
      <c r="R82" s="135">
        <v>0</v>
      </c>
      <c r="S82" s="135">
        <v>0</v>
      </c>
      <c r="T82" s="135">
        <v>0</v>
      </c>
      <c r="U82" s="135">
        <v>0</v>
      </c>
      <c r="V82" s="135">
        <v>0</v>
      </c>
      <c r="W82" s="135">
        <v>0</v>
      </c>
      <c r="X82" s="135">
        <v>0</v>
      </c>
      <c r="Y82" s="135">
        <v>0</v>
      </c>
      <c r="Z82" s="135">
        <v>36060</v>
      </c>
      <c r="AA82" s="135">
        <v>36060</v>
      </c>
      <c r="AB82" s="135">
        <v>36060</v>
      </c>
      <c r="AC82" s="135">
        <v>36661</v>
      </c>
      <c r="AD82" s="135">
        <v>36660</v>
      </c>
      <c r="AE82" s="135">
        <v>36660</v>
      </c>
      <c r="AF82" s="135">
        <v>36714.189999999995</v>
      </c>
      <c r="AG82" s="135">
        <v>36714.189999999995</v>
      </c>
      <c r="AH82" s="135">
        <v>36657</v>
      </c>
      <c r="AI82" s="135">
        <v>36659</v>
      </c>
      <c r="AJ82" s="135">
        <v>36657</v>
      </c>
      <c r="AK82" s="135">
        <v>36656</v>
      </c>
      <c r="AL82" s="135">
        <v>36656</v>
      </c>
      <c r="AM82" s="135">
        <v>36656.379999999983</v>
      </c>
      <c r="AN82" s="136">
        <v>36656.379999999983</v>
      </c>
      <c r="AO82" s="136">
        <v>37395</v>
      </c>
      <c r="AP82" s="136">
        <v>37395</v>
      </c>
      <c r="AQ82" s="136">
        <v>37360.039999999994</v>
      </c>
      <c r="AR82" s="136">
        <v>37360.039999999994</v>
      </c>
      <c r="AS82" s="136">
        <v>37360.039999999986</v>
      </c>
      <c r="AT82" s="136">
        <v>37360.039999999994</v>
      </c>
      <c r="AU82" s="137">
        <v>37360</v>
      </c>
      <c r="AV82" s="136">
        <v>37360.039999999994</v>
      </c>
      <c r="AW82" s="136">
        <v>37360.039999999994</v>
      </c>
      <c r="AX82" s="136">
        <v>37360.039999999994</v>
      </c>
      <c r="AY82" s="136">
        <v>37360.039999999986</v>
      </c>
      <c r="AZ82" s="137">
        <v>37360</v>
      </c>
      <c r="BA82" s="136">
        <v>37360.039999999986</v>
      </c>
      <c r="BB82" s="136">
        <v>37578.223333333321</v>
      </c>
      <c r="BC82" s="136">
        <v>37448</v>
      </c>
      <c r="BD82" s="136">
        <v>37448.019999999997</v>
      </c>
      <c r="BE82" s="136">
        <v>36914.14</v>
      </c>
      <c r="BF82" s="136">
        <v>36914.14</v>
      </c>
      <c r="BG82" s="137">
        <v>36914.14</v>
      </c>
      <c r="BH82" s="137">
        <v>36885.97</v>
      </c>
      <c r="BI82" s="137">
        <v>36914.14</v>
      </c>
      <c r="BJ82" s="137">
        <v>36914.14</v>
      </c>
      <c r="BK82" s="137">
        <v>36914.14</v>
      </c>
      <c r="BL82" s="137">
        <v>36914.14</v>
      </c>
      <c r="BM82" s="137">
        <v>36914.14</v>
      </c>
      <c r="BN82" s="137">
        <v>36914.139999999992</v>
      </c>
      <c r="BO82" s="137">
        <v>36914.139999999992</v>
      </c>
      <c r="BP82" s="137">
        <v>3691.4140000000002</v>
      </c>
      <c r="BQ82" s="137">
        <v>3691.4139999999993</v>
      </c>
      <c r="BR82" s="137">
        <v>3691.4140000000002</v>
      </c>
      <c r="BS82" s="137">
        <v>3691.4140000000002</v>
      </c>
      <c r="BT82" s="137">
        <v>3691.4140000000002</v>
      </c>
    </row>
    <row r="83" spans="1:72" ht="15" hidden="1" customHeight="1" outlineLevel="1" x14ac:dyDescent="0.3">
      <c r="A83" t="s">
        <v>290</v>
      </c>
      <c r="B83" s="134" t="s">
        <v>257</v>
      </c>
      <c r="C83" s="136">
        <v>0</v>
      </c>
      <c r="D83" s="136">
        <v>0</v>
      </c>
      <c r="E83" s="136">
        <v>0</v>
      </c>
      <c r="F83" s="136">
        <v>0</v>
      </c>
      <c r="G83" s="136">
        <v>0</v>
      </c>
      <c r="H83" s="136">
        <v>0</v>
      </c>
      <c r="I83" s="136">
        <v>0</v>
      </c>
      <c r="J83" s="136">
        <v>0</v>
      </c>
      <c r="K83" s="136">
        <v>0</v>
      </c>
      <c r="L83" s="136">
        <v>0</v>
      </c>
      <c r="M83" s="136">
        <v>0</v>
      </c>
      <c r="N83" s="136">
        <v>0</v>
      </c>
      <c r="O83" s="136">
        <v>0</v>
      </c>
      <c r="P83" s="136">
        <v>0</v>
      </c>
      <c r="Q83" s="136">
        <v>0</v>
      </c>
      <c r="R83" s="136">
        <v>0</v>
      </c>
      <c r="S83" s="136">
        <v>0</v>
      </c>
      <c r="T83" s="136">
        <v>0</v>
      </c>
      <c r="U83" s="136">
        <v>0</v>
      </c>
      <c r="V83" s="136">
        <v>0</v>
      </c>
      <c r="W83" s="136">
        <v>0</v>
      </c>
      <c r="X83" s="136">
        <v>0</v>
      </c>
      <c r="Y83" s="136">
        <v>0</v>
      </c>
      <c r="Z83" s="136">
        <v>0</v>
      </c>
      <c r="AA83" s="136">
        <v>0</v>
      </c>
      <c r="AB83" s="136">
        <v>0</v>
      </c>
      <c r="AC83" s="136">
        <v>0</v>
      </c>
      <c r="AD83" s="136">
        <v>0</v>
      </c>
      <c r="AE83" s="136">
        <v>0</v>
      </c>
      <c r="AF83" s="136">
        <v>17680.659999999993</v>
      </c>
      <c r="AG83" s="136">
        <v>17680.659999999993</v>
      </c>
      <c r="AH83" s="136">
        <v>16643.66</v>
      </c>
      <c r="AI83" s="136">
        <v>16626.469999999998</v>
      </c>
      <c r="AJ83" s="136">
        <v>16626</v>
      </c>
      <c r="AK83" s="136">
        <v>16626</v>
      </c>
      <c r="AL83" s="135">
        <v>16626</v>
      </c>
      <c r="AM83" s="135">
        <v>16626.469999999998</v>
      </c>
      <c r="AN83" s="136">
        <v>16619</v>
      </c>
      <c r="AO83" s="136">
        <v>16619.41</v>
      </c>
      <c r="AP83" s="136">
        <v>16619.41</v>
      </c>
      <c r="AQ83" s="136">
        <v>15306.4172</v>
      </c>
      <c r="AR83" s="136">
        <v>15306.4172</v>
      </c>
      <c r="AS83" s="136">
        <v>15306.417199999998</v>
      </c>
      <c r="AT83" s="136">
        <v>15306.4172</v>
      </c>
      <c r="AU83" s="137">
        <v>16637</v>
      </c>
      <c r="AV83" s="136">
        <v>15306.4172</v>
      </c>
      <c r="AW83" s="136">
        <v>15306.4172</v>
      </c>
      <c r="AX83" s="137">
        <v>16661</v>
      </c>
      <c r="AY83" s="136">
        <v>16661.04</v>
      </c>
      <c r="AZ83" s="137">
        <v>16661</v>
      </c>
      <c r="BA83" s="136">
        <v>16661.04</v>
      </c>
      <c r="BB83" s="136">
        <v>16680.786666666667</v>
      </c>
      <c r="BC83" s="137">
        <v>16690.66</v>
      </c>
      <c r="BD83" s="136">
        <v>15355.4072</v>
      </c>
      <c r="BE83" s="136">
        <v>15355.4072</v>
      </c>
      <c r="BF83" s="136">
        <v>15503.1592</v>
      </c>
      <c r="BG83" s="137">
        <v>15503.1592</v>
      </c>
      <c r="BH83" s="137">
        <v>15503.1592</v>
      </c>
      <c r="BI83" s="137">
        <v>15503.1592</v>
      </c>
      <c r="BJ83" s="137">
        <v>15519.759066666667</v>
      </c>
      <c r="BK83" s="137">
        <v>15553.1888</v>
      </c>
      <c r="BL83" s="137">
        <v>15553.1888</v>
      </c>
      <c r="BM83" s="137">
        <v>15553.1888</v>
      </c>
      <c r="BN83" s="137">
        <v>15553.1888</v>
      </c>
      <c r="BO83" s="137">
        <v>15553.1888</v>
      </c>
      <c r="BP83" s="137">
        <v>10143.384000000002</v>
      </c>
      <c r="BQ83" s="137">
        <v>10143.384000000002</v>
      </c>
      <c r="BR83" s="137">
        <v>10143.384000000002</v>
      </c>
      <c r="BS83" s="137">
        <v>10143.384</v>
      </c>
      <c r="BT83" s="137">
        <v>10143.383999999998</v>
      </c>
    </row>
    <row r="84" spans="1:72" ht="15" hidden="1" customHeight="1" outlineLevel="1" x14ac:dyDescent="0.3">
      <c r="A84" t="s">
        <v>291</v>
      </c>
      <c r="B84" s="134" t="s">
        <v>259</v>
      </c>
      <c r="C84" s="135">
        <v>0</v>
      </c>
      <c r="D84" s="135">
        <v>0</v>
      </c>
      <c r="E84" s="135">
        <v>0</v>
      </c>
      <c r="F84" s="135">
        <v>0</v>
      </c>
      <c r="G84" s="135">
        <v>0</v>
      </c>
      <c r="H84" s="135">
        <v>0</v>
      </c>
      <c r="I84" s="135">
        <v>0</v>
      </c>
      <c r="J84" s="135">
        <v>0</v>
      </c>
      <c r="K84" s="135">
        <v>0</v>
      </c>
      <c r="L84" s="135">
        <v>0</v>
      </c>
      <c r="M84" s="135">
        <v>0</v>
      </c>
      <c r="N84" s="135">
        <v>0</v>
      </c>
      <c r="O84" s="135">
        <v>0</v>
      </c>
      <c r="P84" s="135">
        <v>0</v>
      </c>
      <c r="Q84" s="135">
        <v>0</v>
      </c>
      <c r="R84" s="135">
        <v>0</v>
      </c>
      <c r="S84" s="135">
        <v>0</v>
      </c>
      <c r="T84" s="135">
        <v>0</v>
      </c>
      <c r="U84" s="135">
        <v>0</v>
      </c>
      <c r="V84" s="135">
        <v>0</v>
      </c>
      <c r="W84" s="135">
        <v>0</v>
      </c>
      <c r="X84" s="135">
        <v>0</v>
      </c>
      <c r="Y84" s="135">
        <v>0</v>
      </c>
      <c r="Z84" s="135">
        <v>0</v>
      </c>
      <c r="AA84" s="135">
        <v>0</v>
      </c>
      <c r="AB84" s="135">
        <v>0</v>
      </c>
      <c r="AC84" s="135">
        <v>0</v>
      </c>
      <c r="AD84" s="135">
        <v>0</v>
      </c>
      <c r="AE84" s="135">
        <v>0</v>
      </c>
      <c r="AF84" s="135">
        <v>0</v>
      </c>
      <c r="AG84" s="135">
        <v>0</v>
      </c>
      <c r="AH84" s="135">
        <v>0</v>
      </c>
      <c r="AI84" s="135">
        <v>0</v>
      </c>
      <c r="AJ84" s="137">
        <v>26633.517931892377</v>
      </c>
      <c r="AK84" s="137">
        <v>26632.929707245155</v>
      </c>
      <c r="AL84" s="135">
        <v>26632.929707245155</v>
      </c>
      <c r="AM84" s="135">
        <v>26633.527931711385</v>
      </c>
      <c r="AN84" s="136">
        <v>26811.75</v>
      </c>
      <c r="AO84" s="136">
        <v>26811.75</v>
      </c>
      <c r="AP84" s="136">
        <v>28369.66</v>
      </c>
      <c r="AQ84" s="136">
        <v>28369.66</v>
      </c>
      <c r="AR84" s="136">
        <v>28369.389999999996</v>
      </c>
      <c r="AS84" s="136">
        <v>28485.710000000006</v>
      </c>
      <c r="AT84" s="136">
        <v>28485.71</v>
      </c>
      <c r="AU84" s="136">
        <v>27589.640000000003</v>
      </c>
      <c r="AV84" s="136">
        <v>27656</v>
      </c>
      <c r="AW84" s="137">
        <v>27688</v>
      </c>
      <c r="AX84" s="137">
        <v>27688</v>
      </c>
      <c r="AY84" s="136">
        <v>27688.48</v>
      </c>
      <c r="AZ84" s="137">
        <v>27688</v>
      </c>
      <c r="BA84" s="136">
        <v>27688.48</v>
      </c>
      <c r="BB84" s="136">
        <v>27688.48</v>
      </c>
      <c r="BC84" s="136">
        <v>27688.480000000003</v>
      </c>
      <c r="BD84" s="136">
        <v>27688.48</v>
      </c>
      <c r="BE84" s="136">
        <v>27688.48</v>
      </c>
      <c r="BF84" s="136">
        <v>27688.48</v>
      </c>
      <c r="BG84" s="137">
        <v>27688.48</v>
      </c>
      <c r="BH84" s="137">
        <v>27688.48</v>
      </c>
      <c r="BI84" s="137">
        <v>27688.48</v>
      </c>
      <c r="BJ84" s="137">
        <v>27688.48</v>
      </c>
      <c r="BK84" s="137">
        <v>27688.48</v>
      </c>
      <c r="BL84" s="137">
        <v>27833.74</v>
      </c>
      <c r="BM84" s="137">
        <v>27833.74</v>
      </c>
      <c r="BN84" s="137">
        <v>27833.74</v>
      </c>
      <c r="BO84" s="137">
        <v>27833.74</v>
      </c>
      <c r="BP84" s="137">
        <v>0</v>
      </c>
      <c r="BQ84" s="137" t="s">
        <v>242</v>
      </c>
      <c r="BR84" s="137" t="s">
        <v>242</v>
      </c>
      <c r="BS84" s="137">
        <v>0</v>
      </c>
      <c r="BT84" s="137" t="s">
        <v>242</v>
      </c>
    </row>
    <row r="85" spans="1:72" ht="15" hidden="1" customHeight="1" outlineLevel="1" x14ac:dyDescent="0.3">
      <c r="A85" t="s">
        <v>73</v>
      </c>
      <c r="B85" s="134" t="s">
        <v>260</v>
      </c>
      <c r="C85" s="135">
        <v>0</v>
      </c>
      <c r="D85" s="135">
        <v>0</v>
      </c>
      <c r="E85" s="135">
        <v>0</v>
      </c>
      <c r="F85" s="135">
        <v>0</v>
      </c>
      <c r="G85" s="135">
        <v>0</v>
      </c>
      <c r="H85" s="135">
        <v>0</v>
      </c>
      <c r="I85" s="135">
        <v>0</v>
      </c>
      <c r="J85" s="135">
        <v>0</v>
      </c>
      <c r="K85" s="135">
        <v>0</v>
      </c>
      <c r="L85" s="135">
        <v>0</v>
      </c>
      <c r="M85" s="135">
        <v>0</v>
      </c>
      <c r="N85" s="135">
        <v>0</v>
      </c>
      <c r="O85" s="135">
        <v>0</v>
      </c>
      <c r="P85" s="135">
        <v>0</v>
      </c>
      <c r="Q85" s="135">
        <v>0</v>
      </c>
      <c r="R85" s="135">
        <v>0</v>
      </c>
      <c r="S85" s="135">
        <v>0</v>
      </c>
      <c r="T85" s="135">
        <v>31280</v>
      </c>
      <c r="U85" s="135">
        <v>31280</v>
      </c>
      <c r="V85" s="135">
        <v>31280</v>
      </c>
      <c r="W85" s="135">
        <v>31280</v>
      </c>
      <c r="X85" s="135">
        <v>31280</v>
      </c>
      <c r="Y85" s="135">
        <v>31280</v>
      </c>
      <c r="Z85" s="135">
        <v>31280</v>
      </c>
      <c r="AA85" s="135">
        <v>31280</v>
      </c>
      <c r="AB85" s="135">
        <v>31280</v>
      </c>
      <c r="AC85" s="135">
        <v>29779.4</v>
      </c>
      <c r="AD85" s="135">
        <v>29780</v>
      </c>
      <c r="AE85" s="135">
        <v>29780</v>
      </c>
      <c r="AF85" s="135">
        <v>30013.559999999998</v>
      </c>
      <c r="AG85" s="135">
        <v>30013.559999999998</v>
      </c>
      <c r="AH85" s="135">
        <v>30013.559999999998</v>
      </c>
      <c r="AI85" s="135">
        <v>29967.85</v>
      </c>
      <c r="AJ85" s="135">
        <v>30016.239999999998</v>
      </c>
      <c r="AK85" s="135">
        <v>29968</v>
      </c>
      <c r="AL85" s="135">
        <v>0</v>
      </c>
      <c r="AM85" s="135">
        <v>0</v>
      </c>
      <c r="AN85" s="136">
        <v>0</v>
      </c>
      <c r="AO85" s="136">
        <v>0</v>
      </c>
      <c r="AP85" s="136">
        <v>0</v>
      </c>
      <c r="AQ85" s="136">
        <v>0</v>
      </c>
      <c r="AR85" s="136">
        <v>0</v>
      </c>
      <c r="AS85" s="136">
        <v>0</v>
      </c>
      <c r="AT85" s="136">
        <v>0</v>
      </c>
      <c r="AU85" s="136">
        <v>0</v>
      </c>
      <c r="AV85" s="147">
        <v>0</v>
      </c>
      <c r="AW85" s="147">
        <v>0</v>
      </c>
      <c r="AX85" s="147">
        <v>0</v>
      </c>
      <c r="AY85" s="147">
        <v>0</v>
      </c>
      <c r="AZ85" s="147">
        <v>0</v>
      </c>
      <c r="BA85" s="147">
        <v>0</v>
      </c>
      <c r="BB85" s="147">
        <v>0</v>
      </c>
      <c r="BC85" s="147">
        <v>0</v>
      </c>
      <c r="BD85" s="147">
        <v>0</v>
      </c>
      <c r="BE85" s="147">
        <v>0</v>
      </c>
      <c r="BF85" s="147">
        <v>0</v>
      </c>
      <c r="BG85" s="137">
        <v>0</v>
      </c>
      <c r="BH85" s="137">
        <v>0</v>
      </c>
      <c r="BI85" s="137">
        <v>0</v>
      </c>
      <c r="BJ85" s="137">
        <v>0</v>
      </c>
      <c r="BK85" s="137">
        <v>0</v>
      </c>
      <c r="BL85" s="137">
        <v>0</v>
      </c>
      <c r="BM85" s="137">
        <v>0</v>
      </c>
      <c r="BN85" s="137">
        <v>0</v>
      </c>
      <c r="BO85" s="137">
        <v>0</v>
      </c>
      <c r="BP85" s="137">
        <v>0</v>
      </c>
      <c r="BQ85" s="137">
        <v>0</v>
      </c>
      <c r="BR85" s="137">
        <v>0</v>
      </c>
      <c r="BS85" s="137">
        <v>0</v>
      </c>
      <c r="BT85" s="137">
        <v>0</v>
      </c>
    </row>
    <row r="86" spans="1:72" s="131" customFormat="1" ht="15" customHeight="1" collapsed="1" x14ac:dyDescent="0.3">
      <c r="B86" s="140" t="str">
        <f>IF('Sumário | Summary'!P1=1,"Galpões Logísticos","Distribution Centers")</f>
        <v>Galpões Logísticos</v>
      </c>
      <c r="C86" s="132">
        <f t="shared" ref="C86:BN86" si="25">SUM(C87:C97)</f>
        <v>40349.839999999997</v>
      </c>
      <c r="D86" s="132">
        <f t="shared" si="25"/>
        <v>40349.839999999997</v>
      </c>
      <c r="E86" s="132">
        <f t="shared" si="25"/>
        <v>40349.839999999997</v>
      </c>
      <c r="F86" s="132">
        <f t="shared" si="25"/>
        <v>40349.839999999997</v>
      </c>
      <c r="G86" s="132">
        <f t="shared" si="25"/>
        <v>40349.839999999997</v>
      </c>
      <c r="H86" s="132">
        <f t="shared" si="25"/>
        <v>40349.839999999997</v>
      </c>
      <c r="I86" s="132">
        <f t="shared" si="25"/>
        <v>40349.839999999997</v>
      </c>
      <c r="J86" s="132">
        <f t="shared" si="25"/>
        <v>40349.839999999997</v>
      </c>
      <c r="K86" s="132">
        <f t="shared" si="25"/>
        <v>40349.839999999997</v>
      </c>
      <c r="L86" s="132">
        <f t="shared" si="25"/>
        <v>40349.839999999997</v>
      </c>
      <c r="M86" s="132">
        <f t="shared" si="25"/>
        <v>40349.839999999997</v>
      </c>
      <c r="N86" s="132">
        <f t="shared" si="25"/>
        <v>40349.839999999997</v>
      </c>
      <c r="O86" s="132">
        <f t="shared" si="25"/>
        <v>40349.839999999997</v>
      </c>
      <c r="P86" s="132">
        <f t="shared" si="25"/>
        <v>40349.839999999997</v>
      </c>
      <c r="Q86" s="132">
        <f t="shared" si="25"/>
        <v>95946.84</v>
      </c>
      <c r="R86" s="132">
        <f t="shared" si="25"/>
        <v>127573.84</v>
      </c>
      <c r="S86" s="132">
        <f t="shared" si="25"/>
        <v>155417.11000000002</v>
      </c>
      <c r="T86" s="132">
        <f t="shared" si="25"/>
        <v>155417.11000000002</v>
      </c>
      <c r="U86" s="132">
        <f t="shared" si="25"/>
        <v>155417.11000000002</v>
      </c>
      <c r="V86" s="132">
        <f t="shared" si="25"/>
        <v>155417.11000000002</v>
      </c>
      <c r="W86" s="132">
        <f t="shared" si="25"/>
        <v>231392.71000000002</v>
      </c>
      <c r="X86" s="132">
        <f t="shared" si="25"/>
        <v>334489.96000000008</v>
      </c>
      <c r="Y86" s="132">
        <f t="shared" si="25"/>
        <v>334489.96000000008</v>
      </c>
      <c r="Z86" s="132">
        <f t="shared" si="25"/>
        <v>500161.32000000007</v>
      </c>
      <c r="AA86" s="132">
        <f t="shared" si="25"/>
        <v>500161.32000000007</v>
      </c>
      <c r="AB86" s="132">
        <f t="shared" si="25"/>
        <v>554614.67000000004</v>
      </c>
      <c r="AC86" s="132">
        <f t="shared" si="25"/>
        <v>618316.12</v>
      </c>
      <c r="AD86" s="132">
        <f t="shared" si="25"/>
        <v>618316.12</v>
      </c>
      <c r="AE86" s="132">
        <f t="shared" si="25"/>
        <v>618316.12</v>
      </c>
      <c r="AF86" s="132">
        <f t="shared" si="25"/>
        <v>618316.12</v>
      </c>
      <c r="AG86" s="132">
        <f t="shared" si="25"/>
        <v>618316.12</v>
      </c>
      <c r="AH86" s="132">
        <f t="shared" si="25"/>
        <v>618316.12</v>
      </c>
      <c r="AI86" s="132">
        <f t="shared" si="25"/>
        <v>732391.3</v>
      </c>
      <c r="AJ86" s="132">
        <f t="shared" si="25"/>
        <v>892870.3</v>
      </c>
      <c r="AK86" s="132">
        <f t="shared" si="25"/>
        <v>880007.3899999999</v>
      </c>
      <c r="AL86" s="132">
        <f t="shared" si="25"/>
        <v>311313.08999999997</v>
      </c>
      <c r="AM86" s="132">
        <f t="shared" si="25"/>
        <v>311313.08999999997</v>
      </c>
      <c r="AN86" s="132">
        <f t="shared" si="25"/>
        <v>311313.08999999997</v>
      </c>
      <c r="AO86" s="132">
        <f t="shared" si="25"/>
        <v>12862.59</v>
      </c>
      <c r="AP86" s="132">
        <f t="shared" si="25"/>
        <v>12862.59</v>
      </c>
      <c r="AQ86" s="132">
        <f t="shared" si="25"/>
        <v>12862.59</v>
      </c>
      <c r="AR86" s="132">
        <f t="shared" si="25"/>
        <v>0</v>
      </c>
      <c r="AS86" s="132">
        <f t="shared" si="25"/>
        <v>0</v>
      </c>
      <c r="AT86" s="132">
        <f t="shared" si="25"/>
        <v>0</v>
      </c>
      <c r="AU86" s="132">
        <f t="shared" si="25"/>
        <v>0</v>
      </c>
      <c r="AV86" s="132">
        <f t="shared" si="25"/>
        <v>0</v>
      </c>
      <c r="AW86" s="132">
        <f t="shared" si="25"/>
        <v>0</v>
      </c>
      <c r="AX86" s="132">
        <f t="shared" si="25"/>
        <v>0</v>
      </c>
      <c r="AY86" s="132">
        <f t="shared" si="25"/>
        <v>0</v>
      </c>
      <c r="AZ86" s="132">
        <f t="shared" si="25"/>
        <v>0</v>
      </c>
      <c r="BA86" s="132">
        <f t="shared" si="25"/>
        <v>0</v>
      </c>
      <c r="BB86" s="132">
        <f t="shared" si="25"/>
        <v>0</v>
      </c>
      <c r="BC86" s="132">
        <f t="shared" si="25"/>
        <v>0</v>
      </c>
      <c r="BD86" s="132">
        <f t="shared" si="25"/>
        <v>0</v>
      </c>
      <c r="BE86" s="132">
        <f t="shared" si="25"/>
        <v>0</v>
      </c>
      <c r="BF86" s="132">
        <f t="shared" si="25"/>
        <v>0</v>
      </c>
      <c r="BG86" s="132">
        <f t="shared" si="25"/>
        <v>0</v>
      </c>
      <c r="BH86" s="132">
        <f t="shared" si="25"/>
        <v>0</v>
      </c>
      <c r="BI86" s="132">
        <f t="shared" si="25"/>
        <v>0</v>
      </c>
      <c r="BJ86" s="132">
        <f t="shared" si="25"/>
        <v>0</v>
      </c>
      <c r="BK86" s="132">
        <f t="shared" si="25"/>
        <v>0</v>
      </c>
      <c r="BL86" s="132">
        <f t="shared" si="25"/>
        <v>0</v>
      </c>
      <c r="BM86" s="132">
        <f t="shared" si="25"/>
        <v>0</v>
      </c>
      <c r="BN86" s="132">
        <f t="shared" si="25"/>
        <v>38678.961750000002</v>
      </c>
      <c r="BO86" s="132">
        <f t="shared" ref="BO86" si="26">SUM(BO87:BO97)</f>
        <v>38678.961750000002</v>
      </c>
      <c r="BP86" s="132">
        <v>38678.961750000002</v>
      </c>
      <c r="BQ86" s="132">
        <v>38678.961750000002</v>
      </c>
      <c r="BR86" s="132">
        <v>38678.961750000002</v>
      </c>
      <c r="BS86" s="132">
        <v>38678.927690000004</v>
      </c>
      <c r="BT86" s="132">
        <f t="shared" ref="BT86" si="27">SUM(BT87:BT97)</f>
        <v>63129.367014999996</v>
      </c>
    </row>
    <row r="87" spans="1:72" ht="15" hidden="1" customHeight="1" outlineLevel="1" x14ac:dyDescent="0.3">
      <c r="A87" t="s">
        <v>292</v>
      </c>
      <c r="B87" s="134" t="s">
        <v>262</v>
      </c>
      <c r="C87" s="137">
        <v>0</v>
      </c>
      <c r="D87" s="137">
        <v>0</v>
      </c>
      <c r="E87" s="137">
        <v>0</v>
      </c>
      <c r="F87" s="137">
        <v>0</v>
      </c>
      <c r="G87" s="137">
        <v>0</v>
      </c>
      <c r="H87" s="137">
        <v>0</v>
      </c>
      <c r="I87" s="137">
        <v>0</v>
      </c>
      <c r="J87" s="137">
        <v>0</v>
      </c>
      <c r="K87" s="137">
        <v>0</v>
      </c>
      <c r="L87" s="137">
        <v>0</v>
      </c>
      <c r="M87" s="137">
        <v>0</v>
      </c>
      <c r="N87" s="137">
        <v>0</v>
      </c>
      <c r="O87" s="137">
        <v>0</v>
      </c>
      <c r="P87" s="137">
        <v>0</v>
      </c>
      <c r="Q87" s="137">
        <v>0</v>
      </c>
      <c r="R87" s="137">
        <v>0</v>
      </c>
      <c r="S87" s="137">
        <v>0</v>
      </c>
      <c r="T87" s="137">
        <v>0</v>
      </c>
      <c r="U87" s="137">
        <v>0</v>
      </c>
      <c r="V87" s="137">
        <v>0</v>
      </c>
      <c r="W87" s="137">
        <v>0</v>
      </c>
      <c r="X87" s="137">
        <v>0</v>
      </c>
      <c r="Y87" s="137">
        <v>0</v>
      </c>
      <c r="Z87" s="137">
        <v>0</v>
      </c>
      <c r="AA87" s="137">
        <v>0</v>
      </c>
      <c r="AB87" s="137">
        <v>0</v>
      </c>
      <c r="AC87" s="137">
        <v>0</v>
      </c>
      <c r="AD87" s="137">
        <v>0</v>
      </c>
      <c r="AE87" s="137">
        <v>0</v>
      </c>
      <c r="AF87" s="137">
        <v>0</v>
      </c>
      <c r="AG87" s="137">
        <v>0</v>
      </c>
      <c r="AH87" s="137">
        <v>0</v>
      </c>
      <c r="AI87" s="137">
        <v>0</v>
      </c>
      <c r="AJ87" s="137">
        <v>0</v>
      </c>
      <c r="AK87" s="137">
        <v>0</v>
      </c>
      <c r="AL87" s="137">
        <v>0</v>
      </c>
      <c r="AM87" s="137">
        <v>0</v>
      </c>
      <c r="AN87" s="137">
        <v>0</v>
      </c>
      <c r="AO87" s="137">
        <v>0</v>
      </c>
      <c r="AP87" s="137">
        <v>0</v>
      </c>
      <c r="AQ87" s="137">
        <v>0</v>
      </c>
      <c r="AR87" s="137">
        <v>0</v>
      </c>
      <c r="AS87" s="137">
        <v>0</v>
      </c>
      <c r="AT87" s="137">
        <v>0</v>
      </c>
      <c r="AU87" s="137">
        <v>0</v>
      </c>
      <c r="AV87" s="137">
        <v>0</v>
      </c>
      <c r="AW87" s="137">
        <v>0</v>
      </c>
      <c r="AX87" s="137">
        <v>0</v>
      </c>
      <c r="AY87" s="137">
        <v>0</v>
      </c>
      <c r="AZ87" s="137">
        <v>0</v>
      </c>
      <c r="BA87" s="137">
        <v>0</v>
      </c>
      <c r="BB87" s="137">
        <v>0</v>
      </c>
      <c r="BC87" s="137">
        <v>0</v>
      </c>
      <c r="BD87" s="137">
        <v>0</v>
      </c>
      <c r="BE87" s="137">
        <v>0</v>
      </c>
      <c r="BF87" s="137">
        <v>0</v>
      </c>
      <c r="BG87" s="137">
        <v>0</v>
      </c>
      <c r="BH87" s="137">
        <v>0</v>
      </c>
      <c r="BI87" s="137">
        <v>0</v>
      </c>
      <c r="BJ87" s="137">
        <v>0</v>
      </c>
      <c r="BK87" s="137">
        <v>0</v>
      </c>
      <c r="BL87" s="137">
        <v>0</v>
      </c>
      <c r="BM87" s="137">
        <v>0</v>
      </c>
      <c r="BN87" s="137">
        <v>38678.961750000002</v>
      </c>
      <c r="BO87" s="137">
        <v>38678.961750000002</v>
      </c>
      <c r="BP87" s="137">
        <v>38678.961750000002</v>
      </c>
      <c r="BQ87" s="137">
        <v>38678.961750000002</v>
      </c>
      <c r="BR87" s="137">
        <v>38678.961750000002</v>
      </c>
      <c r="BS87" s="137">
        <v>38678.927690000004</v>
      </c>
      <c r="BT87" s="137">
        <v>63129.367014999996</v>
      </c>
    </row>
    <row r="88" spans="1:72" ht="15" hidden="1" customHeight="1" outlineLevel="1" x14ac:dyDescent="0.3">
      <c r="A88" t="s">
        <v>73</v>
      </c>
      <c r="B88" s="134" t="s">
        <v>263</v>
      </c>
      <c r="C88" s="135">
        <v>40349.839999999997</v>
      </c>
      <c r="D88" s="135">
        <v>40349.839999999997</v>
      </c>
      <c r="E88" s="135">
        <v>40349.839999999997</v>
      </c>
      <c r="F88" s="135">
        <v>40349.839999999997</v>
      </c>
      <c r="G88" s="135">
        <v>40349.839999999997</v>
      </c>
      <c r="H88" s="135">
        <v>40349.839999999997</v>
      </c>
      <c r="I88" s="135">
        <v>40349.839999999997</v>
      </c>
      <c r="J88" s="135">
        <v>40349.839999999997</v>
      </c>
      <c r="K88" s="135">
        <v>40349.839999999997</v>
      </c>
      <c r="L88" s="135">
        <v>40349.839999999997</v>
      </c>
      <c r="M88" s="135">
        <v>40349.839999999997</v>
      </c>
      <c r="N88" s="135">
        <v>40349.839999999997</v>
      </c>
      <c r="O88" s="135">
        <v>40349.839999999997</v>
      </c>
      <c r="P88" s="135">
        <v>40349.839999999997</v>
      </c>
      <c r="Q88" s="135">
        <v>40349.839999999997</v>
      </c>
      <c r="R88" s="135">
        <v>40349.839999999997</v>
      </c>
      <c r="S88" s="135">
        <v>40349.839999999997</v>
      </c>
      <c r="T88" s="135">
        <v>40349.839999999997</v>
      </c>
      <c r="U88" s="135">
        <v>40349.839999999997</v>
      </c>
      <c r="V88" s="135">
        <v>40349.839999999997</v>
      </c>
      <c r="W88" s="135">
        <v>40349.839999999997</v>
      </c>
      <c r="X88" s="135">
        <v>40349.839999999997</v>
      </c>
      <c r="Y88" s="135">
        <v>40349.839999999997</v>
      </c>
      <c r="Z88" s="135">
        <v>40349.839999999997</v>
      </c>
      <c r="AA88" s="135">
        <v>40349.839999999997</v>
      </c>
      <c r="AB88" s="135">
        <v>40349.839999999997</v>
      </c>
      <c r="AC88" s="135">
        <v>40349.839999999997</v>
      </c>
      <c r="AD88" s="135">
        <v>40349.839999999997</v>
      </c>
      <c r="AE88" s="135">
        <v>40349.839999999997</v>
      </c>
      <c r="AF88" s="135">
        <v>40349.839999999997</v>
      </c>
      <c r="AG88" s="135">
        <v>40349.839999999997</v>
      </c>
      <c r="AH88" s="135">
        <v>40349.839999999997</v>
      </c>
      <c r="AI88" s="135">
        <v>40349.839999999997</v>
      </c>
      <c r="AJ88" s="135">
        <v>40349.839999999997</v>
      </c>
      <c r="AK88" s="136">
        <v>27486.93</v>
      </c>
      <c r="AL88" s="135">
        <v>27486.93</v>
      </c>
      <c r="AM88" s="135">
        <v>27486.93</v>
      </c>
      <c r="AN88" s="136">
        <v>27486.93</v>
      </c>
      <c r="AO88" s="136">
        <v>12862.59</v>
      </c>
      <c r="AP88" s="136">
        <v>12862.59</v>
      </c>
      <c r="AQ88" s="136">
        <v>12862.59</v>
      </c>
      <c r="AR88" s="136">
        <v>0</v>
      </c>
      <c r="AS88" s="136">
        <v>0</v>
      </c>
      <c r="AT88" s="136">
        <v>0</v>
      </c>
      <c r="AU88" s="136">
        <v>0</v>
      </c>
      <c r="AV88" s="147">
        <v>0</v>
      </c>
      <c r="AW88" s="147">
        <v>0</v>
      </c>
      <c r="AX88" s="147">
        <v>0</v>
      </c>
      <c r="AY88" s="147">
        <v>0</v>
      </c>
      <c r="AZ88" s="147">
        <v>0</v>
      </c>
      <c r="BA88" s="147">
        <v>0</v>
      </c>
      <c r="BB88" s="147">
        <v>0</v>
      </c>
      <c r="BC88" s="147">
        <v>0</v>
      </c>
      <c r="BD88" s="147">
        <v>0</v>
      </c>
      <c r="BE88" s="147">
        <v>0</v>
      </c>
      <c r="BF88" s="147">
        <v>0</v>
      </c>
      <c r="BG88" s="137">
        <v>0</v>
      </c>
      <c r="BH88" s="137">
        <v>0</v>
      </c>
      <c r="BI88" s="137">
        <v>0</v>
      </c>
      <c r="BJ88" s="137">
        <v>0</v>
      </c>
      <c r="BK88" s="137">
        <v>0</v>
      </c>
      <c r="BL88" s="137">
        <v>0</v>
      </c>
      <c r="BM88" s="137">
        <v>0</v>
      </c>
      <c r="BN88" s="137">
        <v>0</v>
      </c>
      <c r="BO88" s="137">
        <v>0</v>
      </c>
      <c r="BP88" s="137">
        <v>0</v>
      </c>
      <c r="BQ88" s="137">
        <v>0</v>
      </c>
      <c r="BR88" s="137">
        <v>0</v>
      </c>
      <c r="BS88" s="137">
        <v>0</v>
      </c>
      <c r="BT88" s="137">
        <v>0</v>
      </c>
    </row>
    <row r="89" spans="1:72" ht="15" hidden="1" customHeight="1" outlineLevel="1" x14ac:dyDescent="0.3">
      <c r="A89" t="s">
        <v>73</v>
      </c>
      <c r="B89" s="134" t="s">
        <v>264</v>
      </c>
      <c r="C89" s="136">
        <v>0</v>
      </c>
      <c r="D89" s="136">
        <v>0</v>
      </c>
      <c r="E89" s="136">
        <v>0</v>
      </c>
      <c r="F89" s="136">
        <v>0</v>
      </c>
      <c r="G89" s="136">
        <v>0</v>
      </c>
      <c r="H89" s="136">
        <v>0</v>
      </c>
      <c r="I89" s="136">
        <v>0</v>
      </c>
      <c r="J89" s="136">
        <v>0</v>
      </c>
      <c r="K89" s="136">
        <v>0</v>
      </c>
      <c r="L89" s="136">
        <v>0</v>
      </c>
      <c r="M89" s="136">
        <v>0</v>
      </c>
      <c r="N89" s="136">
        <v>0</v>
      </c>
      <c r="O89" s="136">
        <v>0</v>
      </c>
      <c r="P89" s="136">
        <v>0</v>
      </c>
      <c r="Q89" s="136">
        <v>55597</v>
      </c>
      <c r="R89" s="136">
        <v>87224</v>
      </c>
      <c r="S89" s="136">
        <v>115067.27000000002</v>
      </c>
      <c r="T89" s="136">
        <v>115067.27000000002</v>
      </c>
      <c r="U89" s="136">
        <v>115067.27000000002</v>
      </c>
      <c r="V89" s="136">
        <v>115067.27000000002</v>
      </c>
      <c r="W89" s="136">
        <v>115067.27000000002</v>
      </c>
      <c r="X89" s="136">
        <v>115067.27000000002</v>
      </c>
      <c r="Y89" s="136">
        <v>115067.27000000002</v>
      </c>
      <c r="Z89" s="136">
        <v>115067.27000000002</v>
      </c>
      <c r="AA89" s="136">
        <v>115067.27000000002</v>
      </c>
      <c r="AB89" s="136">
        <v>115067.27000000002</v>
      </c>
      <c r="AC89" s="136">
        <v>115067.27000000002</v>
      </c>
      <c r="AD89" s="136">
        <v>115067.27000000002</v>
      </c>
      <c r="AE89" s="136">
        <v>115067.27000000002</v>
      </c>
      <c r="AF89" s="136">
        <v>115067.27000000002</v>
      </c>
      <c r="AG89" s="136">
        <v>115067.27000000002</v>
      </c>
      <c r="AH89" s="136">
        <v>115067.27000000002</v>
      </c>
      <c r="AI89" s="136">
        <v>115067.27000000002</v>
      </c>
      <c r="AJ89" s="136">
        <v>115067.27000000002</v>
      </c>
      <c r="AK89" s="136">
        <v>115067.27000000002</v>
      </c>
      <c r="AL89" s="135">
        <v>0</v>
      </c>
      <c r="AM89" s="135">
        <v>0</v>
      </c>
      <c r="AN89" s="136">
        <v>0</v>
      </c>
      <c r="AO89" s="136">
        <v>0</v>
      </c>
      <c r="AP89" s="136">
        <v>0</v>
      </c>
      <c r="AQ89" s="136">
        <v>0</v>
      </c>
      <c r="AR89" s="136">
        <v>0</v>
      </c>
      <c r="AS89" s="136">
        <v>0</v>
      </c>
      <c r="AT89" s="136">
        <v>0</v>
      </c>
      <c r="AU89" s="136">
        <v>0</v>
      </c>
      <c r="AV89" s="147">
        <v>0</v>
      </c>
      <c r="AW89" s="147">
        <v>0</v>
      </c>
      <c r="AX89" s="147">
        <v>0</v>
      </c>
      <c r="AY89" s="147">
        <v>0</v>
      </c>
      <c r="AZ89" s="147">
        <v>0</v>
      </c>
      <c r="BA89" s="147">
        <v>0</v>
      </c>
      <c r="BB89" s="147">
        <v>0</v>
      </c>
      <c r="BC89" s="147">
        <v>0</v>
      </c>
      <c r="BD89" s="147">
        <v>0</v>
      </c>
      <c r="BE89" s="147">
        <v>0</v>
      </c>
      <c r="BF89" s="147">
        <v>0</v>
      </c>
      <c r="BG89" s="137">
        <v>0</v>
      </c>
      <c r="BH89" s="137">
        <v>0</v>
      </c>
      <c r="BI89" s="137">
        <v>0</v>
      </c>
      <c r="BJ89" s="137">
        <v>0</v>
      </c>
      <c r="BK89" s="137">
        <v>0</v>
      </c>
      <c r="BL89" s="137">
        <v>0</v>
      </c>
      <c r="BM89" s="137">
        <v>0</v>
      </c>
      <c r="BN89" s="137">
        <v>0</v>
      </c>
      <c r="BO89" s="137">
        <v>0</v>
      </c>
      <c r="BP89" s="137">
        <v>0</v>
      </c>
      <c r="BQ89" s="137">
        <v>0</v>
      </c>
      <c r="BR89" s="137">
        <v>0</v>
      </c>
      <c r="BS89" s="137">
        <v>0</v>
      </c>
      <c r="BT89" s="137">
        <v>0</v>
      </c>
    </row>
    <row r="90" spans="1:72" ht="15" hidden="1" customHeight="1" outlineLevel="1" x14ac:dyDescent="0.3">
      <c r="A90" t="s">
        <v>73</v>
      </c>
      <c r="B90" s="134" t="s">
        <v>266</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75975.600000000006</v>
      </c>
      <c r="X90" s="136">
        <v>75975.600000000006</v>
      </c>
      <c r="Y90" s="136">
        <v>75975.600000000006</v>
      </c>
      <c r="Z90" s="136">
        <v>75975.600000000006</v>
      </c>
      <c r="AA90" s="136">
        <v>75975.600000000006</v>
      </c>
      <c r="AB90" s="136">
        <v>75975.600000000006</v>
      </c>
      <c r="AC90" s="136">
        <v>75975.600000000006</v>
      </c>
      <c r="AD90" s="136">
        <v>75975.600000000006</v>
      </c>
      <c r="AE90" s="136">
        <v>75975.600000000006</v>
      </c>
      <c r="AF90" s="136">
        <v>75975.600000000006</v>
      </c>
      <c r="AG90" s="136">
        <v>75975.600000000006</v>
      </c>
      <c r="AH90" s="136">
        <v>75975.600000000006</v>
      </c>
      <c r="AI90" s="136">
        <v>75975.600000000006</v>
      </c>
      <c r="AJ90" s="136">
        <v>75975.600000000006</v>
      </c>
      <c r="AK90" s="136">
        <v>75975.600000000006</v>
      </c>
      <c r="AL90" s="135">
        <v>0</v>
      </c>
      <c r="AM90" s="135">
        <v>0</v>
      </c>
      <c r="AN90" s="136">
        <v>0</v>
      </c>
      <c r="AO90" s="136">
        <v>0</v>
      </c>
      <c r="AP90" s="136">
        <v>0</v>
      </c>
      <c r="AQ90" s="136">
        <v>0</v>
      </c>
      <c r="AR90" s="136">
        <v>0</v>
      </c>
      <c r="AS90" s="136">
        <v>0</v>
      </c>
      <c r="AT90" s="136">
        <v>0</v>
      </c>
      <c r="AU90" s="136">
        <v>0</v>
      </c>
      <c r="AV90" s="147">
        <v>0</v>
      </c>
      <c r="AW90" s="147">
        <v>0</v>
      </c>
      <c r="AX90" s="147">
        <v>0</v>
      </c>
      <c r="AY90" s="147">
        <v>0</v>
      </c>
      <c r="AZ90" s="147">
        <v>0</v>
      </c>
      <c r="BA90" s="147">
        <v>0</v>
      </c>
      <c r="BB90" s="147">
        <v>0</v>
      </c>
      <c r="BC90" s="147">
        <v>0</v>
      </c>
      <c r="BD90" s="147">
        <v>0</v>
      </c>
      <c r="BE90" s="147">
        <v>0</v>
      </c>
      <c r="BF90" s="147">
        <v>0</v>
      </c>
      <c r="BG90" s="137">
        <v>0</v>
      </c>
      <c r="BH90" s="137">
        <v>0</v>
      </c>
      <c r="BI90" s="137">
        <v>0</v>
      </c>
      <c r="BJ90" s="137">
        <v>0</v>
      </c>
      <c r="BK90" s="137">
        <v>0</v>
      </c>
      <c r="BL90" s="137">
        <v>0</v>
      </c>
      <c r="BM90" s="137">
        <v>0</v>
      </c>
      <c r="BN90" s="137">
        <v>0</v>
      </c>
      <c r="BO90" s="137">
        <v>0</v>
      </c>
      <c r="BP90" s="137">
        <v>0</v>
      </c>
      <c r="BQ90" s="137">
        <v>0</v>
      </c>
      <c r="BR90" s="137">
        <v>0</v>
      </c>
      <c r="BS90" s="137">
        <v>0</v>
      </c>
      <c r="BT90" s="137">
        <v>0</v>
      </c>
    </row>
    <row r="91" spans="1:72" ht="15" hidden="1" customHeight="1" outlineLevel="1" x14ac:dyDescent="0.3">
      <c r="A91" t="s">
        <v>73</v>
      </c>
      <c r="B91" s="134" t="s">
        <v>267</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33066.720000000001</v>
      </c>
      <c r="Y91" s="136">
        <v>33066.720000000001</v>
      </c>
      <c r="Z91" s="136">
        <v>33066.720000000001</v>
      </c>
      <c r="AA91" s="136">
        <v>33066.720000000001</v>
      </c>
      <c r="AB91" s="136">
        <v>33066.720000000001</v>
      </c>
      <c r="AC91" s="136">
        <v>33066.720000000001</v>
      </c>
      <c r="AD91" s="136">
        <v>33066.720000000001</v>
      </c>
      <c r="AE91" s="136">
        <v>33066.720000000001</v>
      </c>
      <c r="AF91" s="136">
        <v>33066.720000000001</v>
      </c>
      <c r="AG91" s="136">
        <v>33066.720000000001</v>
      </c>
      <c r="AH91" s="136">
        <v>33066.720000000001</v>
      </c>
      <c r="AI91" s="136">
        <v>33066.720000000001</v>
      </c>
      <c r="AJ91" s="136">
        <v>33066.720000000001</v>
      </c>
      <c r="AK91" s="136">
        <v>33066.720000000001</v>
      </c>
      <c r="AL91" s="135">
        <v>0</v>
      </c>
      <c r="AM91" s="135">
        <v>0</v>
      </c>
      <c r="AN91" s="136">
        <v>0</v>
      </c>
      <c r="AO91" s="136">
        <v>0</v>
      </c>
      <c r="AP91" s="136">
        <v>0</v>
      </c>
      <c r="AQ91" s="136">
        <v>0</v>
      </c>
      <c r="AR91" s="136">
        <v>0</v>
      </c>
      <c r="AS91" s="136">
        <v>0</v>
      </c>
      <c r="AT91" s="136">
        <v>0</v>
      </c>
      <c r="AU91" s="136">
        <v>0</v>
      </c>
      <c r="AV91" s="147">
        <v>0</v>
      </c>
      <c r="AW91" s="147">
        <v>0</v>
      </c>
      <c r="AX91" s="147">
        <v>0</v>
      </c>
      <c r="AY91" s="147">
        <v>0</v>
      </c>
      <c r="AZ91" s="147">
        <v>0</v>
      </c>
      <c r="BA91" s="147">
        <v>0</v>
      </c>
      <c r="BB91" s="147">
        <v>0</v>
      </c>
      <c r="BC91" s="147">
        <v>0</v>
      </c>
      <c r="BD91" s="147">
        <v>0</v>
      </c>
      <c r="BE91" s="147">
        <v>0</v>
      </c>
      <c r="BF91" s="147">
        <v>0</v>
      </c>
      <c r="BG91" s="137">
        <v>0</v>
      </c>
      <c r="BH91" s="137">
        <v>0</v>
      </c>
      <c r="BI91" s="137">
        <v>0</v>
      </c>
      <c r="BJ91" s="137">
        <v>0</v>
      </c>
      <c r="BK91" s="137">
        <v>0</v>
      </c>
      <c r="BL91" s="137">
        <v>0</v>
      </c>
      <c r="BM91" s="137">
        <v>0</v>
      </c>
      <c r="BN91" s="137">
        <v>0</v>
      </c>
      <c r="BO91" s="137">
        <v>0</v>
      </c>
      <c r="BP91" s="137">
        <v>0</v>
      </c>
      <c r="BQ91" s="137">
        <v>0</v>
      </c>
      <c r="BR91" s="137">
        <v>0</v>
      </c>
      <c r="BS91" s="137">
        <v>0</v>
      </c>
      <c r="BT91" s="137">
        <v>0</v>
      </c>
    </row>
    <row r="92" spans="1:72" ht="15" hidden="1" customHeight="1" outlineLevel="1" x14ac:dyDescent="0.3">
      <c r="A92" t="s">
        <v>73</v>
      </c>
      <c r="B92" s="134" t="s">
        <v>268</v>
      </c>
      <c r="C92" s="135">
        <v>0</v>
      </c>
      <c r="D92" s="135">
        <v>0</v>
      </c>
      <c r="E92" s="135">
        <v>0</v>
      </c>
      <c r="F92" s="135">
        <v>0</v>
      </c>
      <c r="G92" s="135">
        <v>0</v>
      </c>
      <c r="H92" s="135">
        <v>0</v>
      </c>
      <c r="I92" s="135">
        <v>0</v>
      </c>
      <c r="J92" s="135">
        <v>0</v>
      </c>
      <c r="K92" s="135">
        <v>0</v>
      </c>
      <c r="L92" s="135">
        <v>0</v>
      </c>
      <c r="M92" s="135">
        <v>0</v>
      </c>
      <c r="N92" s="135">
        <v>0</v>
      </c>
      <c r="O92" s="135">
        <v>0</v>
      </c>
      <c r="P92" s="135">
        <v>0</v>
      </c>
      <c r="Q92" s="135">
        <v>0</v>
      </c>
      <c r="R92" s="135">
        <v>0</v>
      </c>
      <c r="S92" s="135">
        <v>0</v>
      </c>
      <c r="T92" s="135">
        <v>0</v>
      </c>
      <c r="U92" s="135">
        <v>0</v>
      </c>
      <c r="V92" s="135">
        <v>0</v>
      </c>
      <c r="W92" s="135">
        <v>0</v>
      </c>
      <c r="X92" s="135">
        <v>0</v>
      </c>
      <c r="Y92" s="135">
        <v>0</v>
      </c>
      <c r="Z92" s="136">
        <v>165671.36000000002</v>
      </c>
      <c r="AA92" s="136">
        <v>165671.36000000002</v>
      </c>
      <c r="AB92" s="136">
        <v>165671.36000000002</v>
      </c>
      <c r="AC92" s="136">
        <v>229372.81</v>
      </c>
      <c r="AD92" s="136">
        <v>229372.81</v>
      </c>
      <c r="AE92" s="136">
        <v>229372.81</v>
      </c>
      <c r="AF92" s="136">
        <v>229372.81</v>
      </c>
      <c r="AG92" s="136">
        <v>229372.81</v>
      </c>
      <c r="AH92" s="136">
        <v>229372.81</v>
      </c>
      <c r="AI92" s="136">
        <v>229372.81</v>
      </c>
      <c r="AJ92" s="136">
        <v>229372.81</v>
      </c>
      <c r="AK92" s="136">
        <v>229372.81</v>
      </c>
      <c r="AL92" s="136">
        <v>229372.81</v>
      </c>
      <c r="AM92" s="136">
        <v>229372.81</v>
      </c>
      <c r="AN92" s="136">
        <v>229372.81</v>
      </c>
      <c r="AO92" s="136">
        <v>0</v>
      </c>
      <c r="AP92" s="136">
        <v>0</v>
      </c>
      <c r="AQ92" s="136">
        <v>0</v>
      </c>
      <c r="AR92" s="136">
        <v>0</v>
      </c>
      <c r="AS92" s="136">
        <v>0</v>
      </c>
      <c r="AT92" s="136">
        <v>0</v>
      </c>
      <c r="AU92" s="136">
        <v>0</v>
      </c>
      <c r="AV92" s="147">
        <v>0</v>
      </c>
      <c r="AW92" s="147">
        <v>0</v>
      </c>
      <c r="AX92" s="147">
        <v>0</v>
      </c>
      <c r="AY92" s="147">
        <v>0</v>
      </c>
      <c r="AZ92" s="147">
        <v>0</v>
      </c>
      <c r="BA92" s="147">
        <v>0</v>
      </c>
      <c r="BB92" s="147">
        <v>0</v>
      </c>
      <c r="BC92" s="147">
        <v>0</v>
      </c>
      <c r="BD92" s="147">
        <v>0</v>
      </c>
      <c r="BE92" s="147">
        <v>0</v>
      </c>
      <c r="BF92" s="147">
        <v>0</v>
      </c>
      <c r="BG92" s="137">
        <v>0</v>
      </c>
      <c r="BH92" s="137">
        <v>0</v>
      </c>
      <c r="BI92" s="137">
        <v>0</v>
      </c>
      <c r="BJ92" s="137">
        <v>0</v>
      </c>
      <c r="BK92" s="137">
        <v>0</v>
      </c>
      <c r="BL92" s="137">
        <v>0</v>
      </c>
      <c r="BM92" s="137">
        <v>0</v>
      </c>
      <c r="BN92" s="137">
        <v>0</v>
      </c>
      <c r="BO92" s="137">
        <v>0</v>
      </c>
      <c r="BP92" s="137">
        <v>0</v>
      </c>
      <c r="BQ92" s="137">
        <v>0</v>
      </c>
      <c r="BR92" s="137">
        <v>0</v>
      </c>
      <c r="BS92" s="137">
        <v>0</v>
      </c>
      <c r="BT92" s="137">
        <v>0</v>
      </c>
    </row>
    <row r="93" spans="1:72" ht="15" hidden="1" customHeight="1" outlineLevel="1" x14ac:dyDescent="0.3">
      <c r="A93" t="s">
        <v>73</v>
      </c>
      <c r="B93" s="134" t="s">
        <v>265</v>
      </c>
      <c r="C93" s="135">
        <v>0</v>
      </c>
      <c r="D93" s="135">
        <v>0</v>
      </c>
      <c r="E93" s="135">
        <v>0</v>
      </c>
      <c r="F93" s="135">
        <v>0</v>
      </c>
      <c r="G93" s="135">
        <v>0</v>
      </c>
      <c r="H93" s="135">
        <v>0</v>
      </c>
      <c r="I93" s="135">
        <v>0</v>
      </c>
      <c r="J93" s="135">
        <v>0</v>
      </c>
      <c r="K93" s="135">
        <v>0</v>
      </c>
      <c r="L93" s="135">
        <v>0</v>
      </c>
      <c r="M93" s="135">
        <v>0</v>
      </c>
      <c r="N93" s="135">
        <v>0</v>
      </c>
      <c r="O93" s="135">
        <v>0</v>
      </c>
      <c r="P93" s="135">
        <v>0</v>
      </c>
      <c r="Q93" s="135">
        <v>0</v>
      </c>
      <c r="R93" s="135">
        <v>0</v>
      </c>
      <c r="S93" s="135">
        <v>0</v>
      </c>
      <c r="T93" s="135">
        <v>0</v>
      </c>
      <c r="U93" s="135">
        <v>0</v>
      </c>
      <c r="V93" s="135">
        <v>0</v>
      </c>
      <c r="W93" s="135">
        <v>0</v>
      </c>
      <c r="X93" s="136">
        <v>70030.53</v>
      </c>
      <c r="Y93" s="136">
        <v>70030.53</v>
      </c>
      <c r="Z93" s="136">
        <v>70030.53</v>
      </c>
      <c r="AA93" s="136">
        <v>70030.53</v>
      </c>
      <c r="AB93" s="136">
        <v>70030.53</v>
      </c>
      <c r="AC93" s="136">
        <v>70030.53</v>
      </c>
      <c r="AD93" s="136">
        <v>70030.53</v>
      </c>
      <c r="AE93" s="136">
        <v>70030.53</v>
      </c>
      <c r="AF93" s="136">
        <v>70030.53</v>
      </c>
      <c r="AG93" s="136">
        <v>70030.53</v>
      </c>
      <c r="AH93" s="136">
        <v>70030.53</v>
      </c>
      <c r="AI93" s="136">
        <v>70030.53</v>
      </c>
      <c r="AJ93" s="136">
        <v>70030.53</v>
      </c>
      <c r="AK93" s="136">
        <v>70030.53</v>
      </c>
      <c r="AL93" s="135">
        <v>0</v>
      </c>
      <c r="AM93" s="135">
        <v>0</v>
      </c>
      <c r="AN93" s="136">
        <v>0</v>
      </c>
      <c r="AO93" s="136">
        <v>0</v>
      </c>
      <c r="AP93" s="136">
        <v>0</v>
      </c>
      <c r="AQ93" s="136">
        <v>0</v>
      </c>
      <c r="AR93" s="136">
        <v>0</v>
      </c>
      <c r="AS93" s="136">
        <v>0</v>
      </c>
      <c r="AT93" s="136">
        <v>0</v>
      </c>
      <c r="AU93" s="136">
        <v>0</v>
      </c>
      <c r="AV93" s="147">
        <v>0</v>
      </c>
      <c r="AW93" s="147">
        <v>0</v>
      </c>
      <c r="AX93" s="147">
        <v>0</v>
      </c>
      <c r="AY93" s="147">
        <v>0</v>
      </c>
      <c r="AZ93" s="147">
        <v>0</v>
      </c>
      <c r="BA93" s="147">
        <v>0</v>
      </c>
      <c r="BB93" s="147">
        <v>0</v>
      </c>
      <c r="BC93" s="147">
        <v>0</v>
      </c>
      <c r="BD93" s="147">
        <v>0</v>
      </c>
      <c r="BE93" s="147">
        <v>0</v>
      </c>
      <c r="BF93" s="147">
        <v>0</v>
      </c>
      <c r="BG93" s="137">
        <v>0</v>
      </c>
      <c r="BH93" s="137">
        <v>0</v>
      </c>
      <c r="BI93" s="137">
        <v>0</v>
      </c>
      <c r="BJ93" s="137">
        <v>0</v>
      </c>
      <c r="BK93" s="137">
        <v>0</v>
      </c>
      <c r="BL93" s="137">
        <v>0</v>
      </c>
      <c r="BM93" s="137">
        <v>0</v>
      </c>
      <c r="BN93" s="137">
        <v>0</v>
      </c>
      <c r="BO93" s="137">
        <v>0</v>
      </c>
      <c r="BP93" s="137">
        <v>0</v>
      </c>
      <c r="BQ93" s="137">
        <v>0</v>
      </c>
      <c r="BR93" s="137">
        <v>0</v>
      </c>
      <c r="BS93" s="137">
        <v>0</v>
      </c>
      <c r="BT93" s="137">
        <v>0</v>
      </c>
    </row>
    <row r="94" spans="1:72" ht="15" hidden="1" customHeight="1" outlineLevel="1" x14ac:dyDescent="0.3">
      <c r="A94" t="s">
        <v>73</v>
      </c>
      <c r="B94" s="134" t="s">
        <v>269</v>
      </c>
      <c r="C94" s="135">
        <v>0</v>
      </c>
      <c r="D94" s="135">
        <v>0</v>
      </c>
      <c r="E94" s="135">
        <v>0</v>
      </c>
      <c r="F94" s="135">
        <v>0</v>
      </c>
      <c r="G94" s="135">
        <v>0</v>
      </c>
      <c r="H94" s="135">
        <v>0</v>
      </c>
      <c r="I94" s="135">
        <v>0</v>
      </c>
      <c r="J94" s="135">
        <v>0</v>
      </c>
      <c r="K94" s="135">
        <v>0</v>
      </c>
      <c r="L94" s="135">
        <v>0</v>
      </c>
      <c r="M94" s="135">
        <v>0</v>
      </c>
      <c r="N94" s="135">
        <v>0</v>
      </c>
      <c r="O94" s="135">
        <v>0</v>
      </c>
      <c r="P94" s="135">
        <v>0</v>
      </c>
      <c r="Q94" s="135">
        <v>0</v>
      </c>
      <c r="R94" s="135">
        <v>0</v>
      </c>
      <c r="S94" s="135">
        <v>0</v>
      </c>
      <c r="T94" s="135">
        <v>0</v>
      </c>
      <c r="U94" s="135">
        <v>0</v>
      </c>
      <c r="V94" s="135">
        <v>0</v>
      </c>
      <c r="W94" s="135">
        <v>0</v>
      </c>
      <c r="X94" s="135">
        <v>0</v>
      </c>
      <c r="Y94" s="135">
        <v>0</v>
      </c>
      <c r="Z94" s="135">
        <v>0</v>
      </c>
      <c r="AA94" s="135">
        <v>0</v>
      </c>
      <c r="AB94" s="135">
        <v>54453.350000000006</v>
      </c>
      <c r="AC94" s="135">
        <v>54453.350000000006</v>
      </c>
      <c r="AD94" s="135">
        <v>54453.350000000006</v>
      </c>
      <c r="AE94" s="135">
        <v>54453.350000000006</v>
      </c>
      <c r="AF94" s="135">
        <v>54453.350000000006</v>
      </c>
      <c r="AG94" s="135">
        <v>54453.350000000006</v>
      </c>
      <c r="AH94" s="135">
        <v>54453.350000000006</v>
      </c>
      <c r="AI94" s="135">
        <v>54453.350000000006</v>
      </c>
      <c r="AJ94" s="135">
        <v>54453.350000000006</v>
      </c>
      <c r="AK94" s="135">
        <v>54453.350000000006</v>
      </c>
      <c r="AL94" s="136">
        <v>54453.350000000006</v>
      </c>
      <c r="AM94" s="136">
        <v>54453.350000000006</v>
      </c>
      <c r="AN94" s="136">
        <v>54453.350000000006</v>
      </c>
      <c r="AO94" s="136">
        <v>0</v>
      </c>
      <c r="AP94" s="136">
        <v>0</v>
      </c>
      <c r="AQ94" s="136">
        <v>0</v>
      </c>
      <c r="AR94" s="136">
        <v>0</v>
      </c>
      <c r="AS94" s="136">
        <v>0</v>
      </c>
      <c r="AT94" s="136">
        <v>0</v>
      </c>
      <c r="AU94" s="136">
        <v>0</v>
      </c>
      <c r="AV94" s="147">
        <v>0</v>
      </c>
      <c r="AW94" s="147">
        <v>0</v>
      </c>
      <c r="AX94" s="147">
        <v>0</v>
      </c>
      <c r="AY94" s="147">
        <v>0</v>
      </c>
      <c r="AZ94" s="147">
        <v>0</v>
      </c>
      <c r="BA94" s="147">
        <v>0</v>
      </c>
      <c r="BB94" s="147">
        <v>0</v>
      </c>
      <c r="BC94" s="147">
        <v>0</v>
      </c>
      <c r="BD94" s="147">
        <v>0</v>
      </c>
      <c r="BE94" s="147">
        <v>0</v>
      </c>
      <c r="BF94" s="147">
        <v>0</v>
      </c>
      <c r="BG94" s="137">
        <v>0</v>
      </c>
      <c r="BH94" s="137">
        <v>0</v>
      </c>
      <c r="BI94" s="137">
        <v>0</v>
      </c>
      <c r="BJ94" s="137">
        <v>0</v>
      </c>
      <c r="BK94" s="137">
        <v>0</v>
      </c>
      <c r="BL94" s="137">
        <v>0</v>
      </c>
      <c r="BM94" s="137">
        <v>0</v>
      </c>
      <c r="BN94" s="137">
        <v>0</v>
      </c>
      <c r="BO94" s="137">
        <v>0</v>
      </c>
      <c r="BP94" s="137">
        <v>0</v>
      </c>
      <c r="BQ94" s="137">
        <v>0</v>
      </c>
      <c r="BR94" s="137">
        <v>0</v>
      </c>
      <c r="BS94" s="137">
        <v>0</v>
      </c>
      <c r="BT94" s="137">
        <v>0</v>
      </c>
    </row>
    <row r="95" spans="1:72" ht="15" hidden="1" customHeight="1" outlineLevel="1" x14ac:dyDescent="0.3">
      <c r="A95" t="s">
        <v>73</v>
      </c>
      <c r="B95" s="134" t="s">
        <v>270</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0</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114075.18</v>
      </c>
      <c r="AJ95" s="136">
        <v>114075.18</v>
      </c>
      <c r="AK95" s="136">
        <v>114075.18</v>
      </c>
      <c r="AL95" s="135">
        <v>0</v>
      </c>
      <c r="AM95" s="135">
        <v>0</v>
      </c>
      <c r="AN95" s="136">
        <v>0</v>
      </c>
      <c r="AO95" s="136">
        <v>0</v>
      </c>
      <c r="AP95" s="136">
        <v>0</v>
      </c>
      <c r="AQ95" s="136">
        <v>0</v>
      </c>
      <c r="AR95" s="136">
        <v>0</v>
      </c>
      <c r="AS95" s="136">
        <v>0</v>
      </c>
      <c r="AT95" s="136">
        <v>0</v>
      </c>
      <c r="AU95" s="136">
        <v>0</v>
      </c>
      <c r="AV95" s="147">
        <v>0</v>
      </c>
      <c r="AW95" s="147">
        <v>0</v>
      </c>
      <c r="AX95" s="147">
        <v>0</v>
      </c>
      <c r="AY95" s="147">
        <v>0</v>
      </c>
      <c r="AZ95" s="147">
        <v>0</v>
      </c>
      <c r="BA95" s="147">
        <v>0</v>
      </c>
      <c r="BB95" s="147">
        <v>0</v>
      </c>
      <c r="BC95" s="147">
        <v>0</v>
      </c>
      <c r="BD95" s="147">
        <v>0</v>
      </c>
      <c r="BE95" s="147">
        <v>0</v>
      </c>
      <c r="BF95" s="147">
        <v>0</v>
      </c>
      <c r="BG95" s="137">
        <v>0</v>
      </c>
      <c r="BH95" s="137">
        <v>0</v>
      </c>
      <c r="BI95" s="137">
        <v>0</v>
      </c>
      <c r="BJ95" s="137">
        <v>0</v>
      </c>
      <c r="BK95" s="137">
        <v>0</v>
      </c>
      <c r="BL95" s="137">
        <v>0</v>
      </c>
      <c r="BM95" s="137">
        <v>0</v>
      </c>
      <c r="BN95" s="137">
        <v>0</v>
      </c>
      <c r="BO95" s="137">
        <v>0</v>
      </c>
      <c r="BP95" s="137">
        <v>0</v>
      </c>
      <c r="BQ95" s="137">
        <v>0</v>
      </c>
      <c r="BR95" s="137">
        <v>0</v>
      </c>
      <c r="BS95" s="137">
        <v>0</v>
      </c>
      <c r="BT95" s="137">
        <v>0</v>
      </c>
    </row>
    <row r="96" spans="1:72" ht="15" hidden="1" customHeight="1" outlineLevel="1" x14ac:dyDescent="0.3">
      <c r="A96" t="s">
        <v>73</v>
      </c>
      <c r="B96" s="134" t="s">
        <v>271</v>
      </c>
      <c r="C96" s="136">
        <v>0</v>
      </c>
      <c r="D96" s="136">
        <v>0</v>
      </c>
      <c r="E96" s="136">
        <v>0</v>
      </c>
      <c r="F96" s="136">
        <v>0</v>
      </c>
      <c r="G96" s="136">
        <v>0</v>
      </c>
      <c r="H96" s="136">
        <v>0</v>
      </c>
      <c r="I96" s="136">
        <v>0</v>
      </c>
      <c r="J96" s="136">
        <v>0</v>
      </c>
      <c r="K96" s="136">
        <v>0</v>
      </c>
      <c r="L96" s="136">
        <v>0</v>
      </c>
      <c r="M96" s="136">
        <v>0</v>
      </c>
      <c r="N96" s="136">
        <v>0</v>
      </c>
      <c r="O96" s="136">
        <v>0</v>
      </c>
      <c r="P96" s="136">
        <v>0</v>
      </c>
      <c r="Q96" s="136">
        <v>0</v>
      </c>
      <c r="R96" s="136">
        <v>0</v>
      </c>
      <c r="S96" s="136">
        <v>0</v>
      </c>
      <c r="T96" s="136">
        <v>0</v>
      </c>
      <c r="U96" s="136">
        <v>0</v>
      </c>
      <c r="V96" s="136">
        <v>0</v>
      </c>
      <c r="W96" s="136">
        <v>0</v>
      </c>
      <c r="X96" s="136">
        <v>0</v>
      </c>
      <c r="Y96" s="136">
        <v>0</v>
      </c>
      <c r="Z96" s="136">
        <v>0</v>
      </c>
      <c r="AA96" s="136">
        <v>0</v>
      </c>
      <c r="AB96" s="136">
        <v>0</v>
      </c>
      <c r="AC96" s="136">
        <v>0</v>
      </c>
      <c r="AD96" s="136">
        <v>0</v>
      </c>
      <c r="AE96" s="136">
        <v>0</v>
      </c>
      <c r="AF96" s="136">
        <v>0</v>
      </c>
      <c r="AG96" s="136">
        <v>0</v>
      </c>
      <c r="AH96" s="136">
        <v>0</v>
      </c>
      <c r="AI96" s="136">
        <v>0</v>
      </c>
      <c r="AJ96" s="136">
        <v>61008</v>
      </c>
      <c r="AK96" s="136">
        <v>61008</v>
      </c>
      <c r="AL96" s="135">
        <v>0</v>
      </c>
      <c r="AM96" s="135">
        <v>0</v>
      </c>
      <c r="AN96" s="136">
        <v>0</v>
      </c>
      <c r="AO96" s="136">
        <v>0</v>
      </c>
      <c r="AP96" s="136">
        <v>0</v>
      </c>
      <c r="AQ96" s="136">
        <v>0</v>
      </c>
      <c r="AR96" s="136">
        <v>0</v>
      </c>
      <c r="AS96" s="136">
        <v>0</v>
      </c>
      <c r="AT96" s="136">
        <v>0</v>
      </c>
      <c r="AU96" s="136">
        <v>0</v>
      </c>
      <c r="AV96" s="147">
        <v>0</v>
      </c>
      <c r="AW96" s="147">
        <v>0</v>
      </c>
      <c r="AX96" s="147">
        <v>0</v>
      </c>
      <c r="AY96" s="147">
        <v>0</v>
      </c>
      <c r="AZ96" s="147">
        <v>0</v>
      </c>
      <c r="BA96" s="147">
        <v>0</v>
      </c>
      <c r="BB96" s="147">
        <v>0</v>
      </c>
      <c r="BC96" s="147">
        <v>0</v>
      </c>
      <c r="BD96" s="147">
        <v>0</v>
      </c>
      <c r="BE96" s="147">
        <v>0</v>
      </c>
      <c r="BF96" s="147">
        <v>0</v>
      </c>
      <c r="BG96" s="137">
        <v>0</v>
      </c>
      <c r="BH96" s="137">
        <v>0</v>
      </c>
      <c r="BI96" s="137">
        <v>0</v>
      </c>
      <c r="BJ96" s="137">
        <v>0</v>
      </c>
      <c r="BK96" s="137">
        <v>0</v>
      </c>
      <c r="BL96" s="137">
        <v>0</v>
      </c>
      <c r="BM96" s="137">
        <v>0</v>
      </c>
      <c r="BN96" s="137">
        <v>0</v>
      </c>
      <c r="BO96" s="137">
        <v>0</v>
      </c>
      <c r="BP96" s="137">
        <v>0</v>
      </c>
      <c r="BQ96" s="137">
        <v>0</v>
      </c>
      <c r="BR96" s="137">
        <v>0</v>
      </c>
      <c r="BS96" s="137">
        <v>0</v>
      </c>
      <c r="BT96" s="137">
        <v>0</v>
      </c>
    </row>
    <row r="97" spans="1:107 16122:16122" ht="15" hidden="1" customHeight="1" outlineLevel="1" x14ac:dyDescent="0.3">
      <c r="A97" t="s">
        <v>73</v>
      </c>
      <c r="B97" s="134" t="s">
        <v>272</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5">
        <v>99471</v>
      </c>
      <c r="AK97" s="135">
        <v>99471</v>
      </c>
      <c r="AL97" s="135">
        <v>0</v>
      </c>
      <c r="AM97" s="135">
        <v>0</v>
      </c>
      <c r="AN97" s="136">
        <v>0</v>
      </c>
      <c r="AO97" s="136">
        <v>0</v>
      </c>
      <c r="AP97" s="136">
        <v>0</v>
      </c>
      <c r="AQ97" s="136">
        <v>0</v>
      </c>
      <c r="AR97" s="136">
        <v>0</v>
      </c>
      <c r="AS97" s="136">
        <v>0</v>
      </c>
      <c r="AT97" s="136">
        <v>0</v>
      </c>
      <c r="AU97" s="136">
        <v>0</v>
      </c>
      <c r="AV97" s="147">
        <v>0</v>
      </c>
      <c r="AW97" s="147">
        <v>0</v>
      </c>
      <c r="AX97" s="147">
        <v>0</v>
      </c>
      <c r="AY97" s="147">
        <v>0</v>
      </c>
      <c r="AZ97" s="147">
        <v>0</v>
      </c>
      <c r="BA97" s="147">
        <v>0</v>
      </c>
      <c r="BB97" s="147">
        <v>0</v>
      </c>
      <c r="BC97" s="147">
        <v>0</v>
      </c>
      <c r="BD97" s="147">
        <v>0</v>
      </c>
      <c r="BE97" s="147">
        <v>0</v>
      </c>
      <c r="BF97" s="147">
        <v>0</v>
      </c>
      <c r="BG97" s="137">
        <v>0</v>
      </c>
      <c r="BH97" s="137">
        <v>0</v>
      </c>
      <c r="BI97" s="137">
        <v>0</v>
      </c>
      <c r="BJ97" s="137">
        <v>0</v>
      </c>
      <c r="BK97" s="137">
        <v>0</v>
      </c>
      <c r="BL97" s="137">
        <v>0</v>
      </c>
      <c r="BM97" s="137">
        <v>0</v>
      </c>
      <c r="BN97" s="137">
        <v>0</v>
      </c>
      <c r="BO97" s="137">
        <v>0</v>
      </c>
      <c r="BP97" s="137">
        <v>0</v>
      </c>
      <c r="BQ97" s="137">
        <v>0</v>
      </c>
      <c r="BR97" s="137">
        <v>0</v>
      </c>
      <c r="BS97" s="137">
        <v>0</v>
      </c>
      <c r="BT97" s="137">
        <v>0</v>
      </c>
    </row>
    <row r="98" spans="1:107 16122:16122" ht="15" customHeight="1" collapsed="1" thickBot="1" x14ac:dyDescent="0.35">
      <c r="A98" t="s">
        <v>73</v>
      </c>
      <c r="B98" s="148" t="str">
        <f>IF('Sumário | Summary'!P1=1,"Outros","Others")</f>
        <v>Outros</v>
      </c>
      <c r="C98" s="132">
        <f t="shared" ref="C98:BN98" si="28">SUM(C99:C99)</f>
        <v>0</v>
      </c>
      <c r="D98" s="132">
        <f t="shared" si="28"/>
        <v>0</v>
      </c>
      <c r="E98" s="132">
        <f t="shared" si="28"/>
        <v>0</v>
      </c>
      <c r="F98" s="132">
        <f t="shared" si="28"/>
        <v>0</v>
      </c>
      <c r="G98" s="132">
        <f t="shared" si="28"/>
        <v>0</v>
      </c>
      <c r="H98" s="132">
        <f t="shared" si="28"/>
        <v>0</v>
      </c>
      <c r="I98" s="132">
        <f t="shared" si="28"/>
        <v>0</v>
      </c>
      <c r="J98" s="132">
        <f t="shared" si="28"/>
        <v>0</v>
      </c>
      <c r="K98" s="132">
        <f t="shared" si="28"/>
        <v>0</v>
      </c>
      <c r="L98" s="132">
        <f t="shared" si="28"/>
        <v>0</v>
      </c>
      <c r="M98" s="132">
        <f t="shared" si="28"/>
        <v>0</v>
      </c>
      <c r="N98" s="132">
        <f t="shared" si="28"/>
        <v>0</v>
      </c>
      <c r="O98" s="132">
        <f t="shared" si="28"/>
        <v>0</v>
      </c>
      <c r="P98" s="132">
        <f t="shared" si="28"/>
        <v>0</v>
      </c>
      <c r="Q98" s="132">
        <f t="shared" si="28"/>
        <v>0</v>
      </c>
      <c r="R98" s="132">
        <f t="shared" si="28"/>
        <v>0</v>
      </c>
      <c r="S98" s="132">
        <f t="shared" si="28"/>
        <v>0</v>
      </c>
      <c r="T98" s="132">
        <f t="shared" si="28"/>
        <v>0</v>
      </c>
      <c r="U98" s="132">
        <f t="shared" si="28"/>
        <v>0</v>
      </c>
      <c r="V98" s="132">
        <f t="shared" si="28"/>
        <v>0</v>
      </c>
      <c r="W98" s="132">
        <f t="shared" si="28"/>
        <v>35947.5</v>
      </c>
      <c r="X98" s="132">
        <f t="shared" si="28"/>
        <v>35947.5</v>
      </c>
      <c r="Y98" s="132">
        <f t="shared" si="28"/>
        <v>35947.5</v>
      </c>
      <c r="Z98" s="132">
        <f t="shared" si="28"/>
        <v>35947.5</v>
      </c>
      <c r="AA98" s="132">
        <f t="shared" si="28"/>
        <v>35947.5</v>
      </c>
      <c r="AB98" s="132">
        <f t="shared" si="28"/>
        <v>34155</v>
      </c>
      <c r="AC98" s="132">
        <f t="shared" si="28"/>
        <v>34155</v>
      </c>
      <c r="AD98" s="132">
        <f t="shared" si="28"/>
        <v>34155</v>
      </c>
      <c r="AE98" s="132">
        <f t="shared" si="28"/>
        <v>34155</v>
      </c>
      <c r="AF98" s="132">
        <f t="shared" si="28"/>
        <v>34155</v>
      </c>
      <c r="AG98" s="132">
        <f t="shared" si="28"/>
        <v>34155</v>
      </c>
      <c r="AH98" s="132">
        <f t="shared" si="28"/>
        <v>34237.5</v>
      </c>
      <c r="AI98" s="132">
        <f t="shared" si="28"/>
        <v>34237.5</v>
      </c>
      <c r="AJ98" s="132">
        <f t="shared" si="28"/>
        <v>34237.5</v>
      </c>
      <c r="AK98" s="132">
        <f t="shared" si="28"/>
        <v>34237.5</v>
      </c>
      <c r="AL98" s="132">
        <f t="shared" si="28"/>
        <v>34285.5</v>
      </c>
      <c r="AM98" s="132">
        <f t="shared" si="28"/>
        <v>34404.149999999994</v>
      </c>
      <c r="AN98" s="132">
        <f t="shared" si="28"/>
        <v>34404.149999999994</v>
      </c>
      <c r="AO98" s="132">
        <f t="shared" si="28"/>
        <v>34404.149999999994</v>
      </c>
      <c r="AP98" s="132">
        <f t="shared" si="28"/>
        <v>34404.149999999994</v>
      </c>
      <c r="AQ98" s="132">
        <f t="shared" si="28"/>
        <v>34404.149999999994</v>
      </c>
      <c r="AR98" s="132">
        <f t="shared" si="28"/>
        <v>34383.360000000001</v>
      </c>
      <c r="AS98" s="132">
        <f t="shared" si="28"/>
        <v>34383.360000000001</v>
      </c>
      <c r="AT98" s="132">
        <f t="shared" si="28"/>
        <v>34383.360000000001</v>
      </c>
      <c r="AU98" s="132">
        <f t="shared" si="28"/>
        <v>34383</v>
      </c>
      <c r="AV98" s="132">
        <f t="shared" si="28"/>
        <v>34383</v>
      </c>
      <c r="AW98" s="132">
        <f t="shared" si="28"/>
        <v>34383</v>
      </c>
      <c r="AX98" s="132">
        <f t="shared" si="28"/>
        <v>34383</v>
      </c>
      <c r="AY98" s="132">
        <f t="shared" si="28"/>
        <v>34383</v>
      </c>
      <c r="AZ98" s="132">
        <f t="shared" si="28"/>
        <v>34383</v>
      </c>
      <c r="BA98" s="132">
        <f t="shared" si="28"/>
        <v>34383.360000000001</v>
      </c>
      <c r="BB98" s="132">
        <f t="shared" si="28"/>
        <v>34383</v>
      </c>
      <c r="BC98" s="132">
        <f t="shared" si="28"/>
        <v>34356.36</v>
      </c>
      <c r="BD98" s="132">
        <f t="shared" si="28"/>
        <v>34356.36</v>
      </c>
      <c r="BE98" s="132">
        <f t="shared" si="28"/>
        <v>34356.36</v>
      </c>
      <c r="BF98" s="132">
        <f t="shared" si="28"/>
        <v>34356.36</v>
      </c>
      <c r="BG98" s="132">
        <f t="shared" si="28"/>
        <v>34356.36</v>
      </c>
      <c r="BH98" s="132">
        <f t="shared" si="28"/>
        <v>34356.36</v>
      </c>
      <c r="BI98" s="132">
        <f t="shared" si="28"/>
        <v>34356.36</v>
      </c>
      <c r="BJ98" s="132">
        <f t="shared" si="28"/>
        <v>34356.36</v>
      </c>
      <c r="BK98" s="132">
        <f t="shared" si="28"/>
        <v>34356.36</v>
      </c>
      <c r="BL98" s="132">
        <f t="shared" si="28"/>
        <v>34357.86</v>
      </c>
      <c r="BM98" s="132">
        <f t="shared" si="28"/>
        <v>34356.375</v>
      </c>
      <c r="BN98" s="132">
        <f t="shared" si="28"/>
        <v>34356.375</v>
      </c>
      <c r="BO98" s="132">
        <f t="shared" ref="BO98" si="29">SUM(BO99:BO99)</f>
        <v>34356.375</v>
      </c>
      <c r="BP98" s="132">
        <v>34356.375</v>
      </c>
      <c r="BQ98" s="132">
        <v>34356.374999999993</v>
      </c>
      <c r="BR98" s="132">
        <v>34356.374999999993</v>
      </c>
      <c r="BS98" s="132">
        <v>34356.374999999993</v>
      </c>
      <c r="BT98" s="132">
        <f>SUM(BT99:BT99)</f>
        <v>34356.374999999993</v>
      </c>
    </row>
    <row r="99" spans="1:107 16122:16122" ht="15" hidden="1" outlineLevel="1" thickBot="1" x14ac:dyDescent="0.35">
      <c r="A99" t="s">
        <v>293</v>
      </c>
      <c r="B99" s="134" t="s">
        <v>274</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35947.5</v>
      </c>
      <c r="X99" s="136">
        <v>35947.5</v>
      </c>
      <c r="Y99" s="136">
        <v>35947.5</v>
      </c>
      <c r="Z99" s="136">
        <v>35947.5</v>
      </c>
      <c r="AA99" s="136">
        <v>35947.5</v>
      </c>
      <c r="AB99" s="136">
        <v>34155</v>
      </c>
      <c r="AC99" s="136">
        <v>34155</v>
      </c>
      <c r="AD99" s="136">
        <v>34155</v>
      </c>
      <c r="AE99" s="136">
        <v>34155</v>
      </c>
      <c r="AF99" s="136">
        <v>34155</v>
      </c>
      <c r="AG99" s="136">
        <v>34155</v>
      </c>
      <c r="AH99" s="136">
        <v>34237.5</v>
      </c>
      <c r="AI99" s="136">
        <v>34237.5</v>
      </c>
      <c r="AJ99" s="136">
        <v>34237.5</v>
      </c>
      <c r="AK99" s="136">
        <v>34237.5</v>
      </c>
      <c r="AL99" s="136">
        <v>34285.5</v>
      </c>
      <c r="AM99" s="136">
        <v>34404.149999999994</v>
      </c>
      <c r="AN99" s="136">
        <v>34404.149999999994</v>
      </c>
      <c r="AO99" s="136">
        <v>34404.149999999994</v>
      </c>
      <c r="AP99" s="136">
        <v>34404.149999999994</v>
      </c>
      <c r="AQ99" s="136">
        <v>34404.149999999994</v>
      </c>
      <c r="AR99" s="136">
        <v>34383.360000000001</v>
      </c>
      <c r="AS99" s="136">
        <v>34383.360000000001</v>
      </c>
      <c r="AT99" s="136">
        <v>34383.360000000001</v>
      </c>
      <c r="AU99" s="137">
        <v>34383</v>
      </c>
      <c r="AV99" s="136">
        <v>34383</v>
      </c>
      <c r="AW99" s="136">
        <v>34383</v>
      </c>
      <c r="AX99" s="136">
        <v>34383</v>
      </c>
      <c r="AY99" s="136">
        <v>34383</v>
      </c>
      <c r="AZ99" s="137">
        <v>34383</v>
      </c>
      <c r="BA99" s="136">
        <v>34383.360000000001</v>
      </c>
      <c r="BB99" s="136">
        <v>34383</v>
      </c>
      <c r="BC99" s="136">
        <v>34356.36</v>
      </c>
      <c r="BD99" s="136">
        <v>34356.36</v>
      </c>
      <c r="BE99" s="136">
        <v>34356.36</v>
      </c>
      <c r="BF99" s="136">
        <v>34356.36</v>
      </c>
      <c r="BG99" s="137">
        <v>34356.36</v>
      </c>
      <c r="BH99" s="137">
        <v>34356.36</v>
      </c>
      <c r="BI99" s="137">
        <v>34356.36</v>
      </c>
      <c r="BJ99" s="137">
        <v>34356.36</v>
      </c>
      <c r="BK99" s="137">
        <v>34356.36</v>
      </c>
      <c r="BL99" s="137">
        <v>34357.86</v>
      </c>
      <c r="BM99" s="137">
        <v>34356.375</v>
      </c>
      <c r="BN99" s="137">
        <v>34356.375</v>
      </c>
      <c r="BO99" s="137">
        <v>34356.375</v>
      </c>
      <c r="BP99" s="137">
        <v>34356.375</v>
      </c>
      <c r="BQ99" s="137">
        <v>34356.374999999993</v>
      </c>
      <c r="BR99" s="137">
        <v>34356.374999999993</v>
      </c>
      <c r="BS99" s="137">
        <v>34356.374999999993</v>
      </c>
      <c r="BT99" s="137">
        <v>34356.374999999993</v>
      </c>
    </row>
    <row r="100" spans="1:107 16122:16122" s="131" customFormat="1" ht="15" customHeight="1" collapsed="1" thickTop="1" thickBot="1" x14ac:dyDescent="0.35">
      <c r="B100" s="142" t="s">
        <v>275</v>
      </c>
      <c r="C100" s="143">
        <f t="shared" ref="C100:BN100" si="30">C55+C77+C86+C98</f>
        <v>181652.916</v>
      </c>
      <c r="D100" s="143">
        <f t="shared" si="30"/>
        <v>196679.47999999998</v>
      </c>
      <c r="E100" s="143">
        <f t="shared" si="30"/>
        <v>196679.47999999998</v>
      </c>
      <c r="F100" s="143">
        <f t="shared" si="30"/>
        <v>196679.47999999998</v>
      </c>
      <c r="G100" s="143">
        <f t="shared" si="30"/>
        <v>203985.47999999998</v>
      </c>
      <c r="H100" s="143">
        <f t="shared" si="30"/>
        <v>203730.47999999998</v>
      </c>
      <c r="I100" s="143">
        <f t="shared" si="30"/>
        <v>204027.47999999998</v>
      </c>
      <c r="J100" s="143">
        <f t="shared" si="30"/>
        <v>206943.47999999998</v>
      </c>
      <c r="K100" s="143">
        <f t="shared" si="30"/>
        <v>205144.47999999998</v>
      </c>
      <c r="L100" s="143">
        <f t="shared" si="30"/>
        <v>202429.47999999998</v>
      </c>
      <c r="M100" s="143">
        <f t="shared" si="30"/>
        <v>203276.47999999998</v>
      </c>
      <c r="N100" s="143">
        <f t="shared" si="30"/>
        <v>203276.47999999998</v>
      </c>
      <c r="O100" s="143">
        <f t="shared" si="30"/>
        <v>203276.47999999998</v>
      </c>
      <c r="P100" s="143">
        <f t="shared" si="30"/>
        <v>201510.47999999998</v>
      </c>
      <c r="Q100" s="143">
        <f t="shared" si="30"/>
        <v>257107.47999999998</v>
      </c>
      <c r="R100" s="143">
        <f t="shared" si="30"/>
        <v>288734.48</v>
      </c>
      <c r="S100" s="143">
        <f t="shared" si="30"/>
        <v>316577.75</v>
      </c>
      <c r="T100" s="143">
        <f t="shared" si="30"/>
        <v>381839.75</v>
      </c>
      <c r="U100" s="143">
        <f t="shared" si="30"/>
        <v>381839.75</v>
      </c>
      <c r="V100" s="143">
        <f t="shared" si="30"/>
        <v>396373.75</v>
      </c>
      <c r="W100" s="143">
        <f t="shared" si="30"/>
        <v>508296.85</v>
      </c>
      <c r="X100" s="143">
        <f t="shared" si="30"/>
        <v>606882.15000000014</v>
      </c>
      <c r="Y100" s="143">
        <f t="shared" si="30"/>
        <v>617767.2803000001</v>
      </c>
      <c r="Z100" s="143">
        <f t="shared" si="30"/>
        <v>862773.64030000009</v>
      </c>
      <c r="AA100" s="143">
        <f t="shared" si="30"/>
        <v>862773.64030000009</v>
      </c>
      <c r="AB100" s="143">
        <f t="shared" si="30"/>
        <v>915434.49030000006</v>
      </c>
      <c r="AC100" s="143">
        <f t="shared" si="30"/>
        <v>998937.50975216192</v>
      </c>
      <c r="AD100" s="143">
        <f t="shared" si="30"/>
        <v>998936.56872078276</v>
      </c>
      <c r="AE100" s="143">
        <f t="shared" si="30"/>
        <v>998936.56872078276</v>
      </c>
      <c r="AF100" s="143">
        <f t="shared" si="30"/>
        <v>1014192.4106597448</v>
      </c>
      <c r="AG100" s="143">
        <f t="shared" si="30"/>
        <v>1014191.7257510447</v>
      </c>
      <c r="AH100" s="143">
        <f t="shared" si="30"/>
        <v>1013421.2257510448</v>
      </c>
      <c r="AI100" s="143">
        <f t="shared" si="30"/>
        <v>1108435.695340313</v>
      </c>
      <c r="AJ100" s="143">
        <f t="shared" si="30"/>
        <v>1295705.9506310783</v>
      </c>
      <c r="AK100" s="143">
        <f t="shared" si="30"/>
        <v>1282736.084274905</v>
      </c>
      <c r="AL100" s="143">
        <f t="shared" si="30"/>
        <v>637994.33907705452</v>
      </c>
      <c r="AM100" s="143">
        <f t="shared" si="30"/>
        <v>636063.33580271131</v>
      </c>
      <c r="AN100" s="143">
        <f t="shared" si="30"/>
        <v>652439.35600000003</v>
      </c>
      <c r="AO100" s="143">
        <f t="shared" si="30"/>
        <v>354728.30599999998</v>
      </c>
      <c r="AP100" s="143">
        <f t="shared" si="30"/>
        <v>356279.50787099998</v>
      </c>
      <c r="AQ100" s="143">
        <f t="shared" si="30"/>
        <v>354918.24507099995</v>
      </c>
      <c r="AR100" s="143">
        <f t="shared" si="30"/>
        <v>342294.32489199995</v>
      </c>
      <c r="AS100" s="143">
        <f t="shared" si="30"/>
        <v>342322.14550699998</v>
      </c>
      <c r="AT100" s="143">
        <f t="shared" si="30"/>
        <v>343163.58550699998</v>
      </c>
      <c r="AU100" s="143">
        <f t="shared" si="30"/>
        <v>410822.78600000002</v>
      </c>
      <c r="AV100" s="143">
        <f t="shared" si="30"/>
        <v>354589.87653333333</v>
      </c>
      <c r="AW100" s="143">
        <f t="shared" si="30"/>
        <v>401877.60319999995</v>
      </c>
      <c r="AX100" s="143">
        <f t="shared" si="30"/>
        <v>431254.91599999997</v>
      </c>
      <c r="AY100" s="143">
        <f t="shared" si="30"/>
        <v>431297.02797433332</v>
      </c>
      <c r="AZ100" s="143">
        <f t="shared" si="30"/>
        <v>432929.01464099996</v>
      </c>
      <c r="BA100" s="143">
        <f t="shared" si="30"/>
        <v>431375.84797433333</v>
      </c>
      <c r="BB100" s="143">
        <f t="shared" si="30"/>
        <v>433523.73940266669</v>
      </c>
      <c r="BC100" s="143">
        <f t="shared" si="30"/>
        <v>433311.98273599998</v>
      </c>
      <c r="BD100" s="143">
        <f t="shared" si="30"/>
        <v>431976.72993599996</v>
      </c>
      <c r="BE100" s="143">
        <f t="shared" si="30"/>
        <v>431442.60914837418</v>
      </c>
      <c r="BF100" s="143">
        <f t="shared" si="30"/>
        <v>325469.62392104079</v>
      </c>
      <c r="BG100" s="143">
        <f t="shared" si="30"/>
        <v>327097.48053404078</v>
      </c>
      <c r="BH100" s="143">
        <f t="shared" si="30"/>
        <v>327102.60053404083</v>
      </c>
      <c r="BI100" s="143">
        <f t="shared" si="30"/>
        <v>327134.0517443741</v>
      </c>
      <c r="BJ100" s="143">
        <f t="shared" si="30"/>
        <v>300289.92040404084</v>
      </c>
      <c r="BK100" s="143">
        <f t="shared" si="30"/>
        <v>300386.52697837411</v>
      </c>
      <c r="BL100" s="143">
        <f t="shared" si="30"/>
        <v>300540.04207837413</v>
      </c>
      <c r="BM100" s="143">
        <f t="shared" si="30"/>
        <v>300663.60954637412</v>
      </c>
      <c r="BN100" s="143">
        <f t="shared" si="30"/>
        <v>335496.11670037417</v>
      </c>
      <c r="BO100" s="143">
        <f t="shared" ref="BO100" si="31">BO55+BO77+BO86+BO98</f>
        <v>326695.89636437414</v>
      </c>
      <c r="BP100" s="143">
        <v>260913.77414037415</v>
      </c>
      <c r="BQ100" s="143">
        <v>261145.65250410908</v>
      </c>
      <c r="BR100" s="143">
        <v>226080.41610404087</v>
      </c>
      <c r="BS100" s="143">
        <v>218749.58159137415</v>
      </c>
      <c r="BT100" s="143">
        <f>BT55+BT77+BT86+BT98</f>
        <v>242428.12737237418</v>
      </c>
      <c r="WVB100" s="143"/>
    </row>
    <row r="101" spans="1:107 16122:16122" x14ac:dyDescent="0.3">
      <c r="B101" s="149" t="str">
        <f>IF('Sumário | Summary'!P1=1,"¹ Área total das SPEs (Sociedades de Propósito Específico) e Fundos, por meio dos quais a SYN possui participação nos imóveis. Para identificar quais os casos são considerados na consolidação IFRS, verificar aba 'Consolidação IFRS' ","¹ Total area of the SPEs (Special Purpose Entities) and Funds, through which SYN holds stakes in real estate. To identify which cases are considered in IFRS consolidation, check the 'IFRS Consolidation' tab.")</f>
        <v xml:space="preserve">¹ Área total das SPEs (Sociedades de Propósito Específico) e Fundos, por meio dos quais a SYN possui participação nos imóveis. Para identificar quais os casos são considerados na consolidação IFRS, verificar aba 'Consolidação IFRS' </v>
      </c>
      <c r="BF101" s="145">
        <f>BF55+BF98</f>
        <v>122371.24921237414</v>
      </c>
      <c r="BJ101" s="145">
        <f>BJ55+BJ98</f>
        <v>123960.29921237416</v>
      </c>
    </row>
    <row r="102" spans="1:107 16122:16122" s="7" customFormat="1" ht="18.75" customHeight="1" x14ac:dyDescent="0.3">
      <c r="B102" s="129" t="str">
        <f>IF('Sumário | Summary'!P1=1,"Participação SYN na SPE (%)","SYN's Stake in SPE (%)")</f>
        <v>Participação SYN na SPE (%)</v>
      </c>
      <c r="C102" s="130" t="str">
        <f t="shared" ref="C102:BM102" si="32">C6</f>
        <v>1T08</v>
      </c>
      <c r="D102" s="130" t="str">
        <f t="shared" si="32"/>
        <v>2T08</v>
      </c>
      <c r="E102" s="130" t="str">
        <f t="shared" si="32"/>
        <v>3T08</v>
      </c>
      <c r="F102" s="130" t="str">
        <f t="shared" si="32"/>
        <v>4T08</v>
      </c>
      <c r="G102" s="130" t="str">
        <f t="shared" si="32"/>
        <v>1T09</v>
      </c>
      <c r="H102" s="130" t="str">
        <f t="shared" si="32"/>
        <v>2T09</v>
      </c>
      <c r="I102" s="130" t="str">
        <f t="shared" si="32"/>
        <v>3T09</v>
      </c>
      <c r="J102" s="130" t="str">
        <f t="shared" si="32"/>
        <v>4T09</v>
      </c>
      <c r="K102" s="130" t="str">
        <f t="shared" si="32"/>
        <v>1T10</v>
      </c>
      <c r="L102" s="130" t="str">
        <f t="shared" si="32"/>
        <v>2T10</v>
      </c>
      <c r="M102" s="130" t="str">
        <f t="shared" si="32"/>
        <v>3T10</v>
      </c>
      <c r="N102" s="130" t="str">
        <f t="shared" si="32"/>
        <v>4T10</v>
      </c>
      <c r="O102" s="130" t="str">
        <f t="shared" si="32"/>
        <v>1T11</v>
      </c>
      <c r="P102" s="130" t="str">
        <f t="shared" si="32"/>
        <v>2T11</v>
      </c>
      <c r="Q102" s="130" t="str">
        <f t="shared" si="32"/>
        <v>3T11</v>
      </c>
      <c r="R102" s="130" t="str">
        <f t="shared" si="32"/>
        <v>4T11</v>
      </c>
      <c r="S102" s="130" t="str">
        <f t="shared" si="32"/>
        <v>1T12</v>
      </c>
      <c r="T102" s="130" t="str">
        <f t="shared" si="32"/>
        <v>2T12</v>
      </c>
      <c r="U102" s="130" t="str">
        <f t="shared" si="32"/>
        <v>3T12</v>
      </c>
      <c r="V102" s="130" t="str">
        <f t="shared" si="32"/>
        <v>4T12</v>
      </c>
      <c r="W102" s="130" t="str">
        <f t="shared" si="32"/>
        <v>1T13</v>
      </c>
      <c r="X102" s="130" t="str">
        <f t="shared" si="32"/>
        <v>2T13</v>
      </c>
      <c r="Y102" s="130" t="str">
        <f t="shared" si="32"/>
        <v>3T13</v>
      </c>
      <c r="Z102" s="130" t="str">
        <f t="shared" si="32"/>
        <v>4T13</v>
      </c>
      <c r="AA102" s="130" t="str">
        <f t="shared" si="32"/>
        <v>1T14</v>
      </c>
      <c r="AB102" s="130" t="str">
        <f t="shared" si="32"/>
        <v>2T14</v>
      </c>
      <c r="AC102" s="130" t="str">
        <f t="shared" si="32"/>
        <v>3T14</v>
      </c>
      <c r="AD102" s="130" t="str">
        <f t="shared" si="32"/>
        <v>4T14</v>
      </c>
      <c r="AE102" s="130" t="str">
        <f t="shared" si="32"/>
        <v>1T15</v>
      </c>
      <c r="AF102" s="130" t="str">
        <f t="shared" si="32"/>
        <v>2T15</v>
      </c>
      <c r="AG102" s="130" t="str">
        <f t="shared" si="32"/>
        <v>3T15</v>
      </c>
      <c r="AH102" s="130" t="str">
        <f t="shared" si="32"/>
        <v>4T15</v>
      </c>
      <c r="AI102" s="130" t="str">
        <f t="shared" si="32"/>
        <v>1T16</v>
      </c>
      <c r="AJ102" s="130" t="str">
        <f t="shared" si="32"/>
        <v>2T16</v>
      </c>
      <c r="AK102" s="130" t="str">
        <f t="shared" si="32"/>
        <v>3T16</v>
      </c>
      <c r="AL102" s="130" t="str">
        <f t="shared" si="32"/>
        <v>4T16</v>
      </c>
      <c r="AM102" s="130" t="str">
        <f t="shared" si="32"/>
        <v>1T17</v>
      </c>
      <c r="AN102" s="130" t="str">
        <f t="shared" si="32"/>
        <v>2T17</v>
      </c>
      <c r="AO102" s="130" t="str">
        <f t="shared" si="32"/>
        <v>3T17</v>
      </c>
      <c r="AP102" s="130" t="str">
        <f t="shared" si="32"/>
        <v>4T17</v>
      </c>
      <c r="AQ102" s="130" t="str">
        <f t="shared" si="32"/>
        <v>1T18</v>
      </c>
      <c r="AR102" s="130" t="str">
        <f t="shared" si="32"/>
        <v>2T18</v>
      </c>
      <c r="AS102" s="130" t="str">
        <f t="shared" si="32"/>
        <v>3T18</v>
      </c>
      <c r="AT102" s="130" t="str">
        <f t="shared" si="32"/>
        <v>4T18</v>
      </c>
      <c r="AU102" s="130" t="str">
        <f t="shared" si="32"/>
        <v>1T19</v>
      </c>
      <c r="AV102" s="130" t="str">
        <f t="shared" si="32"/>
        <v>2T19</v>
      </c>
      <c r="AW102" s="130" t="str">
        <f t="shared" si="32"/>
        <v>3T19</v>
      </c>
      <c r="AX102" s="130" t="str">
        <f t="shared" si="32"/>
        <v>4T19</v>
      </c>
      <c r="AY102" s="130" t="str">
        <f t="shared" si="32"/>
        <v>1T20</v>
      </c>
      <c r="AZ102" s="130" t="str">
        <f t="shared" si="32"/>
        <v>2T20</v>
      </c>
      <c r="BA102" s="130" t="str">
        <f t="shared" si="32"/>
        <v>3T20</v>
      </c>
      <c r="BB102" s="130" t="str">
        <f t="shared" si="32"/>
        <v>4T20</v>
      </c>
      <c r="BC102" s="130" t="str">
        <f t="shared" si="32"/>
        <v>1T21</v>
      </c>
      <c r="BD102" s="130" t="str">
        <f t="shared" si="32"/>
        <v>2T21</v>
      </c>
      <c r="BE102" s="130" t="str">
        <f t="shared" si="32"/>
        <v>3T21</v>
      </c>
      <c r="BF102" s="130" t="str">
        <f t="shared" si="32"/>
        <v>4T21</v>
      </c>
      <c r="BG102" s="130" t="str">
        <f t="shared" si="32"/>
        <v>1T22</v>
      </c>
      <c r="BH102" s="130" t="str">
        <f t="shared" si="32"/>
        <v>2T22</v>
      </c>
      <c r="BI102" s="130" t="str">
        <f t="shared" si="32"/>
        <v>3T22</v>
      </c>
      <c r="BJ102" s="130" t="str">
        <f t="shared" si="32"/>
        <v>4T22</v>
      </c>
      <c r="BK102" s="130" t="str">
        <f t="shared" si="32"/>
        <v>1T23</v>
      </c>
      <c r="BL102" s="130" t="str">
        <f t="shared" si="32"/>
        <v>2T23</v>
      </c>
      <c r="BM102" s="130" t="str">
        <f t="shared" si="32"/>
        <v>3T23</v>
      </c>
      <c r="BN102" s="130" t="s">
        <v>50</v>
      </c>
      <c r="BO102" s="130" t="s">
        <v>52</v>
      </c>
      <c r="BP102" s="130" t="s">
        <v>53</v>
      </c>
      <c r="BQ102" s="130" t="s">
        <v>54</v>
      </c>
      <c r="BR102" s="130" t="s">
        <v>55</v>
      </c>
      <c r="BS102" s="130" t="s">
        <v>56</v>
      </c>
      <c r="BT102" s="130" t="str">
        <f t="shared" ref="BT102" si="33">BT6</f>
        <v>2T25</v>
      </c>
    </row>
    <row r="103" spans="1:107 16122:16122" s="150" customFormat="1" ht="15" customHeight="1" x14ac:dyDescent="0.3">
      <c r="B103" s="151" t="str">
        <f>IF('Sumário | Summary'!P1=1,"Escritórios","Offices")</f>
        <v>Escritórios</v>
      </c>
      <c r="C103" s="152">
        <f t="shared" ref="C103:BN106" si="34">IFERROR(C151/C55,"-")</f>
        <v>0.93116489434453198</v>
      </c>
      <c r="D103" s="152">
        <f t="shared" si="34"/>
        <v>0.94241844844791267</v>
      </c>
      <c r="E103" s="152">
        <f t="shared" si="34"/>
        <v>0.94241844844791267</v>
      </c>
      <c r="F103" s="152">
        <f t="shared" si="34"/>
        <v>0.94241844844791267</v>
      </c>
      <c r="G103" s="152">
        <f t="shared" si="34"/>
        <v>0.9466584438322897</v>
      </c>
      <c r="H103" s="152">
        <f t="shared" si="34"/>
        <v>0.94652099982377547</v>
      </c>
      <c r="I103" s="152">
        <f t="shared" si="34"/>
        <v>0.94652099982377547</v>
      </c>
      <c r="J103" s="152">
        <f t="shared" si="34"/>
        <v>0.94610109167966483</v>
      </c>
      <c r="K103" s="152">
        <f t="shared" si="34"/>
        <v>0.94509518371560908</v>
      </c>
      <c r="L103" s="152">
        <f t="shared" si="34"/>
        <v>0.94350394600150045</v>
      </c>
      <c r="M103" s="152">
        <f t="shared" si="34"/>
        <v>0.94350394600150045</v>
      </c>
      <c r="N103" s="152">
        <f t="shared" si="34"/>
        <v>0.94350394600150045</v>
      </c>
      <c r="O103" s="152">
        <f t="shared" si="34"/>
        <v>0.94350394600150045</v>
      </c>
      <c r="P103" s="152">
        <f t="shared" si="34"/>
        <v>0.94241844844791267</v>
      </c>
      <c r="Q103" s="152">
        <f t="shared" si="34"/>
        <v>0.94241844844791267</v>
      </c>
      <c r="R103" s="152">
        <f t="shared" si="34"/>
        <v>0.94241844844791267</v>
      </c>
      <c r="S103" s="152">
        <f t="shared" si="34"/>
        <v>0.94241844844791267</v>
      </c>
      <c r="T103" s="152">
        <f t="shared" si="34"/>
        <v>0.94241844844791267</v>
      </c>
      <c r="U103" s="152">
        <f t="shared" si="34"/>
        <v>0.94241844844791267</v>
      </c>
      <c r="V103" s="152">
        <f t="shared" si="34"/>
        <v>0.94241844844791267</v>
      </c>
      <c r="W103" s="152">
        <f t="shared" si="34"/>
        <v>0.94241844844791267</v>
      </c>
      <c r="X103" s="152">
        <f t="shared" si="34"/>
        <v>0.94241847977162052</v>
      </c>
      <c r="Y103" s="152">
        <f t="shared" si="34"/>
        <v>0.86909958940258081</v>
      </c>
      <c r="Z103" s="152">
        <f t="shared" si="34"/>
        <v>0.86909958940258081</v>
      </c>
      <c r="AA103" s="152">
        <f t="shared" si="34"/>
        <v>0.86909958940258081</v>
      </c>
      <c r="AB103" s="152">
        <f t="shared" si="34"/>
        <v>0.86909958940258081</v>
      </c>
      <c r="AC103" s="152">
        <f t="shared" si="34"/>
        <v>0.8895214174099707</v>
      </c>
      <c r="AD103" s="152">
        <f t="shared" si="34"/>
        <v>0.88952137205796367</v>
      </c>
      <c r="AE103" s="152">
        <f t="shared" si="34"/>
        <v>0.88952137205796367</v>
      </c>
      <c r="AF103" s="152">
        <f t="shared" si="34"/>
        <v>0.88688041815307972</v>
      </c>
      <c r="AG103" s="152">
        <f t="shared" si="34"/>
        <v>0.88687640429036119</v>
      </c>
      <c r="AH103" s="152">
        <f t="shared" si="34"/>
        <v>0.88687640429036119</v>
      </c>
      <c r="AI103" s="152">
        <f t="shared" si="34"/>
        <v>0.86537552285871788</v>
      </c>
      <c r="AJ103" s="152">
        <f t="shared" si="34"/>
        <v>0.86537552285871788</v>
      </c>
      <c r="AK103" s="152">
        <f t="shared" si="34"/>
        <v>0.86537555977656355</v>
      </c>
      <c r="AL103" s="152">
        <f t="shared" si="34"/>
        <v>0.96787138860915289</v>
      </c>
      <c r="AM103" s="152">
        <f t="shared" si="34"/>
        <v>0.98533683314663667</v>
      </c>
      <c r="AN103" s="152">
        <f t="shared" si="34"/>
        <v>0.97241204760477762</v>
      </c>
      <c r="AO103" s="152">
        <f t="shared" si="34"/>
        <v>0.69446887926685497</v>
      </c>
      <c r="AP103" s="152">
        <f t="shared" si="34"/>
        <v>0.69447531992884814</v>
      </c>
      <c r="AQ103" s="152">
        <f t="shared" si="34"/>
        <v>0.69447531992884814</v>
      </c>
      <c r="AR103" s="152">
        <f t="shared" si="34"/>
        <v>0.69447531992884814</v>
      </c>
      <c r="AS103" s="152">
        <f t="shared" si="34"/>
        <v>0.69447531992884814</v>
      </c>
      <c r="AT103" s="152">
        <f t="shared" si="34"/>
        <v>0.69293639413063923</v>
      </c>
      <c r="AU103" s="152">
        <f t="shared" si="34"/>
        <v>0.62942570506067352</v>
      </c>
      <c r="AV103" s="152">
        <f t="shared" si="34"/>
        <v>0.72236426136776855</v>
      </c>
      <c r="AW103" s="152">
        <f t="shared" si="34"/>
        <v>0.66548816054874127</v>
      </c>
      <c r="AX103" s="152">
        <f t="shared" si="34"/>
        <v>0.59361644741158992</v>
      </c>
      <c r="AY103" s="152">
        <f t="shared" si="34"/>
        <v>0.59361644741158992</v>
      </c>
      <c r="AZ103" s="152">
        <f t="shared" si="34"/>
        <v>0.59298450146817616</v>
      </c>
      <c r="BA103" s="152">
        <f t="shared" si="34"/>
        <v>0.59224154853173538</v>
      </c>
      <c r="BB103" s="152">
        <f t="shared" si="34"/>
        <v>0.59078881622128987</v>
      </c>
      <c r="BC103" s="152">
        <f t="shared" si="34"/>
        <v>0.59078859037948706</v>
      </c>
      <c r="BD103" s="152">
        <f t="shared" si="34"/>
        <v>0.59078859037948706</v>
      </c>
      <c r="BE103" s="152">
        <f t="shared" si="34"/>
        <v>0.59078934380350345</v>
      </c>
      <c r="BF103" s="152">
        <f t="shared" si="34"/>
        <v>0.51743946975632138</v>
      </c>
      <c r="BG103" s="152">
        <f t="shared" si="34"/>
        <v>0.51358232969897932</v>
      </c>
      <c r="BH103" s="152">
        <f t="shared" si="34"/>
        <v>0.5135837777805764</v>
      </c>
      <c r="BI103" s="152">
        <f t="shared" si="34"/>
        <v>0.5135837777805764</v>
      </c>
      <c r="BJ103" s="152">
        <f t="shared" si="34"/>
        <v>0.5135837777805764</v>
      </c>
      <c r="BK103" s="152">
        <f t="shared" si="34"/>
        <v>0.5135837777805764</v>
      </c>
      <c r="BL103" s="152">
        <f t="shared" si="34"/>
        <v>0.5135837777805764</v>
      </c>
      <c r="BM103" s="152">
        <f t="shared" si="34"/>
        <v>0.51358289504899668</v>
      </c>
      <c r="BN103" s="152">
        <f t="shared" si="34"/>
        <v>0.50675348511244511</v>
      </c>
      <c r="BO103" s="152">
        <f t="shared" ref="BO103:BO105" si="35">IFERROR(BO151/BO55,"-")</f>
        <v>0.50675348511244511</v>
      </c>
      <c r="BP103" s="152">
        <v>0.43332947817164452</v>
      </c>
      <c r="BQ103" s="152">
        <v>0.43333011952811035</v>
      </c>
      <c r="BR103" s="152">
        <v>0.43265947779453784</v>
      </c>
      <c r="BS103" s="152">
        <v>0.44352861871033661</v>
      </c>
      <c r="BT103" s="152">
        <f t="shared" ref="BT103:BT147" si="36">IFERROR(BT151/BT55,"-")</f>
        <v>0.43780500290617375</v>
      </c>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c r="CP103" s="153"/>
      <c r="CQ103" s="153"/>
      <c r="CR103" s="153"/>
      <c r="CS103" s="153"/>
      <c r="CT103" s="153"/>
      <c r="CU103" s="153"/>
      <c r="CV103" s="153"/>
      <c r="CW103" s="153"/>
      <c r="CX103" s="153"/>
      <c r="CY103" s="153"/>
      <c r="CZ103" s="153"/>
      <c r="DA103" s="153"/>
      <c r="DB103" s="153"/>
      <c r="DC103" s="153"/>
    </row>
    <row r="104" spans="1:107 16122:16122" s="131" customFormat="1" ht="15" customHeight="1" x14ac:dyDescent="0.3">
      <c r="B104" s="133" t="str">
        <f>IF('Sumário | Summary'!P1=1,"Escritórios AAA","Triple A Offices")</f>
        <v>Escritórios AAA</v>
      </c>
      <c r="C104" s="152">
        <f t="shared" si="34"/>
        <v>1</v>
      </c>
      <c r="D104" s="152">
        <f t="shared" si="34"/>
        <v>1</v>
      </c>
      <c r="E104" s="152">
        <f t="shared" si="34"/>
        <v>1</v>
      </c>
      <c r="F104" s="152">
        <f t="shared" si="34"/>
        <v>1</v>
      </c>
      <c r="G104" s="152">
        <f t="shared" si="34"/>
        <v>1</v>
      </c>
      <c r="H104" s="152">
        <f t="shared" si="34"/>
        <v>1</v>
      </c>
      <c r="I104" s="152">
        <f t="shared" si="34"/>
        <v>1</v>
      </c>
      <c r="J104" s="152">
        <f t="shared" si="34"/>
        <v>1</v>
      </c>
      <c r="K104" s="152">
        <f t="shared" si="34"/>
        <v>1</v>
      </c>
      <c r="L104" s="152">
        <f t="shared" si="34"/>
        <v>1</v>
      </c>
      <c r="M104" s="152">
        <f t="shared" si="34"/>
        <v>1</v>
      </c>
      <c r="N104" s="152">
        <f t="shared" si="34"/>
        <v>1</v>
      </c>
      <c r="O104" s="152">
        <f t="shared" si="34"/>
        <v>1</v>
      </c>
      <c r="P104" s="152">
        <f t="shared" si="34"/>
        <v>1</v>
      </c>
      <c r="Q104" s="152">
        <f t="shared" si="34"/>
        <v>1</v>
      </c>
      <c r="R104" s="152">
        <f t="shared" si="34"/>
        <v>1</v>
      </c>
      <c r="S104" s="152">
        <f t="shared" si="34"/>
        <v>1</v>
      </c>
      <c r="T104" s="152">
        <f t="shared" si="34"/>
        <v>1</v>
      </c>
      <c r="U104" s="152">
        <f t="shared" si="34"/>
        <v>1</v>
      </c>
      <c r="V104" s="152">
        <f t="shared" si="34"/>
        <v>1</v>
      </c>
      <c r="W104" s="152">
        <f t="shared" si="34"/>
        <v>1</v>
      </c>
      <c r="X104" s="152">
        <f t="shared" si="34"/>
        <v>1</v>
      </c>
      <c r="Y104" s="152">
        <f t="shared" si="34"/>
        <v>0.86698925913706515</v>
      </c>
      <c r="Z104" s="152">
        <f t="shared" si="34"/>
        <v>0.86698925913706515</v>
      </c>
      <c r="AA104" s="152">
        <f t="shared" si="34"/>
        <v>0.86698925913706515</v>
      </c>
      <c r="AB104" s="152">
        <f t="shared" si="34"/>
        <v>0.86698925913706515</v>
      </c>
      <c r="AC104" s="152">
        <f t="shared" si="34"/>
        <v>0.89843370881091511</v>
      </c>
      <c r="AD104" s="152">
        <f t="shared" si="34"/>
        <v>0.89843370881091511</v>
      </c>
      <c r="AE104" s="152">
        <f t="shared" si="34"/>
        <v>0.89843370881091511</v>
      </c>
      <c r="AF104" s="152">
        <f t="shared" si="34"/>
        <v>0.89843370881091511</v>
      </c>
      <c r="AG104" s="152">
        <f t="shared" si="34"/>
        <v>0.89842839769966931</v>
      </c>
      <c r="AH104" s="152">
        <f t="shared" si="34"/>
        <v>0.89842839769966931</v>
      </c>
      <c r="AI104" s="152">
        <f t="shared" si="34"/>
        <v>0.86698925913706515</v>
      </c>
      <c r="AJ104" s="152">
        <f t="shared" si="34"/>
        <v>0.86698925913706515</v>
      </c>
      <c r="AK104" s="152">
        <f t="shared" si="34"/>
        <v>0.86698984566882953</v>
      </c>
      <c r="AL104" s="152">
        <f t="shared" si="34"/>
        <v>0.86698984566882953</v>
      </c>
      <c r="AM104" s="152">
        <f t="shared" si="34"/>
        <v>0.88995880590818466</v>
      </c>
      <c r="AN104" s="152">
        <f t="shared" si="34"/>
        <v>0.89269277153074544</v>
      </c>
      <c r="AO104" s="152">
        <f t="shared" si="34"/>
        <v>0.63549230372819121</v>
      </c>
      <c r="AP104" s="152">
        <f t="shared" si="34"/>
        <v>0.63549939759097895</v>
      </c>
      <c r="AQ104" s="152">
        <f t="shared" si="34"/>
        <v>0.63549939759097895</v>
      </c>
      <c r="AR104" s="152">
        <f t="shared" si="34"/>
        <v>0.63549939759097895</v>
      </c>
      <c r="AS104" s="152">
        <f t="shared" si="34"/>
        <v>0.63549939759097895</v>
      </c>
      <c r="AT104" s="152">
        <f t="shared" si="34"/>
        <v>0.63403538164074424</v>
      </c>
      <c r="AU104" s="152">
        <f t="shared" si="34"/>
        <v>0.63403538164074424</v>
      </c>
      <c r="AV104" s="152">
        <f t="shared" si="34"/>
        <v>0.63403538164074424</v>
      </c>
      <c r="AW104" s="152">
        <f t="shared" si="34"/>
        <v>0.63403538164074424</v>
      </c>
      <c r="AX104" s="152">
        <f t="shared" si="34"/>
        <v>0.53968625370185774</v>
      </c>
      <c r="AY104" s="152">
        <f t="shared" si="34"/>
        <v>0.53968625370185774</v>
      </c>
      <c r="AZ104" s="152">
        <f t="shared" si="34"/>
        <v>0.53957840691225556</v>
      </c>
      <c r="BA104" s="152">
        <f t="shared" si="34"/>
        <v>0.53772523555251883</v>
      </c>
      <c r="BB104" s="152">
        <f t="shared" si="34"/>
        <v>0.53659215108173364</v>
      </c>
      <c r="BC104" s="152">
        <f t="shared" si="34"/>
        <v>0.53659215108173364</v>
      </c>
      <c r="BD104" s="152">
        <f t="shared" si="34"/>
        <v>0.53659215108173364</v>
      </c>
      <c r="BE104" s="152">
        <f t="shared" si="34"/>
        <v>0.53659310992903519</v>
      </c>
      <c r="BF104" s="152">
        <f t="shared" si="34"/>
        <v>0.28665236484598988</v>
      </c>
      <c r="BG104" s="152">
        <f t="shared" si="34"/>
        <v>0.28715307011363322</v>
      </c>
      <c r="BH104" s="152">
        <f t="shared" si="34"/>
        <v>0.28715342088151358</v>
      </c>
      <c r="BI104" s="152">
        <f t="shared" si="34"/>
        <v>0.28715342088151358</v>
      </c>
      <c r="BJ104" s="152">
        <f t="shared" si="34"/>
        <v>0.28715342088151358</v>
      </c>
      <c r="BK104" s="152">
        <f t="shared" si="34"/>
        <v>0.28715342088151358</v>
      </c>
      <c r="BL104" s="152">
        <f t="shared" si="34"/>
        <v>0.28715342088151358</v>
      </c>
      <c r="BM104" s="152">
        <f t="shared" si="34"/>
        <v>0.28715315783530448</v>
      </c>
      <c r="BN104" s="152">
        <f t="shared" si="34"/>
        <v>0.28715315783530448</v>
      </c>
      <c r="BO104" s="152">
        <f t="shared" si="35"/>
        <v>0.28715315783530448</v>
      </c>
      <c r="BP104" s="152">
        <v>0.13854052649408666</v>
      </c>
      <c r="BQ104" s="152">
        <v>0.13853973726449442</v>
      </c>
      <c r="BR104" s="152">
        <v>0.13838311622439617</v>
      </c>
      <c r="BS104" s="152">
        <v>0.13838311622439617</v>
      </c>
      <c r="BT104" s="152">
        <f t="shared" si="36"/>
        <v>0.13797672777648495</v>
      </c>
    </row>
    <row r="105" spans="1:107 16122:16122" s="157" customFormat="1" ht="15" hidden="1" customHeight="1" outlineLevel="1" x14ac:dyDescent="0.3">
      <c r="A105" t="s">
        <v>73</v>
      </c>
      <c r="B105" s="154" t="s">
        <v>217</v>
      </c>
      <c r="C105" s="155">
        <f t="shared" si="34"/>
        <v>1</v>
      </c>
      <c r="D105" s="155">
        <f t="shared" si="34"/>
        <v>1</v>
      </c>
      <c r="E105" s="155">
        <f t="shared" si="34"/>
        <v>1</v>
      </c>
      <c r="F105" s="155">
        <f t="shared" si="34"/>
        <v>1</v>
      </c>
      <c r="G105" s="155">
        <f t="shared" si="34"/>
        <v>1</v>
      </c>
      <c r="H105" s="155">
        <f t="shared" si="34"/>
        <v>1</v>
      </c>
      <c r="I105" s="155">
        <f t="shared" si="34"/>
        <v>1</v>
      </c>
      <c r="J105" s="155">
        <f t="shared" si="34"/>
        <v>1</v>
      </c>
      <c r="K105" s="155">
        <f t="shared" si="34"/>
        <v>1</v>
      </c>
      <c r="L105" s="155">
        <f t="shared" si="34"/>
        <v>1</v>
      </c>
      <c r="M105" s="155">
        <f t="shared" si="34"/>
        <v>1</v>
      </c>
      <c r="N105" s="155">
        <f t="shared" si="34"/>
        <v>1</v>
      </c>
      <c r="O105" s="155">
        <f t="shared" si="34"/>
        <v>1</v>
      </c>
      <c r="P105" s="155">
        <f t="shared" si="34"/>
        <v>1</v>
      </c>
      <c r="Q105" s="155">
        <f t="shared" si="34"/>
        <v>1</v>
      </c>
      <c r="R105" s="155">
        <f t="shared" si="34"/>
        <v>1</v>
      </c>
      <c r="S105" s="155">
        <f t="shared" si="34"/>
        <v>1</v>
      </c>
      <c r="T105" s="155">
        <f t="shared" si="34"/>
        <v>1</v>
      </c>
      <c r="U105" s="155">
        <f t="shared" si="34"/>
        <v>1</v>
      </c>
      <c r="V105" s="155">
        <f t="shared" si="34"/>
        <v>1</v>
      </c>
      <c r="W105" s="155">
        <f t="shared" si="34"/>
        <v>1</v>
      </c>
      <c r="X105" s="155">
        <f t="shared" si="34"/>
        <v>1</v>
      </c>
      <c r="Y105" s="155">
        <f t="shared" si="34"/>
        <v>1</v>
      </c>
      <c r="Z105" s="155">
        <f t="shared" si="34"/>
        <v>1</v>
      </c>
      <c r="AA105" s="155">
        <f t="shared" si="34"/>
        <v>1</v>
      </c>
      <c r="AB105" s="155">
        <f t="shared" si="34"/>
        <v>1</v>
      </c>
      <c r="AC105" s="155">
        <f t="shared" si="34"/>
        <v>1</v>
      </c>
      <c r="AD105" s="155">
        <f t="shared" si="34"/>
        <v>1</v>
      </c>
      <c r="AE105" s="155">
        <f t="shared" si="34"/>
        <v>1</v>
      </c>
      <c r="AF105" s="155">
        <f t="shared" si="34"/>
        <v>1</v>
      </c>
      <c r="AG105" s="155">
        <f t="shared" si="34"/>
        <v>1</v>
      </c>
      <c r="AH105" s="155">
        <f t="shared" si="34"/>
        <v>1</v>
      </c>
      <c r="AI105" s="155">
        <f t="shared" si="34"/>
        <v>1</v>
      </c>
      <c r="AJ105" s="155">
        <f t="shared" si="34"/>
        <v>1</v>
      </c>
      <c r="AK105" s="155">
        <f t="shared" si="34"/>
        <v>1</v>
      </c>
      <c r="AL105" s="155">
        <f t="shared" si="34"/>
        <v>1</v>
      </c>
      <c r="AM105" s="155">
        <f t="shared" si="34"/>
        <v>1</v>
      </c>
      <c r="AN105" s="155">
        <f t="shared" si="34"/>
        <v>1</v>
      </c>
      <c r="AO105" s="155">
        <f t="shared" si="34"/>
        <v>0.66559204782053871</v>
      </c>
      <c r="AP105" s="155">
        <f t="shared" si="34"/>
        <v>0.66569999999999996</v>
      </c>
      <c r="AQ105" s="155">
        <f t="shared" si="34"/>
        <v>0.66569999999999996</v>
      </c>
      <c r="AR105" s="155">
        <f t="shared" si="34"/>
        <v>0.66569999999999996</v>
      </c>
      <c r="AS105" s="155">
        <f t="shared" si="34"/>
        <v>0.66569999999999996</v>
      </c>
      <c r="AT105" s="155">
        <f t="shared" si="34"/>
        <v>0.66569999999999996</v>
      </c>
      <c r="AU105" s="155">
        <f t="shared" si="34"/>
        <v>0.66569999999999996</v>
      </c>
      <c r="AV105" s="155">
        <f t="shared" si="34"/>
        <v>0.66569999999999996</v>
      </c>
      <c r="AW105" s="155">
        <f t="shared" si="34"/>
        <v>0.66569999999999996</v>
      </c>
      <c r="AX105" s="155">
        <f t="shared" si="34"/>
        <v>0.66569999999999996</v>
      </c>
      <c r="AY105" s="155">
        <f t="shared" si="34"/>
        <v>0.66569999999999996</v>
      </c>
      <c r="AZ105" s="155">
        <f t="shared" si="34"/>
        <v>0.66569999999999996</v>
      </c>
      <c r="BA105" s="155">
        <f t="shared" si="34"/>
        <v>0.66569999999999996</v>
      </c>
      <c r="BB105" s="155">
        <f t="shared" si="34"/>
        <v>0.66569999999999996</v>
      </c>
      <c r="BC105" s="155">
        <f t="shared" si="34"/>
        <v>0.66569999999999996</v>
      </c>
      <c r="BD105" s="155">
        <f t="shared" si="34"/>
        <v>0.66569999999999996</v>
      </c>
      <c r="BE105" s="155">
        <f t="shared" si="34"/>
        <v>0.66569999999999996</v>
      </c>
      <c r="BF105" s="155" t="str">
        <f t="shared" si="34"/>
        <v>-</v>
      </c>
      <c r="BG105" s="155" t="str">
        <f t="shared" si="34"/>
        <v>-</v>
      </c>
      <c r="BH105" s="155" t="str">
        <f t="shared" si="34"/>
        <v>-</v>
      </c>
      <c r="BI105" s="155" t="str">
        <f t="shared" si="34"/>
        <v>-</v>
      </c>
      <c r="BJ105" s="155" t="str">
        <f t="shared" si="34"/>
        <v>-</v>
      </c>
      <c r="BK105" s="155" t="str">
        <f t="shared" si="34"/>
        <v>-</v>
      </c>
      <c r="BL105" s="155" t="str">
        <f t="shared" si="34"/>
        <v>-</v>
      </c>
      <c r="BM105" s="155" t="str">
        <f t="shared" si="34"/>
        <v>-</v>
      </c>
      <c r="BN105" s="155" t="str">
        <f t="shared" si="34"/>
        <v>-</v>
      </c>
      <c r="BO105" s="155" t="str">
        <f t="shared" si="35"/>
        <v>-</v>
      </c>
      <c r="BP105" s="155" t="s">
        <v>73</v>
      </c>
      <c r="BQ105" s="155" t="s">
        <v>73</v>
      </c>
      <c r="BR105" s="155" t="s">
        <v>73</v>
      </c>
      <c r="BS105" s="155" t="s">
        <v>73</v>
      </c>
      <c r="BT105" s="155" t="str">
        <f t="shared" si="36"/>
        <v>-</v>
      </c>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row>
    <row r="106" spans="1:107 16122:16122" s="157" customFormat="1" ht="15" hidden="1" customHeight="1" outlineLevel="1" x14ac:dyDescent="0.3">
      <c r="A106" t="s">
        <v>73</v>
      </c>
      <c r="B106" s="154" t="s">
        <v>218</v>
      </c>
      <c r="C106" s="155">
        <f t="shared" si="34"/>
        <v>1</v>
      </c>
      <c r="D106" s="155">
        <f t="shared" si="34"/>
        <v>1</v>
      </c>
      <c r="E106" s="155">
        <f t="shared" si="34"/>
        <v>1</v>
      </c>
      <c r="F106" s="155">
        <f t="shared" si="34"/>
        <v>1</v>
      </c>
      <c r="G106" s="155">
        <f t="shared" si="34"/>
        <v>1</v>
      </c>
      <c r="H106" s="155">
        <f t="shared" si="34"/>
        <v>1</v>
      </c>
      <c r="I106" s="155">
        <f t="shared" si="34"/>
        <v>1</v>
      </c>
      <c r="J106" s="155">
        <f t="shared" si="34"/>
        <v>1</v>
      </c>
      <c r="K106" s="155">
        <f t="shared" si="34"/>
        <v>1</v>
      </c>
      <c r="L106" s="155">
        <f t="shared" si="34"/>
        <v>1</v>
      </c>
      <c r="M106" s="155">
        <f t="shared" si="34"/>
        <v>1</v>
      </c>
      <c r="N106" s="155">
        <f t="shared" si="34"/>
        <v>1</v>
      </c>
      <c r="O106" s="155">
        <f t="shared" si="34"/>
        <v>1</v>
      </c>
      <c r="P106" s="155">
        <f t="shared" si="34"/>
        <v>1</v>
      </c>
      <c r="Q106" s="155">
        <f t="shared" si="34"/>
        <v>1</v>
      </c>
      <c r="R106" s="155">
        <f t="shared" si="34"/>
        <v>1</v>
      </c>
      <c r="S106" s="155">
        <f t="shared" si="34"/>
        <v>1</v>
      </c>
      <c r="T106" s="155">
        <f t="shared" si="34"/>
        <v>1</v>
      </c>
      <c r="U106" s="155">
        <f t="shared" si="34"/>
        <v>1</v>
      </c>
      <c r="V106" s="155">
        <f t="shared" si="34"/>
        <v>1</v>
      </c>
      <c r="W106" s="155">
        <f t="shared" si="34"/>
        <v>1</v>
      </c>
      <c r="X106" s="155">
        <f t="shared" si="34"/>
        <v>1</v>
      </c>
      <c r="Y106" s="155">
        <f t="shared" si="34"/>
        <v>1</v>
      </c>
      <c r="Z106" s="155">
        <f t="shared" si="34"/>
        <v>1</v>
      </c>
      <c r="AA106" s="155">
        <f t="shared" si="34"/>
        <v>1</v>
      </c>
      <c r="AB106" s="155">
        <f t="shared" si="34"/>
        <v>1</v>
      </c>
      <c r="AC106" s="155">
        <f t="shared" si="34"/>
        <v>1</v>
      </c>
      <c r="AD106" s="155">
        <f t="shared" si="34"/>
        <v>1</v>
      </c>
      <c r="AE106" s="155">
        <f t="shared" si="34"/>
        <v>1</v>
      </c>
      <c r="AF106" s="155">
        <f t="shared" si="34"/>
        <v>1</v>
      </c>
      <c r="AG106" s="155">
        <f t="shared" si="34"/>
        <v>1</v>
      </c>
      <c r="AH106" s="155">
        <f t="shared" si="34"/>
        <v>1</v>
      </c>
      <c r="AI106" s="155">
        <f t="shared" si="34"/>
        <v>1</v>
      </c>
      <c r="AJ106" s="155">
        <f t="shared" si="34"/>
        <v>1</v>
      </c>
      <c r="AK106" s="155">
        <f t="shared" si="34"/>
        <v>1</v>
      </c>
      <c r="AL106" s="155">
        <f t="shared" si="34"/>
        <v>1</v>
      </c>
      <c r="AM106" s="155">
        <f t="shared" si="34"/>
        <v>2</v>
      </c>
      <c r="AN106" s="155">
        <f t="shared" si="34"/>
        <v>0.99985481906036366</v>
      </c>
      <c r="AO106" s="155">
        <f t="shared" si="34"/>
        <v>0.66593865789689632</v>
      </c>
      <c r="AP106" s="155">
        <f t="shared" si="34"/>
        <v>0.66569999999999996</v>
      </c>
      <c r="AQ106" s="155">
        <f t="shared" si="34"/>
        <v>0.66569999999999996</v>
      </c>
      <c r="AR106" s="155">
        <f t="shared" si="34"/>
        <v>0.66569999999999996</v>
      </c>
      <c r="AS106" s="155">
        <f t="shared" si="34"/>
        <v>0.66569999999999996</v>
      </c>
      <c r="AT106" s="155">
        <f t="shared" si="34"/>
        <v>0.66569999999999996</v>
      </c>
      <c r="AU106" s="155">
        <f t="shared" si="34"/>
        <v>0.66569999999999996</v>
      </c>
      <c r="AV106" s="155">
        <f t="shared" si="34"/>
        <v>0.66569999999999996</v>
      </c>
      <c r="AW106" s="155">
        <f t="shared" si="34"/>
        <v>0.66569999999999996</v>
      </c>
      <c r="AX106" s="155">
        <f t="shared" si="34"/>
        <v>0.66569999999999996</v>
      </c>
      <c r="AY106" s="155">
        <f t="shared" si="34"/>
        <v>0.66569999999999996</v>
      </c>
      <c r="AZ106" s="155">
        <f t="shared" si="34"/>
        <v>0.66569999999999996</v>
      </c>
      <c r="BA106" s="155" t="str">
        <f t="shared" si="34"/>
        <v>-</v>
      </c>
      <c r="BB106" s="155" t="str">
        <f t="shared" si="34"/>
        <v>-</v>
      </c>
      <c r="BC106" s="155" t="str">
        <f t="shared" si="34"/>
        <v>-</v>
      </c>
      <c r="BD106" s="155" t="str">
        <f t="shared" si="34"/>
        <v>-</v>
      </c>
      <c r="BE106" s="155" t="str">
        <f t="shared" si="34"/>
        <v>-</v>
      </c>
      <c r="BF106" s="155" t="str">
        <f t="shared" si="34"/>
        <v>-</v>
      </c>
      <c r="BG106" s="155" t="str">
        <f t="shared" si="34"/>
        <v>-</v>
      </c>
      <c r="BH106" s="155" t="str">
        <f t="shared" si="34"/>
        <v>-</v>
      </c>
      <c r="BI106" s="155" t="str">
        <f t="shared" si="34"/>
        <v>-</v>
      </c>
      <c r="BJ106" s="155" t="str">
        <f t="shared" si="34"/>
        <v>-</v>
      </c>
      <c r="BK106" s="155" t="str">
        <f t="shared" si="34"/>
        <v>-</v>
      </c>
      <c r="BL106" s="155" t="str">
        <f t="shared" si="34"/>
        <v>-</v>
      </c>
      <c r="BM106" s="155" t="str">
        <f t="shared" si="34"/>
        <v>-</v>
      </c>
      <c r="BN106" s="155" t="str">
        <f t="shared" ref="BN106:BO109" si="37">IFERROR(BN154/BN58,"-")</f>
        <v>-</v>
      </c>
      <c r="BO106" s="155" t="str">
        <f t="shared" si="37"/>
        <v>-</v>
      </c>
      <c r="BP106" s="155" t="s">
        <v>73</v>
      </c>
      <c r="BQ106" s="155" t="s">
        <v>73</v>
      </c>
      <c r="BR106" s="155" t="s">
        <v>73</v>
      </c>
      <c r="BS106" s="155" t="s">
        <v>73</v>
      </c>
      <c r="BT106" s="155" t="str">
        <f t="shared" si="36"/>
        <v>-</v>
      </c>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row>
    <row r="107" spans="1:107 16122:16122" s="157" customFormat="1" ht="15" hidden="1" customHeight="1" outlineLevel="1" x14ac:dyDescent="0.3">
      <c r="A107" t="s">
        <v>73</v>
      </c>
      <c r="B107" s="154" t="s">
        <v>219</v>
      </c>
      <c r="C107" s="155">
        <f t="shared" ref="C107:BN110" si="38">IFERROR(C155/C59,"-")</f>
        <v>1</v>
      </c>
      <c r="D107" s="155">
        <f t="shared" si="38"/>
        <v>1</v>
      </c>
      <c r="E107" s="155">
        <f t="shared" si="38"/>
        <v>1</v>
      </c>
      <c r="F107" s="155">
        <f t="shared" si="38"/>
        <v>1</v>
      </c>
      <c r="G107" s="155">
        <f t="shared" si="38"/>
        <v>1</v>
      </c>
      <c r="H107" s="155">
        <f t="shared" si="38"/>
        <v>1</v>
      </c>
      <c r="I107" s="155">
        <f t="shared" si="38"/>
        <v>1</v>
      </c>
      <c r="J107" s="155">
        <f t="shared" si="38"/>
        <v>1</v>
      </c>
      <c r="K107" s="155">
        <f t="shared" si="38"/>
        <v>1</v>
      </c>
      <c r="L107" s="155">
        <f t="shared" si="38"/>
        <v>1</v>
      </c>
      <c r="M107" s="155">
        <f t="shared" si="38"/>
        <v>1</v>
      </c>
      <c r="N107" s="155">
        <f t="shared" si="38"/>
        <v>1</v>
      </c>
      <c r="O107" s="155">
        <f t="shared" si="38"/>
        <v>1</v>
      </c>
      <c r="P107" s="155">
        <f t="shared" si="38"/>
        <v>1</v>
      </c>
      <c r="Q107" s="155">
        <f t="shared" si="38"/>
        <v>1</v>
      </c>
      <c r="R107" s="155">
        <f t="shared" si="38"/>
        <v>1</v>
      </c>
      <c r="S107" s="155">
        <f t="shared" si="38"/>
        <v>1</v>
      </c>
      <c r="T107" s="155">
        <f t="shared" si="38"/>
        <v>1</v>
      </c>
      <c r="U107" s="155">
        <f t="shared" si="38"/>
        <v>1</v>
      </c>
      <c r="V107" s="155">
        <f t="shared" si="38"/>
        <v>1</v>
      </c>
      <c r="W107" s="155">
        <f t="shared" si="38"/>
        <v>1</v>
      </c>
      <c r="X107" s="155">
        <f t="shared" si="38"/>
        <v>1</v>
      </c>
      <c r="Y107" s="155">
        <f t="shared" si="38"/>
        <v>1</v>
      </c>
      <c r="Z107" s="155">
        <f t="shared" si="38"/>
        <v>1</v>
      </c>
      <c r="AA107" s="155">
        <f t="shared" si="38"/>
        <v>1</v>
      </c>
      <c r="AB107" s="155">
        <f t="shared" si="38"/>
        <v>1</v>
      </c>
      <c r="AC107" s="155">
        <f t="shared" si="38"/>
        <v>1</v>
      </c>
      <c r="AD107" s="155">
        <f t="shared" si="38"/>
        <v>1</v>
      </c>
      <c r="AE107" s="155">
        <f t="shared" si="38"/>
        <v>1</v>
      </c>
      <c r="AF107" s="155">
        <f t="shared" si="38"/>
        <v>1</v>
      </c>
      <c r="AG107" s="155">
        <f t="shared" si="38"/>
        <v>1</v>
      </c>
      <c r="AH107" s="155">
        <f t="shared" si="38"/>
        <v>1</v>
      </c>
      <c r="AI107" s="155">
        <f t="shared" si="38"/>
        <v>1</v>
      </c>
      <c r="AJ107" s="155">
        <f t="shared" si="38"/>
        <v>1</v>
      </c>
      <c r="AK107" s="155">
        <f t="shared" si="38"/>
        <v>1</v>
      </c>
      <c r="AL107" s="155">
        <f t="shared" si="38"/>
        <v>1</v>
      </c>
      <c r="AM107" s="155">
        <f t="shared" si="38"/>
        <v>1</v>
      </c>
      <c r="AN107" s="155">
        <f t="shared" si="38"/>
        <v>1</v>
      </c>
      <c r="AO107" s="155">
        <f t="shared" si="38"/>
        <v>0.66568264814673239</v>
      </c>
      <c r="AP107" s="155">
        <f t="shared" si="38"/>
        <v>0.66569999999999996</v>
      </c>
      <c r="AQ107" s="155">
        <f t="shared" si="38"/>
        <v>0.66569999999999996</v>
      </c>
      <c r="AR107" s="155">
        <f t="shared" si="38"/>
        <v>0.66569999999999996</v>
      </c>
      <c r="AS107" s="155">
        <f t="shared" si="38"/>
        <v>0.66569999999999996</v>
      </c>
      <c r="AT107" s="155">
        <f t="shared" si="38"/>
        <v>0.66569999999999996</v>
      </c>
      <c r="AU107" s="155">
        <f t="shared" si="38"/>
        <v>0.66569999999999996</v>
      </c>
      <c r="AV107" s="155">
        <f t="shared" si="38"/>
        <v>0.66569999999999996</v>
      </c>
      <c r="AW107" s="155">
        <f t="shared" si="38"/>
        <v>0.66569999999999996</v>
      </c>
      <c r="AX107" s="155">
        <f t="shared" si="38"/>
        <v>0.65478020566871542</v>
      </c>
      <c r="AY107" s="155">
        <f t="shared" si="38"/>
        <v>0.65478020566871542</v>
      </c>
      <c r="AZ107" s="155">
        <f t="shared" si="38"/>
        <v>0.64549214605544858</v>
      </c>
      <c r="BA107" s="155">
        <f t="shared" si="38"/>
        <v>0.64549214605544858</v>
      </c>
      <c r="BB107" s="155">
        <f t="shared" si="38"/>
        <v>0.63130163468105971</v>
      </c>
      <c r="BC107" s="155">
        <f t="shared" si="38"/>
        <v>0.63130163468105971</v>
      </c>
      <c r="BD107" s="155">
        <f t="shared" si="38"/>
        <v>0.6313016346810596</v>
      </c>
      <c r="BE107" s="155">
        <f t="shared" si="38"/>
        <v>0.6313016346810596</v>
      </c>
      <c r="BF107" s="155" t="str">
        <f t="shared" si="38"/>
        <v>-</v>
      </c>
      <c r="BG107" s="155" t="str">
        <f t="shared" si="38"/>
        <v>-</v>
      </c>
      <c r="BH107" s="155" t="str">
        <f t="shared" si="38"/>
        <v>-</v>
      </c>
      <c r="BI107" s="155" t="str">
        <f t="shared" si="38"/>
        <v>-</v>
      </c>
      <c r="BJ107" s="158" t="str">
        <f t="shared" si="38"/>
        <v>-</v>
      </c>
      <c r="BK107" s="158" t="str">
        <f t="shared" si="38"/>
        <v>-</v>
      </c>
      <c r="BL107" s="158" t="str">
        <f t="shared" si="38"/>
        <v>-</v>
      </c>
      <c r="BM107" s="158" t="str">
        <f t="shared" si="38"/>
        <v>-</v>
      </c>
      <c r="BN107" s="158" t="str">
        <f t="shared" si="38"/>
        <v>-</v>
      </c>
      <c r="BO107" s="158" t="str">
        <f t="shared" si="37"/>
        <v>-</v>
      </c>
      <c r="BP107" s="158" t="s">
        <v>73</v>
      </c>
      <c r="BQ107" s="158" t="s">
        <v>73</v>
      </c>
      <c r="BR107" s="158" t="s">
        <v>73</v>
      </c>
      <c r="BS107" s="158" t="s">
        <v>73</v>
      </c>
      <c r="BT107" s="158" t="str">
        <f t="shared" si="36"/>
        <v>-</v>
      </c>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row>
    <row r="108" spans="1:107 16122:16122" s="157" customFormat="1" ht="15" hidden="1" customHeight="1" outlineLevel="1" x14ac:dyDescent="0.3">
      <c r="A108" t="s">
        <v>73</v>
      </c>
      <c r="B108" s="154" t="s">
        <v>220</v>
      </c>
      <c r="C108" s="155">
        <f t="shared" si="38"/>
        <v>1</v>
      </c>
      <c r="D108" s="155">
        <f t="shared" si="38"/>
        <v>1</v>
      </c>
      <c r="E108" s="155">
        <f t="shared" si="38"/>
        <v>1</v>
      </c>
      <c r="F108" s="155">
        <f t="shared" si="38"/>
        <v>1</v>
      </c>
      <c r="G108" s="155">
        <f t="shared" si="38"/>
        <v>1</v>
      </c>
      <c r="H108" s="155">
        <f t="shared" si="38"/>
        <v>1</v>
      </c>
      <c r="I108" s="155">
        <f t="shared" si="38"/>
        <v>1</v>
      </c>
      <c r="J108" s="155">
        <f t="shared" si="38"/>
        <v>1</v>
      </c>
      <c r="K108" s="155">
        <f t="shared" si="38"/>
        <v>1</v>
      </c>
      <c r="L108" s="155">
        <f t="shared" si="38"/>
        <v>1</v>
      </c>
      <c r="M108" s="155">
        <f t="shared" si="38"/>
        <v>1</v>
      </c>
      <c r="N108" s="155">
        <f t="shared" si="38"/>
        <v>1</v>
      </c>
      <c r="O108" s="155">
        <f t="shared" si="38"/>
        <v>1</v>
      </c>
      <c r="P108" s="155">
        <f t="shared" si="38"/>
        <v>1</v>
      </c>
      <c r="Q108" s="155">
        <f t="shared" si="38"/>
        <v>1</v>
      </c>
      <c r="R108" s="155">
        <f t="shared" si="38"/>
        <v>1</v>
      </c>
      <c r="S108" s="155">
        <f t="shared" si="38"/>
        <v>1</v>
      </c>
      <c r="T108" s="155">
        <f t="shared" si="38"/>
        <v>1</v>
      </c>
      <c r="U108" s="155">
        <f t="shared" si="38"/>
        <v>1</v>
      </c>
      <c r="V108" s="155">
        <f t="shared" si="38"/>
        <v>1</v>
      </c>
      <c r="W108" s="155">
        <f t="shared" si="38"/>
        <v>1</v>
      </c>
      <c r="X108" s="155">
        <f t="shared" si="38"/>
        <v>1</v>
      </c>
      <c r="Y108" s="155">
        <f t="shared" si="38"/>
        <v>1</v>
      </c>
      <c r="Z108" s="155">
        <f t="shared" si="38"/>
        <v>1</v>
      </c>
      <c r="AA108" s="155">
        <f t="shared" si="38"/>
        <v>1</v>
      </c>
      <c r="AB108" s="155">
        <f t="shared" si="38"/>
        <v>1</v>
      </c>
      <c r="AC108" s="155">
        <f t="shared" si="38"/>
        <v>1</v>
      </c>
      <c r="AD108" s="155">
        <f t="shared" si="38"/>
        <v>1</v>
      </c>
      <c r="AE108" s="155">
        <f t="shared" si="38"/>
        <v>1</v>
      </c>
      <c r="AF108" s="155">
        <f t="shared" si="38"/>
        <v>1</v>
      </c>
      <c r="AG108" s="155">
        <f t="shared" si="38"/>
        <v>1</v>
      </c>
      <c r="AH108" s="155">
        <f t="shared" si="38"/>
        <v>1</v>
      </c>
      <c r="AI108" s="155">
        <f t="shared" si="38"/>
        <v>1</v>
      </c>
      <c r="AJ108" s="155">
        <f t="shared" si="38"/>
        <v>1</v>
      </c>
      <c r="AK108" s="155">
        <f t="shared" si="38"/>
        <v>1</v>
      </c>
      <c r="AL108" s="155">
        <f t="shared" si="38"/>
        <v>1</v>
      </c>
      <c r="AM108" s="155">
        <f t="shared" si="38"/>
        <v>1</v>
      </c>
      <c r="AN108" s="155">
        <f t="shared" si="38"/>
        <v>1</v>
      </c>
      <c r="AO108" s="155">
        <f t="shared" si="38"/>
        <v>0.66570000000000007</v>
      </c>
      <c r="AP108" s="155">
        <f t="shared" si="38"/>
        <v>0.66570000000000007</v>
      </c>
      <c r="AQ108" s="155">
        <f t="shared" si="38"/>
        <v>0.66570000000000007</v>
      </c>
      <c r="AR108" s="155">
        <f t="shared" si="38"/>
        <v>0.66570000000000007</v>
      </c>
      <c r="AS108" s="155">
        <f t="shared" si="38"/>
        <v>0.66570000000000007</v>
      </c>
      <c r="AT108" s="155">
        <f t="shared" si="38"/>
        <v>0.66570000000000007</v>
      </c>
      <c r="AU108" s="155">
        <f t="shared" si="38"/>
        <v>0.66570000000000007</v>
      </c>
      <c r="AV108" s="155">
        <f t="shared" si="38"/>
        <v>0.66570000000000007</v>
      </c>
      <c r="AW108" s="155">
        <f t="shared" si="38"/>
        <v>0.66570000000000007</v>
      </c>
      <c r="AX108" s="155">
        <f t="shared" si="38"/>
        <v>0.66570000000000007</v>
      </c>
      <c r="AY108" s="155">
        <f t="shared" si="38"/>
        <v>0.66570000000000007</v>
      </c>
      <c r="AZ108" s="155">
        <f t="shared" si="38"/>
        <v>0.66570000000000007</v>
      </c>
      <c r="BA108" s="155">
        <f t="shared" si="38"/>
        <v>0.66570000000000007</v>
      </c>
      <c r="BB108" s="155">
        <f t="shared" si="38"/>
        <v>0.66570000000000007</v>
      </c>
      <c r="BC108" s="155">
        <f t="shared" si="38"/>
        <v>0.66570000000000007</v>
      </c>
      <c r="BD108" s="155">
        <f t="shared" si="38"/>
        <v>0.66570000000000007</v>
      </c>
      <c r="BE108" s="155">
        <f t="shared" si="38"/>
        <v>0.66570000000000007</v>
      </c>
      <c r="BF108" s="155" t="str">
        <f t="shared" si="38"/>
        <v>-</v>
      </c>
      <c r="BG108" s="155" t="str">
        <f t="shared" si="38"/>
        <v>-</v>
      </c>
      <c r="BH108" s="155" t="str">
        <f t="shared" si="38"/>
        <v>-</v>
      </c>
      <c r="BI108" s="155" t="str">
        <f t="shared" si="38"/>
        <v>-</v>
      </c>
      <c r="BJ108" s="155" t="str">
        <f t="shared" si="38"/>
        <v>-</v>
      </c>
      <c r="BK108" s="155" t="str">
        <f t="shared" si="38"/>
        <v>-</v>
      </c>
      <c r="BL108" s="155" t="str">
        <f t="shared" si="38"/>
        <v>-</v>
      </c>
      <c r="BM108" s="155" t="str">
        <f t="shared" si="38"/>
        <v>-</v>
      </c>
      <c r="BN108" s="155" t="str">
        <f t="shared" si="38"/>
        <v>-</v>
      </c>
      <c r="BO108" s="155" t="str">
        <f t="shared" si="37"/>
        <v>-</v>
      </c>
      <c r="BP108" s="155" t="s">
        <v>73</v>
      </c>
      <c r="BQ108" s="155" t="s">
        <v>73</v>
      </c>
      <c r="BR108" s="155" t="s">
        <v>73</v>
      </c>
      <c r="BS108" s="155" t="s">
        <v>73</v>
      </c>
      <c r="BT108" s="155" t="str">
        <f t="shared" si="36"/>
        <v>-</v>
      </c>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row>
    <row r="109" spans="1:107 16122:16122" s="157" customFormat="1" ht="15" hidden="1" customHeight="1" outlineLevel="1" x14ac:dyDescent="0.3">
      <c r="A109" t="s">
        <v>73</v>
      </c>
      <c r="B109" s="154" t="s">
        <v>276</v>
      </c>
      <c r="C109" s="155" t="str">
        <f t="shared" si="38"/>
        <v>-</v>
      </c>
      <c r="D109" s="155">
        <f t="shared" si="38"/>
        <v>1</v>
      </c>
      <c r="E109" s="155">
        <f t="shared" si="38"/>
        <v>1</v>
      </c>
      <c r="F109" s="155">
        <f t="shared" si="38"/>
        <v>1</v>
      </c>
      <c r="G109" s="155">
        <f t="shared" si="38"/>
        <v>1</v>
      </c>
      <c r="H109" s="155">
        <f t="shared" si="38"/>
        <v>1</v>
      </c>
      <c r="I109" s="155">
        <f t="shared" si="38"/>
        <v>1</v>
      </c>
      <c r="J109" s="155">
        <f t="shared" si="38"/>
        <v>1</v>
      </c>
      <c r="K109" s="155">
        <f t="shared" si="38"/>
        <v>1</v>
      </c>
      <c r="L109" s="155">
        <f t="shared" si="38"/>
        <v>1</v>
      </c>
      <c r="M109" s="155">
        <f t="shared" si="38"/>
        <v>1</v>
      </c>
      <c r="N109" s="155">
        <f t="shared" si="38"/>
        <v>1</v>
      </c>
      <c r="O109" s="155">
        <f t="shared" si="38"/>
        <v>1</v>
      </c>
      <c r="P109" s="155">
        <f t="shared" si="38"/>
        <v>1</v>
      </c>
      <c r="Q109" s="155">
        <f t="shared" si="38"/>
        <v>1</v>
      </c>
      <c r="R109" s="155">
        <f t="shared" si="38"/>
        <v>1</v>
      </c>
      <c r="S109" s="155">
        <f t="shared" si="38"/>
        <v>1</v>
      </c>
      <c r="T109" s="155">
        <f t="shared" si="38"/>
        <v>1</v>
      </c>
      <c r="U109" s="155">
        <f t="shared" si="38"/>
        <v>1</v>
      </c>
      <c r="V109" s="155">
        <f t="shared" si="38"/>
        <v>1</v>
      </c>
      <c r="W109" s="155">
        <f t="shared" si="38"/>
        <v>1</v>
      </c>
      <c r="X109" s="155">
        <f t="shared" si="38"/>
        <v>1</v>
      </c>
      <c r="Y109" s="155">
        <f t="shared" si="38"/>
        <v>1</v>
      </c>
      <c r="Z109" s="155">
        <f t="shared" si="38"/>
        <v>1</v>
      </c>
      <c r="AA109" s="155">
        <f t="shared" si="38"/>
        <v>1</v>
      </c>
      <c r="AB109" s="155">
        <f t="shared" si="38"/>
        <v>1</v>
      </c>
      <c r="AC109" s="155">
        <f t="shared" si="38"/>
        <v>1</v>
      </c>
      <c r="AD109" s="155">
        <f t="shared" si="38"/>
        <v>1</v>
      </c>
      <c r="AE109" s="155">
        <f t="shared" si="38"/>
        <v>1</v>
      </c>
      <c r="AF109" s="155">
        <f t="shared" si="38"/>
        <v>1</v>
      </c>
      <c r="AG109" s="155">
        <f t="shared" si="38"/>
        <v>1</v>
      </c>
      <c r="AH109" s="155">
        <f t="shared" si="38"/>
        <v>1</v>
      </c>
      <c r="AI109" s="155">
        <f t="shared" si="38"/>
        <v>1</v>
      </c>
      <c r="AJ109" s="155">
        <f t="shared" si="38"/>
        <v>1</v>
      </c>
      <c r="AK109" s="155">
        <f t="shared" si="38"/>
        <v>1.0000390102002725</v>
      </c>
      <c r="AL109" s="155">
        <f t="shared" si="38"/>
        <v>1.0000390102002725</v>
      </c>
      <c r="AM109" s="155">
        <f t="shared" si="38"/>
        <v>0.99999946316266985</v>
      </c>
      <c r="AN109" s="155">
        <f t="shared" si="38"/>
        <v>1</v>
      </c>
      <c r="AO109" s="155">
        <f t="shared" si="38"/>
        <v>0.62129973686023532</v>
      </c>
      <c r="AP109" s="155">
        <f t="shared" si="38"/>
        <v>0.62129999999999996</v>
      </c>
      <c r="AQ109" s="155">
        <f t="shared" si="38"/>
        <v>0.62129999999999996</v>
      </c>
      <c r="AR109" s="155">
        <f t="shared" si="38"/>
        <v>0.62129999999999996</v>
      </c>
      <c r="AS109" s="155">
        <f t="shared" si="38"/>
        <v>0.62129999999999996</v>
      </c>
      <c r="AT109" s="155">
        <f t="shared" si="38"/>
        <v>0.6129</v>
      </c>
      <c r="AU109" s="155">
        <f t="shared" si="38"/>
        <v>0.6129</v>
      </c>
      <c r="AV109" s="155">
        <f t="shared" si="38"/>
        <v>0.6129</v>
      </c>
      <c r="AW109" s="155">
        <f t="shared" si="38"/>
        <v>0.6129</v>
      </c>
      <c r="AX109" s="155">
        <f t="shared" si="38"/>
        <v>0.6129</v>
      </c>
      <c r="AY109" s="155">
        <f t="shared" si="38"/>
        <v>0.6129</v>
      </c>
      <c r="AZ109" s="155">
        <f t="shared" si="38"/>
        <v>0.6129</v>
      </c>
      <c r="BA109" s="155">
        <f t="shared" si="38"/>
        <v>0.6129</v>
      </c>
      <c r="BB109" s="155">
        <f t="shared" si="38"/>
        <v>0.6129</v>
      </c>
      <c r="BC109" s="155">
        <f t="shared" si="38"/>
        <v>0.6129</v>
      </c>
      <c r="BD109" s="155">
        <f t="shared" si="38"/>
        <v>0.6129</v>
      </c>
      <c r="BE109" s="155">
        <f t="shared" si="38"/>
        <v>0.6129</v>
      </c>
      <c r="BF109" s="155" t="str">
        <f t="shared" si="38"/>
        <v>-</v>
      </c>
      <c r="BG109" s="155" t="str">
        <f t="shared" si="38"/>
        <v>-</v>
      </c>
      <c r="BH109" s="155" t="str">
        <f t="shared" si="38"/>
        <v>-</v>
      </c>
      <c r="BI109" s="155" t="str">
        <f t="shared" si="38"/>
        <v>-</v>
      </c>
      <c r="BJ109" s="155" t="str">
        <f t="shared" si="38"/>
        <v>-</v>
      </c>
      <c r="BK109" s="155" t="str">
        <f t="shared" si="38"/>
        <v>-</v>
      </c>
      <c r="BL109" s="155" t="str">
        <f t="shared" si="38"/>
        <v>-</v>
      </c>
      <c r="BM109" s="155" t="str">
        <f t="shared" si="38"/>
        <v>-</v>
      </c>
      <c r="BN109" s="155" t="str">
        <f t="shared" si="38"/>
        <v>-</v>
      </c>
      <c r="BO109" s="155" t="str">
        <f t="shared" si="37"/>
        <v>-</v>
      </c>
      <c r="BP109" s="155" t="s">
        <v>73</v>
      </c>
      <c r="BQ109" s="155" t="s">
        <v>73</v>
      </c>
      <c r="BR109" s="155" t="s">
        <v>73</v>
      </c>
      <c r="BS109" s="155" t="s">
        <v>73</v>
      </c>
      <c r="BT109" s="155" t="str">
        <f t="shared" si="36"/>
        <v>-</v>
      </c>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row>
    <row r="110" spans="1:107 16122:16122" s="157" customFormat="1" ht="15" hidden="1" customHeight="1" outlineLevel="1" x14ac:dyDescent="0.3">
      <c r="A110" t="s">
        <v>294</v>
      </c>
      <c r="B110" s="154" t="s">
        <v>223</v>
      </c>
      <c r="C110" s="155" t="str">
        <f t="shared" si="38"/>
        <v>-</v>
      </c>
      <c r="D110" s="155" t="str">
        <f t="shared" si="38"/>
        <v>-</v>
      </c>
      <c r="E110" s="155" t="str">
        <f t="shared" si="38"/>
        <v>-</v>
      </c>
      <c r="F110" s="155" t="str">
        <f t="shared" si="38"/>
        <v>-</v>
      </c>
      <c r="G110" s="155" t="str">
        <f t="shared" si="38"/>
        <v>-</v>
      </c>
      <c r="H110" s="155" t="str">
        <f t="shared" si="38"/>
        <v>-</v>
      </c>
      <c r="I110" s="155" t="str">
        <f t="shared" si="38"/>
        <v>-</v>
      </c>
      <c r="J110" s="155" t="str">
        <f t="shared" si="38"/>
        <v>-</v>
      </c>
      <c r="K110" s="155" t="str">
        <f t="shared" si="38"/>
        <v>-</v>
      </c>
      <c r="L110" s="155" t="str">
        <f t="shared" si="38"/>
        <v>-</v>
      </c>
      <c r="M110" s="155" t="str">
        <f t="shared" si="38"/>
        <v>-</v>
      </c>
      <c r="N110" s="155" t="str">
        <f t="shared" si="38"/>
        <v>-</v>
      </c>
      <c r="O110" s="155" t="str">
        <f t="shared" si="38"/>
        <v>-</v>
      </c>
      <c r="P110" s="155" t="str">
        <f t="shared" si="38"/>
        <v>-</v>
      </c>
      <c r="Q110" s="155" t="str">
        <f t="shared" si="38"/>
        <v>-</v>
      </c>
      <c r="R110" s="155" t="str">
        <f t="shared" si="38"/>
        <v>-</v>
      </c>
      <c r="S110" s="155" t="str">
        <f t="shared" si="38"/>
        <v>-</v>
      </c>
      <c r="T110" s="155" t="str">
        <f t="shared" si="38"/>
        <v>-</v>
      </c>
      <c r="U110" s="155" t="str">
        <f t="shared" si="38"/>
        <v>-</v>
      </c>
      <c r="V110" s="155" t="str">
        <f t="shared" si="38"/>
        <v>-</v>
      </c>
      <c r="W110" s="155" t="str">
        <f t="shared" si="38"/>
        <v>-</v>
      </c>
      <c r="X110" s="155" t="str">
        <f t="shared" si="38"/>
        <v>-</v>
      </c>
      <c r="Y110" s="155">
        <f t="shared" si="38"/>
        <v>0.25000689002599841</v>
      </c>
      <c r="Z110" s="155">
        <f t="shared" si="38"/>
        <v>0.25000689002599841</v>
      </c>
      <c r="AA110" s="155">
        <f t="shared" si="38"/>
        <v>0.25000689002599841</v>
      </c>
      <c r="AB110" s="155">
        <f t="shared" si="38"/>
        <v>0.25000689002599841</v>
      </c>
      <c r="AC110" s="155">
        <f t="shared" si="38"/>
        <v>0.25000689002599841</v>
      </c>
      <c r="AD110" s="155">
        <f t="shared" si="38"/>
        <v>0.25000689002599841</v>
      </c>
      <c r="AE110" s="155">
        <f t="shared" si="38"/>
        <v>0.25000689002599841</v>
      </c>
      <c r="AF110" s="155">
        <f t="shared" si="38"/>
        <v>0.25000689002599841</v>
      </c>
      <c r="AG110" s="155">
        <f t="shared" si="38"/>
        <v>0.24997014322067376</v>
      </c>
      <c r="AH110" s="155">
        <f t="shared" si="38"/>
        <v>0.24997014322067376</v>
      </c>
      <c r="AI110" s="155">
        <f t="shared" si="38"/>
        <v>0.25000689002599841</v>
      </c>
      <c r="AJ110" s="155">
        <f t="shared" si="38"/>
        <v>0.25000689002599841</v>
      </c>
      <c r="AK110" s="155">
        <f t="shared" si="38"/>
        <v>0.24997014322067376</v>
      </c>
      <c r="AL110" s="155">
        <f t="shared" si="38"/>
        <v>0.24997014322067376</v>
      </c>
      <c r="AM110" s="155">
        <f t="shared" si="38"/>
        <v>0.25</v>
      </c>
      <c r="AN110" s="155">
        <f t="shared" si="38"/>
        <v>0.25</v>
      </c>
      <c r="AO110" s="155">
        <f t="shared" si="38"/>
        <v>0.25</v>
      </c>
      <c r="AP110" s="155">
        <f t="shared" si="38"/>
        <v>0.25</v>
      </c>
      <c r="AQ110" s="155">
        <f t="shared" si="38"/>
        <v>0.25</v>
      </c>
      <c r="AR110" s="155">
        <f t="shared" si="38"/>
        <v>0.25</v>
      </c>
      <c r="AS110" s="155">
        <f t="shared" si="38"/>
        <v>0.25</v>
      </c>
      <c r="AT110" s="155">
        <f t="shared" si="38"/>
        <v>0.25</v>
      </c>
      <c r="AU110" s="155">
        <f t="shared" si="38"/>
        <v>0.25</v>
      </c>
      <c r="AV110" s="155">
        <f t="shared" si="38"/>
        <v>0.25</v>
      </c>
      <c r="AW110" s="155">
        <f t="shared" si="38"/>
        <v>0.25</v>
      </c>
      <c r="AX110" s="155">
        <f t="shared" si="38"/>
        <v>0.25</v>
      </c>
      <c r="AY110" s="155">
        <f t="shared" si="38"/>
        <v>0.25</v>
      </c>
      <c r="AZ110" s="155">
        <f t="shared" si="38"/>
        <v>0.25</v>
      </c>
      <c r="BA110" s="155">
        <f t="shared" si="38"/>
        <v>0.25</v>
      </c>
      <c r="BB110" s="155">
        <f t="shared" si="38"/>
        <v>0.25</v>
      </c>
      <c r="BC110" s="155">
        <f t="shared" si="38"/>
        <v>0.25</v>
      </c>
      <c r="BD110" s="155">
        <f t="shared" si="38"/>
        <v>0.25</v>
      </c>
      <c r="BE110" s="155">
        <f t="shared" si="38"/>
        <v>0.25</v>
      </c>
      <c r="BF110" s="155">
        <f t="shared" si="38"/>
        <v>0.25</v>
      </c>
      <c r="BG110" s="155">
        <f t="shared" si="38"/>
        <v>0.25</v>
      </c>
      <c r="BH110" s="155">
        <f t="shared" si="38"/>
        <v>0.25</v>
      </c>
      <c r="BI110" s="155">
        <f t="shared" si="38"/>
        <v>0.25</v>
      </c>
      <c r="BJ110" s="155">
        <f t="shared" si="38"/>
        <v>0.25</v>
      </c>
      <c r="BK110" s="155">
        <f t="shared" si="38"/>
        <v>0.25</v>
      </c>
      <c r="BL110" s="155">
        <f t="shared" si="38"/>
        <v>0.25</v>
      </c>
      <c r="BM110" s="155">
        <f t="shared" si="38"/>
        <v>0.25</v>
      </c>
      <c r="BN110" s="155">
        <f t="shared" ref="BN110:BO113" si="39">IFERROR(BN158/BN62,"-")</f>
        <v>0.25</v>
      </c>
      <c r="BO110" s="155">
        <f t="shared" si="39"/>
        <v>0.25</v>
      </c>
      <c r="BP110" s="155">
        <v>0.25</v>
      </c>
      <c r="BQ110" s="155">
        <v>0.25</v>
      </c>
      <c r="BR110" s="155">
        <v>0.25</v>
      </c>
      <c r="BS110" s="155">
        <v>0.25</v>
      </c>
      <c r="BT110" s="155">
        <f t="shared" si="36"/>
        <v>0.25</v>
      </c>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row>
    <row r="111" spans="1:107 16122:16122" s="157" customFormat="1" ht="15" hidden="1" customHeight="1" outlineLevel="1" x14ac:dyDescent="0.3">
      <c r="A111" t="s">
        <v>73</v>
      </c>
      <c r="B111" s="154" t="s">
        <v>224</v>
      </c>
      <c r="C111" s="155" t="str">
        <f t="shared" ref="C111:BN114" si="40">IFERROR(C159/C63,"-")</f>
        <v>-</v>
      </c>
      <c r="D111" s="155" t="str">
        <f t="shared" si="40"/>
        <v>-</v>
      </c>
      <c r="E111" s="155" t="str">
        <f t="shared" si="40"/>
        <v>-</v>
      </c>
      <c r="F111" s="155" t="str">
        <f t="shared" si="40"/>
        <v>-</v>
      </c>
      <c r="G111" s="155" t="str">
        <f t="shared" si="40"/>
        <v>-</v>
      </c>
      <c r="H111" s="155" t="str">
        <f t="shared" si="40"/>
        <v>-</v>
      </c>
      <c r="I111" s="155" t="str">
        <f t="shared" si="40"/>
        <v>-</v>
      </c>
      <c r="J111" s="155" t="str">
        <f t="shared" si="40"/>
        <v>-</v>
      </c>
      <c r="K111" s="155" t="str">
        <f t="shared" si="40"/>
        <v>-</v>
      </c>
      <c r="L111" s="155" t="str">
        <f t="shared" si="40"/>
        <v>-</v>
      </c>
      <c r="M111" s="155" t="str">
        <f t="shared" si="40"/>
        <v>-</v>
      </c>
      <c r="N111" s="155" t="str">
        <f t="shared" si="40"/>
        <v>-</v>
      </c>
      <c r="O111" s="155" t="str">
        <f t="shared" si="40"/>
        <v>-</v>
      </c>
      <c r="P111" s="155" t="str">
        <f t="shared" si="40"/>
        <v>-</v>
      </c>
      <c r="Q111" s="155" t="str">
        <f t="shared" si="40"/>
        <v>-</v>
      </c>
      <c r="R111" s="155" t="str">
        <f t="shared" si="40"/>
        <v>-</v>
      </c>
      <c r="S111" s="155" t="str">
        <f t="shared" si="40"/>
        <v>-</v>
      </c>
      <c r="T111" s="155" t="str">
        <f t="shared" si="40"/>
        <v>-</v>
      </c>
      <c r="U111" s="155" t="str">
        <f t="shared" si="40"/>
        <v>-</v>
      </c>
      <c r="V111" s="155" t="str">
        <f t="shared" si="40"/>
        <v>-</v>
      </c>
      <c r="W111" s="155" t="str">
        <f t="shared" si="40"/>
        <v>-</v>
      </c>
      <c r="X111" s="155" t="str">
        <f t="shared" si="40"/>
        <v>-</v>
      </c>
      <c r="Y111" s="155" t="str">
        <f t="shared" si="40"/>
        <v>-</v>
      </c>
      <c r="Z111" s="155" t="str">
        <f t="shared" si="40"/>
        <v>-</v>
      </c>
      <c r="AA111" s="155" t="str">
        <f t="shared" si="40"/>
        <v>-</v>
      </c>
      <c r="AB111" s="155" t="str">
        <f t="shared" si="40"/>
        <v>-</v>
      </c>
      <c r="AC111" s="155" t="str">
        <f t="shared" si="40"/>
        <v>-</v>
      </c>
      <c r="AD111" s="155" t="str">
        <f t="shared" si="40"/>
        <v>-</v>
      </c>
      <c r="AE111" s="155" t="str">
        <f t="shared" si="40"/>
        <v>-</v>
      </c>
      <c r="AF111" s="155" t="str">
        <f t="shared" si="40"/>
        <v>-</v>
      </c>
      <c r="AG111" s="155" t="str">
        <f t="shared" si="40"/>
        <v>-</v>
      </c>
      <c r="AH111" s="155" t="str">
        <f t="shared" si="40"/>
        <v>-</v>
      </c>
      <c r="AI111" s="155" t="str">
        <f t="shared" si="40"/>
        <v>-</v>
      </c>
      <c r="AJ111" s="155" t="str">
        <f t="shared" si="40"/>
        <v>-</v>
      </c>
      <c r="AK111" s="155" t="str">
        <f t="shared" si="40"/>
        <v>-</v>
      </c>
      <c r="AL111" s="155" t="str">
        <f t="shared" si="40"/>
        <v>-</v>
      </c>
      <c r="AM111" s="155" t="str">
        <f t="shared" si="40"/>
        <v>-</v>
      </c>
      <c r="AN111" s="155">
        <f t="shared" si="40"/>
        <v>1</v>
      </c>
      <c r="AO111" s="155">
        <f t="shared" si="40"/>
        <v>0.83289336361962063</v>
      </c>
      <c r="AP111" s="155">
        <f t="shared" si="40"/>
        <v>0.83289999999999997</v>
      </c>
      <c r="AQ111" s="155">
        <f t="shared" si="40"/>
        <v>0.83289999999999997</v>
      </c>
      <c r="AR111" s="155">
        <f t="shared" si="40"/>
        <v>0.83289999999999997</v>
      </c>
      <c r="AS111" s="155">
        <f t="shared" si="40"/>
        <v>0.83289999999999997</v>
      </c>
      <c r="AT111" s="155">
        <f t="shared" si="40"/>
        <v>0.83289999999999997</v>
      </c>
      <c r="AU111" s="155">
        <f t="shared" si="40"/>
        <v>0.83289999999999997</v>
      </c>
      <c r="AV111" s="155">
        <f t="shared" si="40"/>
        <v>0.83289999999999997</v>
      </c>
      <c r="AW111" s="155">
        <f t="shared" si="40"/>
        <v>0.83289999999999997</v>
      </c>
      <c r="AX111" s="155">
        <f t="shared" si="40"/>
        <v>0.83289999999999997</v>
      </c>
      <c r="AY111" s="155">
        <f t="shared" si="40"/>
        <v>0.83289999999999997</v>
      </c>
      <c r="AZ111" s="155">
        <f t="shared" si="40"/>
        <v>0.83289999999999997</v>
      </c>
      <c r="BA111" s="155">
        <f t="shared" si="40"/>
        <v>0.83289999999999997</v>
      </c>
      <c r="BB111" s="155">
        <f t="shared" si="40"/>
        <v>0.83289999999999997</v>
      </c>
      <c r="BC111" s="155">
        <f t="shared" si="40"/>
        <v>0.83289999999999997</v>
      </c>
      <c r="BD111" s="155">
        <f t="shared" si="40"/>
        <v>0.83289999999999997</v>
      </c>
      <c r="BE111" s="155">
        <f t="shared" si="40"/>
        <v>0.83289999999999997</v>
      </c>
      <c r="BF111" s="155" t="str">
        <f t="shared" si="40"/>
        <v>-</v>
      </c>
      <c r="BG111" s="155" t="str">
        <f t="shared" si="40"/>
        <v>-</v>
      </c>
      <c r="BH111" s="155" t="str">
        <f t="shared" si="40"/>
        <v>-</v>
      </c>
      <c r="BI111" s="155" t="str">
        <f t="shared" si="40"/>
        <v>-</v>
      </c>
      <c r="BJ111" s="155" t="str">
        <f t="shared" si="40"/>
        <v>-</v>
      </c>
      <c r="BK111" s="155" t="str">
        <f t="shared" si="40"/>
        <v>-</v>
      </c>
      <c r="BL111" s="155" t="str">
        <f t="shared" si="40"/>
        <v>-</v>
      </c>
      <c r="BM111" s="155" t="str">
        <f t="shared" si="40"/>
        <v>-</v>
      </c>
      <c r="BN111" s="155" t="str">
        <f t="shared" si="40"/>
        <v>-</v>
      </c>
      <c r="BO111" s="155" t="str">
        <f t="shared" si="39"/>
        <v>-</v>
      </c>
      <c r="BP111" s="155" t="s">
        <v>73</v>
      </c>
      <c r="BQ111" s="155" t="s">
        <v>73</v>
      </c>
      <c r="BR111" s="155" t="s">
        <v>73</v>
      </c>
      <c r="BS111" s="155" t="s">
        <v>73</v>
      </c>
      <c r="BT111" s="155" t="str">
        <f t="shared" si="36"/>
        <v>-</v>
      </c>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row>
    <row r="112" spans="1:107 16122:16122" s="157" customFormat="1" ht="15" hidden="1" customHeight="1" outlineLevel="1" x14ac:dyDescent="0.3">
      <c r="A112" t="s">
        <v>73</v>
      </c>
      <c r="B112" s="154" t="s">
        <v>225</v>
      </c>
      <c r="C112" s="155" t="str">
        <f t="shared" si="40"/>
        <v>-</v>
      </c>
      <c r="D112" s="155" t="str">
        <f t="shared" si="40"/>
        <v>-</v>
      </c>
      <c r="E112" s="155" t="str">
        <f t="shared" si="40"/>
        <v>-</v>
      </c>
      <c r="F112" s="155" t="str">
        <f t="shared" si="40"/>
        <v>-</v>
      </c>
      <c r="G112" s="155" t="str">
        <f t="shared" si="40"/>
        <v>-</v>
      </c>
      <c r="H112" s="155" t="str">
        <f t="shared" si="40"/>
        <v>-</v>
      </c>
      <c r="I112" s="155" t="str">
        <f t="shared" si="40"/>
        <v>-</v>
      </c>
      <c r="J112" s="155" t="str">
        <f t="shared" si="40"/>
        <v>-</v>
      </c>
      <c r="K112" s="155" t="str">
        <f t="shared" si="40"/>
        <v>-</v>
      </c>
      <c r="L112" s="155" t="str">
        <f t="shared" si="40"/>
        <v>-</v>
      </c>
      <c r="M112" s="155" t="str">
        <f t="shared" si="40"/>
        <v>-</v>
      </c>
      <c r="N112" s="155" t="str">
        <f t="shared" si="40"/>
        <v>-</v>
      </c>
      <c r="O112" s="155" t="str">
        <f t="shared" si="40"/>
        <v>-</v>
      </c>
      <c r="P112" s="155" t="str">
        <f t="shared" si="40"/>
        <v>-</v>
      </c>
      <c r="Q112" s="155" t="str">
        <f t="shared" si="40"/>
        <v>-</v>
      </c>
      <c r="R112" s="155" t="str">
        <f t="shared" si="40"/>
        <v>-</v>
      </c>
      <c r="S112" s="155" t="str">
        <f t="shared" si="40"/>
        <v>-</v>
      </c>
      <c r="T112" s="155" t="str">
        <f t="shared" si="40"/>
        <v>-</v>
      </c>
      <c r="U112" s="155" t="str">
        <f t="shared" si="40"/>
        <v>-</v>
      </c>
      <c r="V112" s="155" t="str">
        <f t="shared" si="40"/>
        <v>-</v>
      </c>
      <c r="W112" s="155" t="str">
        <f t="shared" si="40"/>
        <v>-</v>
      </c>
      <c r="X112" s="155" t="str">
        <f t="shared" si="40"/>
        <v>-</v>
      </c>
      <c r="Y112" s="155" t="str">
        <f t="shared" si="40"/>
        <v>-</v>
      </c>
      <c r="Z112" s="155" t="str">
        <f t="shared" si="40"/>
        <v>-</v>
      </c>
      <c r="AA112" s="155" t="str">
        <f t="shared" si="40"/>
        <v>-</v>
      </c>
      <c r="AB112" s="155" t="str">
        <f t="shared" si="40"/>
        <v>-</v>
      </c>
      <c r="AC112" s="155">
        <f t="shared" si="40"/>
        <v>1</v>
      </c>
      <c r="AD112" s="155">
        <f t="shared" si="40"/>
        <v>1</v>
      </c>
      <c r="AE112" s="155">
        <f t="shared" si="40"/>
        <v>1</v>
      </c>
      <c r="AF112" s="155">
        <f t="shared" si="40"/>
        <v>1</v>
      </c>
      <c r="AG112" s="155">
        <f t="shared" si="40"/>
        <v>1</v>
      </c>
      <c r="AH112" s="155">
        <f t="shared" si="40"/>
        <v>1</v>
      </c>
      <c r="AI112" s="155" t="str">
        <f t="shared" si="40"/>
        <v>-</v>
      </c>
      <c r="AJ112" s="155" t="str">
        <f t="shared" si="40"/>
        <v>-</v>
      </c>
      <c r="AK112" s="155" t="str">
        <f t="shared" si="40"/>
        <v>-</v>
      </c>
      <c r="AL112" s="155" t="str">
        <f t="shared" si="40"/>
        <v>-</v>
      </c>
      <c r="AM112" s="155" t="str">
        <f t="shared" si="40"/>
        <v>-</v>
      </c>
      <c r="AN112" s="155" t="str">
        <f t="shared" si="40"/>
        <v>-</v>
      </c>
      <c r="AO112" s="155" t="str">
        <f t="shared" si="40"/>
        <v>-</v>
      </c>
      <c r="AP112" s="155" t="str">
        <f t="shared" si="40"/>
        <v>-</v>
      </c>
      <c r="AQ112" s="155" t="str">
        <f t="shared" si="40"/>
        <v>-</v>
      </c>
      <c r="AR112" s="136" t="str">
        <f t="shared" si="40"/>
        <v>-</v>
      </c>
      <c r="AS112" s="155" t="str">
        <f t="shared" si="40"/>
        <v>-</v>
      </c>
      <c r="AT112" s="155" t="str">
        <f t="shared" si="40"/>
        <v>-</v>
      </c>
      <c r="AU112" s="155" t="str">
        <f t="shared" si="40"/>
        <v>-</v>
      </c>
      <c r="AV112" s="155" t="str">
        <f t="shared" si="40"/>
        <v>-</v>
      </c>
      <c r="AW112" s="155" t="str">
        <f t="shared" si="40"/>
        <v>-</v>
      </c>
      <c r="AX112" s="155" t="str">
        <f t="shared" si="40"/>
        <v>-</v>
      </c>
      <c r="AY112" s="155" t="str">
        <f t="shared" si="40"/>
        <v>-</v>
      </c>
      <c r="AZ112" s="155" t="str">
        <f t="shared" si="40"/>
        <v>-</v>
      </c>
      <c r="BA112" s="155" t="str">
        <f t="shared" si="40"/>
        <v>-</v>
      </c>
      <c r="BB112" s="155" t="str">
        <f t="shared" si="40"/>
        <v>-</v>
      </c>
      <c r="BC112" s="155" t="str">
        <f t="shared" si="40"/>
        <v>-</v>
      </c>
      <c r="BD112" s="155" t="str">
        <f t="shared" si="40"/>
        <v>-</v>
      </c>
      <c r="BE112" s="155" t="str">
        <f t="shared" si="40"/>
        <v>-</v>
      </c>
      <c r="BF112" s="155" t="str">
        <f t="shared" si="40"/>
        <v>-</v>
      </c>
      <c r="BG112" s="155" t="str">
        <f t="shared" si="40"/>
        <v>-</v>
      </c>
      <c r="BH112" s="155" t="str">
        <f t="shared" si="40"/>
        <v>-</v>
      </c>
      <c r="BI112" s="155" t="str">
        <f t="shared" si="40"/>
        <v>-</v>
      </c>
      <c r="BJ112" s="155" t="str">
        <f t="shared" si="40"/>
        <v>-</v>
      </c>
      <c r="BK112" s="155" t="str">
        <f t="shared" si="40"/>
        <v>-</v>
      </c>
      <c r="BL112" s="155" t="str">
        <f t="shared" si="40"/>
        <v>-</v>
      </c>
      <c r="BM112" s="155" t="str">
        <f t="shared" si="40"/>
        <v>-</v>
      </c>
      <c r="BN112" s="155" t="str">
        <f t="shared" si="40"/>
        <v>-</v>
      </c>
      <c r="BO112" s="155" t="str">
        <f t="shared" si="39"/>
        <v>-</v>
      </c>
      <c r="BP112" s="155" t="s">
        <v>73</v>
      </c>
      <c r="BQ112" s="155" t="s">
        <v>73</v>
      </c>
      <c r="BR112" s="155" t="s">
        <v>73</v>
      </c>
      <c r="BS112" s="155" t="s">
        <v>73</v>
      </c>
      <c r="BT112" s="155" t="str">
        <f t="shared" si="36"/>
        <v>-</v>
      </c>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row>
    <row r="113" spans="1:107" s="157" customFormat="1" ht="15" hidden="1" customHeight="1" outlineLevel="1" x14ac:dyDescent="0.3">
      <c r="A113" t="s">
        <v>73</v>
      </c>
      <c r="B113" s="154" t="s">
        <v>226</v>
      </c>
      <c r="C113" s="155" t="str">
        <f t="shared" si="40"/>
        <v>-</v>
      </c>
      <c r="D113" s="155" t="str">
        <f t="shared" si="40"/>
        <v>-</v>
      </c>
      <c r="E113" s="155" t="str">
        <f t="shared" si="40"/>
        <v>-</v>
      </c>
      <c r="F113" s="155" t="str">
        <f t="shared" si="40"/>
        <v>-</v>
      </c>
      <c r="G113" s="155">
        <f t="shared" si="40"/>
        <v>1</v>
      </c>
      <c r="H113" s="155">
        <f t="shared" si="40"/>
        <v>1</v>
      </c>
      <c r="I113" s="155">
        <f t="shared" si="40"/>
        <v>1</v>
      </c>
      <c r="J113" s="155">
        <f t="shared" si="40"/>
        <v>1</v>
      </c>
      <c r="K113" s="155">
        <f t="shared" si="40"/>
        <v>1</v>
      </c>
      <c r="L113" s="155">
        <f t="shared" si="40"/>
        <v>1</v>
      </c>
      <c r="M113" s="155">
        <f t="shared" si="40"/>
        <v>1</v>
      </c>
      <c r="N113" s="155">
        <f t="shared" si="40"/>
        <v>1</v>
      </c>
      <c r="O113" s="155">
        <f t="shared" si="40"/>
        <v>1</v>
      </c>
      <c r="P113" s="155" t="str">
        <f t="shared" si="40"/>
        <v>-</v>
      </c>
      <c r="Q113" s="155" t="str">
        <f t="shared" si="40"/>
        <v>-</v>
      </c>
      <c r="R113" s="155" t="str">
        <f t="shared" si="40"/>
        <v>-</v>
      </c>
      <c r="S113" s="155" t="str">
        <f t="shared" si="40"/>
        <v>-</v>
      </c>
      <c r="T113" s="155" t="str">
        <f t="shared" si="40"/>
        <v>-</v>
      </c>
      <c r="U113" s="155" t="str">
        <f t="shared" si="40"/>
        <v>-</v>
      </c>
      <c r="V113" s="155" t="str">
        <f t="shared" si="40"/>
        <v>-</v>
      </c>
      <c r="W113" s="155" t="str">
        <f t="shared" si="40"/>
        <v>-</v>
      </c>
      <c r="X113" s="155" t="str">
        <f t="shared" si="40"/>
        <v>-</v>
      </c>
      <c r="Y113" s="155" t="str">
        <f t="shared" si="40"/>
        <v>-</v>
      </c>
      <c r="Z113" s="155" t="str">
        <f t="shared" si="40"/>
        <v>-</v>
      </c>
      <c r="AA113" s="155" t="str">
        <f t="shared" si="40"/>
        <v>-</v>
      </c>
      <c r="AB113" s="155" t="str">
        <f t="shared" si="40"/>
        <v>-</v>
      </c>
      <c r="AC113" s="155" t="str">
        <f t="shared" si="40"/>
        <v>-</v>
      </c>
      <c r="AD113" s="155" t="str">
        <f t="shared" si="40"/>
        <v>-</v>
      </c>
      <c r="AE113" s="155" t="str">
        <f t="shared" si="40"/>
        <v>-</v>
      </c>
      <c r="AF113" s="155" t="str">
        <f t="shared" si="40"/>
        <v>-</v>
      </c>
      <c r="AG113" s="155" t="str">
        <f t="shared" si="40"/>
        <v>-</v>
      </c>
      <c r="AH113" s="155" t="str">
        <f t="shared" si="40"/>
        <v>-</v>
      </c>
      <c r="AI113" s="155" t="str">
        <f t="shared" si="40"/>
        <v>-</v>
      </c>
      <c r="AJ113" s="155" t="str">
        <f t="shared" si="40"/>
        <v>-</v>
      </c>
      <c r="AK113" s="155" t="str">
        <f t="shared" si="40"/>
        <v>-</v>
      </c>
      <c r="AL113" s="155" t="str">
        <f t="shared" si="40"/>
        <v>-</v>
      </c>
      <c r="AM113" s="155" t="str">
        <f t="shared" si="40"/>
        <v>-</v>
      </c>
      <c r="AN113" s="155" t="str">
        <f t="shared" si="40"/>
        <v>-</v>
      </c>
      <c r="AO113" s="155" t="str">
        <f t="shared" si="40"/>
        <v>-</v>
      </c>
      <c r="AP113" s="155" t="str">
        <f t="shared" si="40"/>
        <v>-</v>
      </c>
      <c r="AQ113" s="155" t="str">
        <f t="shared" si="40"/>
        <v>-</v>
      </c>
      <c r="AR113" s="136" t="str">
        <f t="shared" si="40"/>
        <v>-</v>
      </c>
      <c r="AS113" s="155" t="str">
        <f t="shared" si="40"/>
        <v>-</v>
      </c>
      <c r="AT113" s="155" t="str">
        <f t="shared" si="40"/>
        <v>-</v>
      </c>
      <c r="AU113" s="155" t="str">
        <f t="shared" si="40"/>
        <v>-</v>
      </c>
      <c r="AV113" s="155" t="str">
        <f t="shared" si="40"/>
        <v>-</v>
      </c>
      <c r="AW113" s="155" t="str">
        <f t="shared" si="40"/>
        <v>-</v>
      </c>
      <c r="AX113" s="155" t="str">
        <f t="shared" si="40"/>
        <v>-</v>
      </c>
      <c r="AY113" s="155" t="str">
        <f t="shared" si="40"/>
        <v>-</v>
      </c>
      <c r="AZ113" s="155" t="str">
        <f t="shared" si="40"/>
        <v>-</v>
      </c>
      <c r="BA113" s="155" t="str">
        <f t="shared" si="40"/>
        <v>-</v>
      </c>
      <c r="BB113" s="155" t="str">
        <f t="shared" si="40"/>
        <v>-</v>
      </c>
      <c r="BC113" s="155" t="str">
        <f t="shared" si="40"/>
        <v>-</v>
      </c>
      <c r="BD113" s="155" t="str">
        <f t="shared" si="40"/>
        <v>-</v>
      </c>
      <c r="BE113" s="155" t="str">
        <f t="shared" si="40"/>
        <v>-</v>
      </c>
      <c r="BF113" s="155" t="str">
        <f t="shared" si="40"/>
        <v>-</v>
      </c>
      <c r="BG113" s="155" t="str">
        <f t="shared" si="40"/>
        <v>-</v>
      </c>
      <c r="BH113" s="155" t="str">
        <f t="shared" si="40"/>
        <v>-</v>
      </c>
      <c r="BI113" s="155" t="str">
        <f t="shared" si="40"/>
        <v>-</v>
      </c>
      <c r="BJ113" s="155" t="str">
        <f t="shared" si="40"/>
        <v>-</v>
      </c>
      <c r="BK113" s="155" t="str">
        <f t="shared" si="40"/>
        <v>-</v>
      </c>
      <c r="BL113" s="155" t="str">
        <f t="shared" si="40"/>
        <v>-</v>
      </c>
      <c r="BM113" s="155" t="str">
        <f t="shared" si="40"/>
        <v>-</v>
      </c>
      <c r="BN113" s="155" t="str">
        <f t="shared" si="40"/>
        <v>-</v>
      </c>
      <c r="BO113" s="155" t="str">
        <f t="shared" si="39"/>
        <v>-</v>
      </c>
      <c r="BP113" s="155" t="s">
        <v>73</v>
      </c>
      <c r="BQ113" s="155" t="s">
        <v>73</v>
      </c>
      <c r="BR113" s="155" t="s">
        <v>73</v>
      </c>
      <c r="BS113" s="155" t="s">
        <v>73</v>
      </c>
      <c r="BT113" s="155" t="str">
        <f t="shared" si="36"/>
        <v>-</v>
      </c>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row>
    <row r="114" spans="1:107" ht="15" hidden="1" customHeight="1" outlineLevel="1" x14ac:dyDescent="0.3">
      <c r="A114" t="s">
        <v>295</v>
      </c>
      <c r="B114" s="134" t="s">
        <v>228</v>
      </c>
      <c r="C114" s="155" t="str">
        <f t="shared" si="40"/>
        <v>-</v>
      </c>
      <c r="D114" s="155" t="str">
        <f t="shared" si="40"/>
        <v>-</v>
      </c>
      <c r="E114" s="155" t="str">
        <f t="shared" si="40"/>
        <v>-</v>
      </c>
      <c r="F114" s="155" t="str">
        <f t="shared" si="40"/>
        <v>-</v>
      </c>
      <c r="G114" s="155" t="str">
        <f t="shared" si="40"/>
        <v>-</v>
      </c>
      <c r="H114" s="155" t="str">
        <f t="shared" si="40"/>
        <v>-</v>
      </c>
      <c r="I114" s="155" t="str">
        <f t="shared" si="40"/>
        <v>-</v>
      </c>
      <c r="J114" s="155" t="str">
        <f t="shared" si="40"/>
        <v>-</v>
      </c>
      <c r="K114" s="155" t="str">
        <f t="shared" si="40"/>
        <v>-</v>
      </c>
      <c r="L114" s="155" t="str">
        <f t="shared" si="40"/>
        <v>-</v>
      </c>
      <c r="M114" s="155" t="str">
        <f t="shared" si="40"/>
        <v>-</v>
      </c>
      <c r="N114" s="155" t="str">
        <f t="shared" si="40"/>
        <v>-</v>
      </c>
      <c r="O114" s="155" t="str">
        <f t="shared" si="40"/>
        <v>-</v>
      </c>
      <c r="P114" s="155" t="str">
        <f t="shared" si="40"/>
        <v>-</v>
      </c>
      <c r="Q114" s="155" t="str">
        <f t="shared" si="40"/>
        <v>-</v>
      </c>
      <c r="R114" s="155" t="str">
        <f t="shared" si="40"/>
        <v>-</v>
      </c>
      <c r="S114" s="155" t="str">
        <f t="shared" si="40"/>
        <v>-</v>
      </c>
      <c r="T114" s="155" t="str">
        <f t="shared" si="40"/>
        <v>-</v>
      </c>
      <c r="U114" s="155" t="str">
        <f t="shared" si="40"/>
        <v>-</v>
      </c>
      <c r="V114" s="155" t="str">
        <f t="shared" si="40"/>
        <v>-</v>
      </c>
      <c r="W114" s="155" t="str">
        <f t="shared" si="40"/>
        <v>-</v>
      </c>
      <c r="X114" s="155" t="str">
        <f t="shared" si="40"/>
        <v>-</v>
      </c>
      <c r="Y114" s="155" t="str">
        <f t="shared" si="40"/>
        <v>-</v>
      </c>
      <c r="Z114" s="155" t="str">
        <f t="shared" si="40"/>
        <v>-</v>
      </c>
      <c r="AA114" s="155" t="str">
        <f t="shared" si="40"/>
        <v>-</v>
      </c>
      <c r="AB114" s="155" t="str">
        <f t="shared" si="40"/>
        <v>-</v>
      </c>
      <c r="AC114" s="155" t="str">
        <f t="shared" si="40"/>
        <v>-</v>
      </c>
      <c r="AD114" s="155" t="str">
        <f t="shared" si="40"/>
        <v>-</v>
      </c>
      <c r="AE114" s="155" t="str">
        <f t="shared" si="40"/>
        <v>-</v>
      </c>
      <c r="AF114" s="155" t="str">
        <f t="shared" si="40"/>
        <v>-</v>
      </c>
      <c r="AG114" s="155" t="str">
        <f t="shared" si="40"/>
        <v>-</v>
      </c>
      <c r="AH114" s="155" t="str">
        <f t="shared" si="40"/>
        <v>-</v>
      </c>
      <c r="AI114" s="155" t="str">
        <f t="shared" si="40"/>
        <v>-</v>
      </c>
      <c r="AJ114" s="155" t="str">
        <f t="shared" si="40"/>
        <v>-</v>
      </c>
      <c r="AK114" s="155" t="str">
        <f t="shared" si="40"/>
        <v>-</v>
      </c>
      <c r="AL114" s="155" t="str">
        <f t="shared" si="40"/>
        <v>-</v>
      </c>
      <c r="AM114" s="155" t="str">
        <f t="shared" si="40"/>
        <v>-</v>
      </c>
      <c r="AN114" s="155" t="str">
        <f t="shared" si="40"/>
        <v>-</v>
      </c>
      <c r="AO114" s="155" t="str">
        <f t="shared" si="40"/>
        <v>-</v>
      </c>
      <c r="AP114" s="155" t="str">
        <f t="shared" si="40"/>
        <v>-</v>
      </c>
      <c r="AQ114" s="155" t="str">
        <f t="shared" si="40"/>
        <v>-</v>
      </c>
      <c r="AR114" s="155" t="str">
        <f t="shared" si="40"/>
        <v>-</v>
      </c>
      <c r="AS114" s="155" t="str">
        <f t="shared" si="40"/>
        <v>-</v>
      </c>
      <c r="AT114" s="155" t="str">
        <f t="shared" si="40"/>
        <v>-</v>
      </c>
      <c r="AU114" s="155" t="str">
        <f t="shared" si="40"/>
        <v>-</v>
      </c>
      <c r="AV114" s="155" t="str">
        <f t="shared" si="40"/>
        <v>-</v>
      </c>
      <c r="AW114" s="155" t="str">
        <f t="shared" si="40"/>
        <v>-</v>
      </c>
      <c r="AX114" s="155">
        <f t="shared" si="40"/>
        <v>0.3</v>
      </c>
      <c r="AY114" s="155">
        <f t="shared" si="40"/>
        <v>0.3</v>
      </c>
      <c r="AZ114" s="155">
        <f t="shared" si="40"/>
        <v>0.3</v>
      </c>
      <c r="BA114" s="155">
        <f t="shared" si="40"/>
        <v>0.3</v>
      </c>
      <c r="BB114" s="155">
        <f t="shared" si="40"/>
        <v>0.3</v>
      </c>
      <c r="BC114" s="155">
        <f t="shared" si="40"/>
        <v>0.3</v>
      </c>
      <c r="BD114" s="155">
        <f t="shared" si="40"/>
        <v>0.3</v>
      </c>
      <c r="BE114" s="155">
        <f t="shared" si="40"/>
        <v>0.3</v>
      </c>
      <c r="BF114" s="155">
        <f t="shared" si="40"/>
        <v>0.3</v>
      </c>
      <c r="BG114" s="155">
        <f t="shared" si="40"/>
        <v>0.3</v>
      </c>
      <c r="BH114" s="155">
        <f t="shared" si="40"/>
        <v>0.3</v>
      </c>
      <c r="BI114" s="155">
        <f t="shared" si="40"/>
        <v>0.3</v>
      </c>
      <c r="BJ114" s="155">
        <f t="shared" si="40"/>
        <v>0.3</v>
      </c>
      <c r="BK114" s="155">
        <f t="shared" si="40"/>
        <v>0.3</v>
      </c>
      <c r="BL114" s="155">
        <f t="shared" si="40"/>
        <v>0.3</v>
      </c>
      <c r="BM114" s="155">
        <f t="shared" si="40"/>
        <v>0.3</v>
      </c>
      <c r="BN114" s="155">
        <f t="shared" ref="BN114:BO117" si="41">IFERROR(BN162/BN66,"-")</f>
        <v>0.3</v>
      </c>
      <c r="BO114" s="155">
        <f t="shared" si="41"/>
        <v>0.3</v>
      </c>
      <c r="BP114" s="155">
        <v>0.1</v>
      </c>
      <c r="BQ114" s="155">
        <v>0.1</v>
      </c>
      <c r="BR114" s="155">
        <v>0.1</v>
      </c>
      <c r="BS114" s="155">
        <v>0.1</v>
      </c>
      <c r="BT114" s="155">
        <f t="shared" si="36"/>
        <v>9.8587251607914511E-2</v>
      </c>
    </row>
    <row r="115" spans="1:107" ht="15" hidden="1" customHeight="1" outlineLevel="1" x14ac:dyDescent="0.3">
      <c r="A115" t="s">
        <v>296</v>
      </c>
      <c r="B115" s="134" t="s">
        <v>230</v>
      </c>
      <c r="C115" s="155" t="str">
        <f t="shared" ref="C115:BN118" si="42">IFERROR(C163/C67,"-")</f>
        <v>-</v>
      </c>
      <c r="D115" s="155" t="str">
        <f t="shared" si="42"/>
        <v>-</v>
      </c>
      <c r="E115" s="155" t="str">
        <f t="shared" si="42"/>
        <v>-</v>
      </c>
      <c r="F115" s="155" t="str">
        <f t="shared" si="42"/>
        <v>-</v>
      </c>
      <c r="G115" s="155" t="str">
        <f t="shared" si="42"/>
        <v>-</v>
      </c>
      <c r="H115" s="155" t="str">
        <f t="shared" si="42"/>
        <v>-</v>
      </c>
      <c r="I115" s="155" t="str">
        <f t="shared" si="42"/>
        <v>-</v>
      </c>
      <c r="J115" s="155" t="str">
        <f t="shared" si="42"/>
        <v>-</v>
      </c>
      <c r="K115" s="155" t="str">
        <f t="shared" si="42"/>
        <v>-</v>
      </c>
      <c r="L115" s="155" t="str">
        <f t="shared" si="42"/>
        <v>-</v>
      </c>
      <c r="M115" s="155" t="str">
        <f t="shared" si="42"/>
        <v>-</v>
      </c>
      <c r="N115" s="155" t="str">
        <f t="shared" si="42"/>
        <v>-</v>
      </c>
      <c r="O115" s="155" t="str">
        <f t="shared" si="42"/>
        <v>-</v>
      </c>
      <c r="P115" s="155" t="str">
        <f t="shared" si="42"/>
        <v>-</v>
      </c>
      <c r="Q115" s="155" t="str">
        <f t="shared" si="42"/>
        <v>-</v>
      </c>
      <c r="R115" s="155" t="str">
        <f t="shared" si="42"/>
        <v>-</v>
      </c>
      <c r="S115" s="155" t="str">
        <f t="shared" si="42"/>
        <v>-</v>
      </c>
      <c r="T115" s="155" t="str">
        <f t="shared" si="42"/>
        <v>-</v>
      </c>
      <c r="U115" s="155" t="str">
        <f t="shared" si="42"/>
        <v>-</v>
      </c>
      <c r="V115" s="155" t="str">
        <f t="shared" si="42"/>
        <v>-</v>
      </c>
      <c r="W115" s="155" t="str">
        <f t="shared" si="42"/>
        <v>-</v>
      </c>
      <c r="X115" s="155" t="str">
        <f t="shared" si="42"/>
        <v>-</v>
      </c>
      <c r="Y115" s="155" t="str">
        <f t="shared" si="42"/>
        <v>-</v>
      </c>
      <c r="Z115" s="155" t="str">
        <f t="shared" si="42"/>
        <v>-</v>
      </c>
      <c r="AA115" s="155" t="str">
        <f t="shared" si="42"/>
        <v>-</v>
      </c>
      <c r="AB115" s="155" t="str">
        <f t="shared" si="42"/>
        <v>-</v>
      </c>
      <c r="AC115" s="155" t="str">
        <f t="shared" si="42"/>
        <v>-</v>
      </c>
      <c r="AD115" s="155" t="str">
        <f t="shared" si="42"/>
        <v>-</v>
      </c>
      <c r="AE115" s="155" t="str">
        <f t="shared" si="42"/>
        <v>-</v>
      </c>
      <c r="AF115" s="155" t="str">
        <f t="shared" si="42"/>
        <v>-</v>
      </c>
      <c r="AG115" s="155" t="str">
        <f t="shared" si="42"/>
        <v>-</v>
      </c>
      <c r="AH115" s="155" t="str">
        <f t="shared" si="42"/>
        <v>-</v>
      </c>
      <c r="AI115" s="155" t="str">
        <f t="shared" si="42"/>
        <v>-</v>
      </c>
      <c r="AJ115" s="155" t="str">
        <f t="shared" si="42"/>
        <v>-</v>
      </c>
      <c r="AK115" s="155" t="str">
        <f t="shared" si="42"/>
        <v>-</v>
      </c>
      <c r="AL115" s="155" t="str">
        <f t="shared" si="42"/>
        <v>-</v>
      </c>
      <c r="AM115" s="155" t="str">
        <f t="shared" si="42"/>
        <v>-</v>
      </c>
      <c r="AN115" s="155" t="str">
        <f t="shared" si="42"/>
        <v>-</v>
      </c>
      <c r="AO115" s="155" t="str">
        <f t="shared" si="42"/>
        <v>-</v>
      </c>
      <c r="AP115" s="155" t="str">
        <f t="shared" si="42"/>
        <v>-</v>
      </c>
      <c r="AQ115" s="155" t="str">
        <f t="shared" si="42"/>
        <v>-</v>
      </c>
      <c r="AR115" s="155" t="str">
        <f t="shared" si="42"/>
        <v>-</v>
      </c>
      <c r="AS115" s="155" t="str">
        <f t="shared" si="42"/>
        <v>-</v>
      </c>
      <c r="AT115" s="155" t="str">
        <f t="shared" si="42"/>
        <v>-</v>
      </c>
      <c r="AU115" s="155" t="str">
        <f t="shared" si="42"/>
        <v>-</v>
      </c>
      <c r="AV115" s="155" t="str">
        <f t="shared" si="42"/>
        <v>-</v>
      </c>
      <c r="AW115" s="155" t="str">
        <f t="shared" si="42"/>
        <v>-</v>
      </c>
      <c r="AX115" s="155">
        <f t="shared" si="42"/>
        <v>0.3</v>
      </c>
      <c r="AY115" s="155">
        <f t="shared" si="42"/>
        <v>0.3</v>
      </c>
      <c r="AZ115" s="155">
        <f t="shared" si="42"/>
        <v>0.3</v>
      </c>
      <c r="BA115" s="155">
        <f t="shared" si="42"/>
        <v>0.3</v>
      </c>
      <c r="BB115" s="155">
        <f t="shared" si="42"/>
        <v>0.3</v>
      </c>
      <c r="BC115" s="155">
        <f t="shared" si="42"/>
        <v>0.3</v>
      </c>
      <c r="BD115" s="155">
        <f t="shared" si="42"/>
        <v>0.3</v>
      </c>
      <c r="BE115" s="155">
        <f t="shared" si="42"/>
        <v>0.30000248412231811</v>
      </c>
      <c r="BF115" s="155">
        <f t="shared" si="42"/>
        <v>0.3</v>
      </c>
      <c r="BG115" s="155">
        <f t="shared" si="42"/>
        <v>0.3</v>
      </c>
      <c r="BH115" s="155">
        <f t="shared" si="42"/>
        <v>0.3</v>
      </c>
      <c r="BI115" s="155">
        <f t="shared" si="42"/>
        <v>0.3</v>
      </c>
      <c r="BJ115" s="155">
        <f t="shared" si="42"/>
        <v>0.3</v>
      </c>
      <c r="BK115" s="155">
        <f t="shared" si="42"/>
        <v>0.3</v>
      </c>
      <c r="BL115" s="155">
        <f t="shared" si="42"/>
        <v>0.3</v>
      </c>
      <c r="BM115" s="155">
        <f t="shared" si="42"/>
        <v>0.3</v>
      </c>
      <c r="BN115" s="155">
        <f t="shared" si="42"/>
        <v>0.3</v>
      </c>
      <c r="BO115" s="155">
        <f t="shared" si="41"/>
        <v>0.3</v>
      </c>
      <c r="BP115" s="155">
        <v>0.1</v>
      </c>
      <c r="BQ115" s="155">
        <v>0.1</v>
      </c>
      <c r="BR115" s="155">
        <v>0.1</v>
      </c>
      <c r="BS115" s="155">
        <v>0.1</v>
      </c>
      <c r="BT115" s="155">
        <f t="shared" si="36"/>
        <v>0.1</v>
      </c>
    </row>
    <row r="116" spans="1:107" s="123" customFormat="1" ht="15" customHeight="1" collapsed="1" x14ac:dyDescent="0.3">
      <c r="B116" s="133" t="str">
        <f>IF('Sumário | Summary'!P1=1,"Escritórios Classe A","Class A Offices")</f>
        <v>Escritórios Classe A</v>
      </c>
      <c r="C116" s="152">
        <f t="shared" si="42"/>
        <v>0.85913328803266542</v>
      </c>
      <c r="D116" s="152">
        <f t="shared" si="42"/>
        <v>0.87222651015096375</v>
      </c>
      <c r="E116" s="152">
        <f t="shared" si="42"/>
        <v>0.87222651015096375</v>
      </c>
      <c r="F116" s="152">
        <f t="shared" si="42"/>
        <v>0.87222651015096375</v>
      </c>
      <c r="G116" s="152">
        <f t="shared" si="42"/>
        <v>0.87222651015096375</v>
      </c>
      <c r="H116" s="152">
        <f t="shared" si="42"/>
        <v>0.87222651015096375</v>
      </c>
      <c r="I116" s="152">
        <f t="shared" si="42"/>
        <v>0.87222651015096375</v>
      </c>
      <c r="J116" s="152">
        <f t="shared" si="42"/>
        <v>0.87222651015096375</v>
      </c>
      <c r="K116" s="152">
        <f t="shared" si="42"/>
        <v>0.87222651015096375</v>
      </c>
      <c r="L116" s="152">
        <f t="shared" si="42"/>
        <v>0.87222651015096375</v>
      </c>
      <c r="M116" s="152">
        <f t="shared" si="42"/>
        <v>0.87222651015096375</v>
      </c>
      <c r="N116" s="152">
        <f t="shared" si="42"/>
        <v>0.87222651015096375</v>
      </c>
      <c r="O116" s="152">
        <f t="shared" si="42"/>
        <v>0.87222651015096375</v>
      </c>
      <c r="P116" s="152">
        <f t="shared" si="42"/>
        <v>0.87222651015096375</v>
      </c>
      <c r="Q116" s="152">
        <f t="shared" si="42"/>
        <v>0.87222651015096375</v>
      </c>
      <c r="R116" s="152">
        <f t="shared" si="42"/>
        <v>0.87222651015096375</v>
      </c>
      <c r="S116" s="152">
        <f t="shared" si="42"/>
        <v>0.87222651015096375</v>
      </c>
      <c r="T116" s="152">
        <f t="shared" si="42"/>
        <v>0.87222651015096375</v>
      </c>
      <c r="U116" s="152">
        <f t="shared" si="42"/>
        <v>0.87222651015096375</v>
      </c>
      <c r="V116" s="152">
        <f t="shared" si="42"/>
        <v>0.87222651015096375</v>
      </c>
      <c r="W116" s="152">
        <f t="shared" si="42"/>
        <v>0.87222651015096375</v>
      </c>
      <c r="X116" s="152">
        <f t="shared" si="42"/>
        <v>0.87222666438764274</v>
      </c>
      <c r="Y116" s="152">
        <f t="shared" si="42"/>
        <v>0.87222666438764274</v>
      </c>
      <c r="Z116" s="152">
        <f t="shared" si="42"/>
        <v>0.87222666438764274</v>
      </c>
      <c r="AA116" s="152">
        <f t="shared" si="42"/>
        <v>0.87222666438764274</v>
      </c>
      <c r="AB116" s="152">
        <f t="shared" si="42"/>
        <v>0.87222666438764274</v>
      </c>
      <c r="AC116" s="152">
        <f t="shared" si="42"/>
        <v>0.87222666438764274</v>
      </c>
      <c r="AD116" s="152">
        <f t="shared" si="42"/>
        <v>0.87222651015096375</v>
      </c>
      <c r="AE116" s="152">
        <f t="shared" si="42"/>
        <v>0.87222651015096375</v>
      </c>
      <c r="AF116" s="152">
        <f t="shared" si="42"/>
        <v>0.8628080321326782</v>
      </c>
      <c r="AG116" s="152">
        <f t="shared" si="42"/>
        <v>0.8628065384853667</v>
      </c>
      <c r="AH116" s="152">
        <f t="shared" si="42"/>
        <v>0.8628065384853667</v>
      </c>
      <c r="AI116" s="152">
        <f t="shared" si="42"/>
        <v>0.8628080321326782</v>
      </c>
      <c r="AJ116" s="152">
        <f t="shared" si="42"/>
        <v>0.8628080321326782</v>
      </c>
      <c r="AK116" s="152">
        <f t="shared" si="42"/>
        <v>0.86280717862391132</v>
      </c>
      <c r="AL116" s="152">
        <f t="shared" si="42"/>
        <v>1.1890712607953988</v>
      </c>
      <c r="AM116" s="152">
        <f t="shared" si="42"/>
        <v>1.1890696397498044</v>
      </c>
      <c r="AN116" s="152">
        <f t="shared" si="42"/>
        <v>1.1890892670674229</v>
      </c>
      <c r="AO116" s="152">
        <f t="shared" si="42"/>
        <v>0.85476497446279343</v>
      </c>
      <c r="AP116" s="152">
        <f t="shared" si="42"/>
        <v>0.85476963974980413</v>
      </c>
      <c r="AQ116" s="152">
        <f t="shared" si="42"/>
        <v>0.85476963974980413</v>
      </c>
      <c r="AR116" s="152">
        <f t="shared" si="42"/>
        <v>0.85476963974980413</v>
      </c>
      <c r="AS116" s="152">
        <f t="shared" si="42"/>
        <v>0.85476963974980413</v>
      </c>
      <c r="AT116" s="152">
        <f t="shared" si="42"/>
        <v>0.85476963974980413</v>
      </c>
      <c r="AU116" s="152">
        <f t="shared" si="42"/>
        <v>0.6202355465065249</v>
      </c>
      <c r="AV116" s="152">
        <f t="shared" si="42"/>
        <v>0.89154663881922036</v>
      </c>
      <c r="AW116" s="152">
        <f t="shared" si="42"/>
        <v>0.71371540246920373</v>
      </c>
      <c r="AX116" s="152">
        <f t="shared" si="42"/>
        <v>0.71667704024440615</v>
      </c>
      <c r="AY116" s="152">
        <f t="shared" si="42"/>
        <v>0.71667704024440615</v>
      </c>
      <c r="AZ116" s="152">
        <f t="shared" si="42"/>
        <v>0.71667704024440615</v>
      </c>
      <c r="BA116" s="152">
        <f t="shared" si="42"/>
        <v>0.71667704024440615</v>
      </c>
      <c r="BB116" s="152">
        <f t="shared" si="42"/>
        <v>0.71667704024440615</v>
      </c>
      <c r="BC116" s="152">
        <f t="shared" si="42"/>
        <v>0.71667612991225582</v>
      </c>
      <c r="BD116" s="152">
        <f t="shared" si="42"/>
        <v>0.71667612991225582</v>
      </c>
      <c r="BE116" s="152">
        <f t="shared" si="42"/>
        <v>0.71667612991225582</v>
      </c>
      <c r="BF116" s="152">
        <f t="shared" si="42"/>
        <v>0.71667704024440615</v>
      </c>
      <c r="BG116" s="152">
        <f t="shared" si="42"/>
        <v>0.71667612991225582</v>
      </c>
      <c r="BH116" s="152">
        <f t="shared" si="42"/>
        <v>0.716676429813211</v>
      </c>
      <c r="BI116" s="152">
        <f t="shared" si="42"/>
        <v>0.716676429813211</v>
      </c>
      <c r="BJ116" s="152">
        <f t="shared" si="42"/>
        <v>0.716676429813211</v>
      </c>
      <c r="BK116" s="152">
        <f t="shared" si="42"/>
        <v>0.716676429813211</v>
      </c>
      <c r="BL116" s="152">
        <f t="shared" si="42"/>
        <v>0.716676429813211</v>
      </c>
      <c r="BM116" s="152">
        <f t="shared" si="42"/>
        <v>0.716676429813211</v>
      </c>
      <c r="BN116" s="152">
        <f t="shared" si="42"/>
        <v>0.72119996664841202</v>
      </c>
      <c r="BO116" s="152">
        <f t="shared" si="41"/>
        <v>0.72119996664841202</v>
      </c>
      <c r="BP116" s="152">
        <v>0.72119996664841202</v>
      </c>
      <c r="BQ116" s="152">
        <v>0.72119996664841191</v>
      </c>
      <c r="BR116" s="152">
        <v>0.72119996664841191</v>
      </c>
      <c r="BS116" s="152">
        <v>0.80336563675247441</v>
      </c>
      <c r="BT116" s="152">
        <f t="shared" si="36"/>
        <v>0.79907919707646724</v>
      </c>
    </row>
    <row r="117" spans="1:107" s="157" customFormat="1" ht="15" hidden="1" customHeight="1" outlineLevel="1" x14ac:dyDescent="0.3">
      <c r="A117" t="s">
        <v>297</v>
      </c>
      <c r="B117" s="154" t="s">
        <v>232</v>
      </c>
      <c r="C117" s="155">
        <f t="shared" si="42"/>
        <v>1</v>
      </c>
      <c r="D117" s="155">
        <f t="shared" si="42"/>
        <v>1</v>
      </c>
      <c r="E117" s="155">
        <f t="shared" si="42"/>
        <v>1</v>
      </c>
      <c r="F117" s="155">
        <f t="shared" si="42"/>
        <v>1</v>
      </c>
      <c r="G117" s="155">
        <f t="shared" si="42"/>
        <v>1</v>
      </c>
      <c r="H117" s="155">
        <f t="shared" si="42"/>
        <v>1</v>
      </c>
      <c r="I117" s="155">
        <f t="shared" si="42"/>
        <v>1</v>
      </c>
      <c r="J117" s="155">
        <f t="shared" si="42"/>
        <v>1</v>
      </c>
      <c r="K117" s="155">
        <f t="shared" si="42"/>
        <v>1</v>
      </c>
      <c r="L117" s="155">
        <f t="shared" si="42"/>
        <v>1</v>
      </c>
      <c r="M117" s="155">
        <f t="shared" si="42"/>
        <v>1</v>
      </c>
      <c r="N117" s="155">
        <f t="shared" si="42"/>
        <v>1</v>
      </c>
      <c r="O117" s="155">
        <f t="shared" si="42"/>
        <v>1</v>
      </c>
      <c r="P117" s="155">
        <f t="shared" si="42"/>
        <v>1</v>
      </c>
      <c r="Q117" s="155">
        <f t="shared" si="42"/>
        <v>1</v>
      </c>
      <c r="R117" s="155">
        <f t="shared" si="42"/>
        <v>1</v>
      </c>
      <c r="S117" s="155">
        <f t="shared" si="42"/>
        <v>1</v>
      </c>
      <c r="T117" s="155">
        <f t="shared" si="42"/>
        <v>1</v>
      </c>
      <c r="U117" s="155">
        <f t="shared" si="42"/>
        <v>1</v>
      </c>
      <c r="V117" s="155">
        <f t="shared" si="42"/>
        <v>1</v>
      </c>
      <c r="W117" s="155">
        <f t="shared" si="42"/>
        <v>1</v>
      </c>
      <c r="X117" s="155">
        <f t="shared" si="42"/>
        <v>1</v>
      </c>
      <c r="Y117" s="155">
        <f t="shared" si="42"/>
        <v>1</v>
      </c>
      <c r="Z117" s="155">
        <f t="shared" si="42"/>
        <v>1</v>
      </c>
      <c r="AA117" s="155">
        <f t="shared" si="42"/>
        <v>1</v>
      </c>
      <c r="AB117" s="155">
        <f t="shared" si="42"/>
        <v>1</v>
      </c>
      <c r="AC117" s="155">
        <f t="shared" si="42"/>
        <v>1</v>
      </c>
      <c r="AD117" s="155">
        <f t="shared" si="42"/>
        <v>1</v>
      </c>
      <c r="AE117" s="155">
        <f t="shared" si="42"/>
        <v>1</v>
      </c>
      <c r="AF117" s="155">
        <f t="shared" si="42"/>
        <v>1</v>
      </c>
      <c r="AG117" s="155">
        <f t="shared" si="42"/>
        <v>1</v>
      </c>
      <c r="AH117" s="155">
        <f t="shared" si="42"/>
        <v>1</v>
      </c>
      <c r="AI117" s="155">
        <f t="shared" si="42"/>
        <v>1</v>
      </c>
      <c r="AJ117" s="155">
        <f t="shared" si="42"/>
        <v>1</v>
      </c>
      <c r="AK117" s="155">
        <f t="shared" si="42"/>
        <v>1</v>
      </c>
      <c r="AL117" s="155">
        <f t="shared" si="42"/>
        <v>1</v>
      </c>
      <c r="AM117" s="155">
        <f t="shared" si="42"/>
        <v>1</v>
      </c>
      <c r="AN117" s="155">
        <f t="shared" si="42"/>
        <v>1</v>
      </c>
      <c r="AO117" s="155">
        <f t="shared" si="42"/>
        <v>0.66570731402114769</v>
      </c>
      <c r="AP117" s="155">
        <f t="shared" si="42"/>
        <v>0.66569999999999996</v>
      </c>
      <c r="AQ117" s="155">
        <f t="shared" si="42"/>
        <v>0.66569999999999996</v>
      </c>
      <c r="AR117" s="155">
        <f t="shared" si="42"/>
        <v>0.66569999999999996</v>
      </c>
      <c r="AS117" s="155">
        <f t="shared" si="42"/>
        <v>0.66569999999999996</v>
      </c>
      <c r="AT117" s="155">
        <f t="shared" si="42"/>
        <v>0.66569999999999996</v>
      </c>
      <c r="AU117" s="155">
        <f t="shared" si="42"/>
        <v>0.66569999999999996</v>
      </c>
      <c r="AV117" s="155">
        <f t="shared" si="42"/>
        <v>0.66569999999999996</v>
      </c>
      <c r="AW117" s="155">
        <f t="shared" si="42"/>
        <v>0.66569999999999996</v>
      </c>
      <c r="AX117" s="155">
        <f t="shared" si="42"/>
        <v>0.66569999999999996</v>
      </c>
      <c r="AY117" s="155">
        <f t="shared" si="42"/>
        <v>0.66569999999999996</v>
      </c>
      <c r="AZ117" s="155">
        <f t="shared" si="42"/>
        <v>0.66569999999999996</v>
      </c>
      <c r="BA117" s="155">
        <f t="shared" si="42"/>
        <v>0.66569999999999996</v>
      </c>
      <c r="BB117" s="155">
        <f t="shared" si="42"/>
        <v>0.66569999999999996</v>
      </c>
      <c r="BC117" s="155">
        <f t="shared" si="42"/>
        <v>0.66569999999999996</v>
      </c>
      <c r="BD117" s="155">
        <f t="shared" si="42"/>
        <v>0.66569999999999996</v>
      </c>
      <c r="BE117" s="155">
        <f t="shared" si="42"/>
        <v>0.66569999999999996</v>
      </c>
      <c r="BF117" s="155">
        <f t="shared" si="42"/>
        <v>0.66569999999999996</v>
      </c>
      <c r="BG117" s="155">
        <f t="shared" si="42"/>
        <v>0.66569999999999996</v>
      </c>
      <c r="BH117" s="155">
        <f t="shared" si="42"/>
        <v>0.66569999999999996</v>
      </c>
      <c r="BI117" s="155">
        <f t="shared" si="42"/>
        <v>0.66569999999999996</v>
      </c>
      <c r="BJ117" s="155">
        <f t="shared" si="42"/>
        <v>0.66569999999999996</v>
      </c>
      <c r="BK117" s="155">
        <f t="shared" si="42"/>
        <v>0.66569999999999996</v>
      </c>
      <c r="BL117" s="155">
        <f t="shared" si="42"/>
        <v>0.66569999999999996</v>
      </c>
      <c r="BM117" s="155">
        <f t="shared" si="42"/>
        <v>0.66569999999999996</v>
      </c>
      <c r="BN117" s="155">
        <f t="shared" si="42"/>
        <v>0.66569999999999996</v>
      </c>
      <c r="BO117" s="155">
        <f t="shared" si="41"/>
        <v>0.66569999999999996</v>
      </c>
      <c r="BP117" s="155">
        <v>0.66569999999999996</v>
      </c>
      <c r="BQ117" s="155">
        <v>0.66569999999999996</v>
      </c>
      <c r="BR117" s="155">
        <v>0.66569999999999996</v>
      </c>
      <c r="BS117" s="155">
        <v>0.66569999999999996</v>
      </c>
      <c r="BT117" s="155">
        <f t="shared" si="36"/>
        <v>0.66569999999999996</v>
      </c>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row>
    <row r="118" spans="1:107" s="157" customFormat="1" ht="15" hidden="1" customHeight="1" outlineLevel="1" x14ac:dyDescent="0.3">
      <c r="A118" t="s">
        <v>298</v>
      </c>
      <c r="B118" s="154" t="s">
        <v>234</v>
      </c>
      <c r="C118" s="155">
        <f t="shared" si="42"/>
        <v>1</v>
      </c>
      <c r="D118" s="155">
        <f t="shared" si="42"/>
        <v>1</v>
      </c>
      <c r="E118" s="155">
        <f t="shared" si="42"/>
        <v>1</v>
      </c>
      <c r="F118" s="155">
        <f t="shared" si="42"/>
        <v>1</v>
      </c>
      <c r="G118" s="155">
        <f t="shared" si="42"/>
        <v>1</v>
      </c>
      <c r="H118" s="155">
        <f t="shared" si="42"/>
        <v>1</v>
      </c>
      <c r="I118" s="155">
        <f t="shared" si="42"/>
        <v>1</v>
      </c>
      <c r="J118" s="155">
        <f t="shared" si="42"/>
        <v>1</v>
      </c>
      <c r="K118" s="155">
        <f t="shared" si="42"/>
        <v>1</v>
      </c>
      <c r="L118" s="155">
        <f t="shared" si="42"/>
        <v>1</v>
      </c>
      <c r="M118" s="155">
        <f t="shared" si="42"/>
        <v>1</v>
      </c>
      <c r="N118" s="155">
        <f t="shared" si="42"/>
        <v>1</v>
      </c>
      <c r="O118" s="155">
        <f t="shared" si="42"/>
        <v>1</v>
      </c>
      <c r="P118" s="155">
        <f t="shared" si="42"/>
        <v>1</v>
      </c>
      <c r="Q118" s="155">
        <f t="shared" si="42"/>
        <v>1</v>
      </c>
      <c r="R118" s="155">
        <f t="shared" si="42"/>
        <v>1</v>
      </c>
      <c r="S118" s="155">
        <f t="shared" si="42"/>
        <v>1</v>
      </c>
      <c r="T118" s="155">
        <f t="shared" si="42"/>
        <v>1</v>
      </c>
      <c r="U118" s="155">
        <f t="shared" si="42"/>
        <v>1</v>
      </c>
      <c r="V118" s="155">
        <f t="shared" si="42"/>
        <v>1</v>
      </c>
      <c r="W118" s="155">
        <f t="shared" si="42"/>
        <v>1</v>
      </c>
      <c r="X118" s="155">
        <f t="shared" si="42"/>
        <v>1</v>
      </c>
      <c r="Y118" s="155">
        <f t="shared" si="42"/>
        <v>1</v>
      </c>
      <c r="Z118" s="155">
        <f t="shared" si="42"/>
        <v>1</v>
      </c>
      <c r="AA118" s="155">
        <f t="shared" si="42"/>
        <v>1</v>
      </c>
      <c r="AB118" s="155">
        <f t="shared" si="42"/>
        <v>1</v>
      </c>
      <c r="AC118" s="155">
        <f t="shared" si="42"/>
        <v>1</v>
      </c>
      <c r="AD118" s="155">
        <f t="shared" si="42"/>
        <v>1</v>
      </c>
      <c r="AE118" s="155">
        <f t="shared" si="42"/>
        <v>1</v>
      </c>
      <c r="AF118" s="155">
        <f t="shared" si="42"/>
        <v>1</v>
      </c>
      <c r="AG118" s="155">
        <f t="shared" si="42"/>
        <v>1</v>
      </c>
      <c r="AH118" s="155">
        <f t="shared" si="42"/>
        <v>1</v>
      </c>
      <c r="AI118" s="155">
        <f t="shared" si="42"/>
        <v>1</v>
      </c>
      <c r="AJ118" s="155">
        <f t="shared" si="42"/>
        <v>1</v>
      </c>
      <c r="AK118" s="155">
        <f t="shared" si="42"/>
        <v>1</v>
      </c>
      <c r="AL118" s="155">
        <f t="shared" si="42"/>
        <v>1</v>
      </c>
      <c r="AM118" s="155">
        <f t="shared" si="42"/>
        <v>1</v>
      </c>
      <c r="AN118" s="155">
        <f t="shared" si="42"/>
        <v>1</v>
      </c>
      <c r="AO118" s="155">
        <f t="shared" si="42"/>
        <v>0.66564748587496514</v>
      </c>
      <c r="AP118" s="155">
        <f t="shared" si="42"/>
        <v>0.66569999999999996</v>
      </c>
      <c r="AQ118" s="155">
        <f t="shared" si="42"/>
        <v>0.66569999999999996</v>
      </c>
      <c r="AR118" s="155">
        <f t="shared" si="42"/>
        <v>0.66569999999999996</v>
      </c>
      <c r="AS118" s="155">
        <f t="shared" si="42"/>
        <v>0.66569999999999996</v>
      </c>
      <c r="AT118" s="155">
        <f t="shared" si="42"/>
        <v>0.66569999999999996</v>
      </c>
      <c r="AU118" s="155">
        <f t="shared" si="42"/>
        <v>0.66569999999999996</v>
      </c>
      <c r="AV118" s="155">
        <f t="shared" si="42"/>
        <v>0.66569999999999996</v>
      </c>
      <c r="AW118" s="155">
        <f t="shared" si="42"/>
        <v>0.66569999999999996</v>
      </c>
      <c r="AX118" s="155">
        <f t="shared" si="42"/>
        <v>0.66569999999999996</v>
      </c>
      <c r="AY118" s="155">
        <f t="shared" si="42"/>
        <v>0.66569999999999996</v>
      </c>
      <c r="AZ118" s="155">
        <f t="shared" si="42"/>
        <v>0.66569999999999996</v>
      </c>
      <c r="BA118" s="155">
        <f t="shared" si="42"/>
        <v>0.66569999999999996</v>
      </c>
      <c r="BB118" s="155">
        <f t="shared" si="42"/>
        <v>0.66569999999999996</v>
      </c>
      <c r="BC118" s="155">
        <f t="shared" si="42"/>
        <v>0.66569999999999996</v>
      </c>
      <c r="BD118" s="155">
        <f t="shared" si="42"/>
        <v>0.66569999999999996</v>
      </c>
      <c r="BE118" s="155">
        <f t="shared" si="42"/>
        <v>0.66569999999999996</v>
      </c>
      <c r="BF118" s="155">
        <f t="shared" si="42"/>
        <v>0.66569999999999996</v>
      </c>
      <c r="BG118" s="155">
        <f t="shared" si="42"/>
        <v>0.66569999999999996</v>
      </c>
      <c r="BH118" s="155">
        <f t="shared" si="42"/>
        <v>0.66569999999999996</v>
      </c>
      <c r="BI118" s="155">
        <f t="shared" si="42"/>
        <v>0.66569999999999996</v>
      </c>
      <c r="BJ118" s="155">
        <f t="shared" si="42"/>
        <v>0.66569999999999996</v>
      </c>
      <c r="BK118" s="155">
        <f t="shared" si="42"/>
        <v>0.66569999999999996</v>
      </c>
      <c r="BL118" s="155">
        <f t="shared" si="42"/>
        <v>0.66569999999999996</v>
      </c>
      <c r="BM118" s="155">
        <f t="shared" si="42"/>
        <v>0.66569999999999996</v>
      </c>
      <c r="BN118" s="155">
        <f t="shared" ref="BN118:BO121" si="43">IFERROR(BN166/BN70,"-")</f>
        <v>0.66569999999999996</v>
      </c>
      <c r="BO118" s="155">
        <f t="shared" si="43"/>
        <v>0.66569999999999996</v>
      </c>
      <c r="BP118" s="155">
        <v>0.66569999999999996</v>
      </c>
      <c r="BQ118" s="155">
        <v>0.66569999999999996</v>
      </c>
      <c r="BR118" s="155">
        <v>0.66569999999999996</v>
      </c>
      <c r="BS118" s="155">
        <v>0.66569999999999996</v>
      </c>
      <c r="BT118" s="155">
        <f t="shared" si="36"/>
        <v>0.66569999999999996</v>
      </c>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row>
    <row r="119" spans="1:107" s="157" customFormat="1" ht="15" hidden="1" customHeight="1" outlineLevel="1" x14ac:dyDescent="0.3">
      <c r="A119" t="s">
        <v>73</v>
      </c>
      <c r="B119" s="154" t="s">
        <v>235</v>
      </c>
      <c r="C119" s="155">
        <f t="shared" ref="C119:BN122" si="44">IFERROR(C167/C71,"-")</f>
        <v>1</v>
      </c>
      <c r="D119" s="155">
        <f t="shared" si="44"/>
        <v>1</v>
      </c>
      <c r="E119" s="155">
        <f t="shared" si="44"/>
        <v>1</v>
      </c>
      <c r="F119" s="155">
        <f t="shared" si="44"/>
        <v>1</v>
      </c>
      <c r="G119" s="155">
        <f t="shared" si="44"/>
        <v>1</v>
      </c>
      <c r="H119" s="155">
        <f t="shared" si="44"/>
        <v>1</v>
      </c>
      <c r="I119" s="155">
        <f t="shared" si="44"/>
        <v>1</v>
      </c>
      <c r="J119" s="155">
        <f t="shared" si="44"/>
        <v>1</v>
      </c>
      <c r="K119" s="155">
        <f t="shared" si="44"/>
        <v>1</v>
      </c>
      <c r="L119" s="155">
        <f t="shared" si="44"/>
        <v>1</v>
      </c>
      <c r="M119" s="155">
        <f t="shared" si="44"/>
        <v>1</v>
      </c>
      <c r="N119" s="155">
        <f t="shared" si="44"/>
        <v>1</v>
      </c>
      <c r="O119" s="155">
        <f t="shared" si="44"/>
        <v>1</v>
      </c>
      <c r="P119" s="155">
        <f t="shared" si="44"/>
        <v>1</v>
      </c>
      <c r="Q119" s="155">
        <f t="shared" si="44"/>
        <v>1</v>
      </c>
      <c r="R119" s="155">
        <f t="shared" si="44"/>
        <v>1</v>
      </c>
      <c r="S119" s="155">
        <f t="shared" si="44"/>
        <v>1</v>
      </c>
      <c r="T119" s="155">
        <f t="shared" si="44"/>
        <v>1</v>
      </c>
      <c r="U119" s="155">
        <f t="shared" si="44"/>
        <v>1</v>
      </c>
      <c r="V119" s="155">
        <f t="shared" si="44"/>
        <v>1</v>
      </c>
      <c r="W119" s="155">
        <f t="shared" si="44"/>
        <v>1</v>
      </c>
      <c r="X119" s="155">
        <f t="shared" si="44"/>
        <v>1</v>
      </c>
      <c r="Y119" s="155">
        <f t="shared" si="44"/>
        <v>1</v>
      </c>
      <c r="Z119" s="155">
        <f t="shared" si="44"/>
        <v>1</v>
      </c>
      <c r="AA119" s="155">
        <f t="shared" si="44"/>
        <v>1</v>
      </c>
      <c r="AB119" s="155">
        <f t="shared" si="44"/>
        <v>1</v>
      </c>
      <c r="AC119" s="155">
        <f t="shared" si="44"/>
        <v>1</v>
      </c>
      <c r="AD119" s="155">
        <f t="shared" si="44"/>
        <v>1</v>
      </c>
      <c r="AE119" s="155">
        <f t="shared" si="44"/>
        <v>1</v>
      </c>
      <c r="AF119" s="155">
        <f t="shared" si="44"/>
        <v>1</v>
      </c>
      <c r="AG119" s="155">
        <f t="shared" si="44"/>
        <v>1</v>
      </c>
      <c r="AH119" s="155">
        <f t="shared" si="44"/>
        <v>1</v>
      </c>
      <c r="AI119" s="155">
        <f t="shared" si="44"/>
        <v>1</v>
      </c>
      <c r="AJ119" s="155">
        <f t="shared" si="44"/>
        <v>1</v>
      </c>
      <c r="AK119" s="155">
        <f t="shared" si="44"/>
        <v>1</v>
      </c>
      <c r="AL119" s="155">
        <f t="shared" si="44"/>
        <v>1</v>
      </c>
      <c r="AM119" s="155">
        <f t="shared" si="44"/>
        <v>1</v>
      </c>
      <c r="AN119" s="155">
        <f t="shared" si="44"/>
        <v>1</v>
      </c>
      <c r="AO119" s="155">
        <f t="shared" si="44"/>
        <v>0.66567237699085979</v>
      </c>
      <c r="AP119" s="155">
        <f t="shared" si="44"/>
        <v>0.66569999999999996</v>
      </c>
      <c r="AQ119" s="155">
        <f t="shared" si="44"/>
        <v>0.66569999999999996</v>
      </c>
      <c r="AR119" s="155">
        <f t="shared" si="44"/>
        <v>0.66569999999999996</v>
      </c>
      <c r="AS119" s="155">
        <f t="shared" si="44"/>
        <v>0.66569999999999996</v>
      </c>
      <c r="AT119" s="155">
        <f t="shared" si="44"/>
        <v>0.66569999999999996</v>
      </c>
      <c r="AU119" s="155">
        <f t="shared" si="44"/>
        <v>0.66569999999999996</v>
      </c>
      <c r="AV119" s="155">
        <f t="shared" si="44"/>
        <v>0.66569999999999996</v>
      </c>
      <c r="AW119" s="155">
        <f t="shared" si="44"/>
        <v>0.66569999999999996</v>
      </c>
      <c r="AX119" s="155" t="str">
        <f t="shared" si="44"/>
        <v>-</v>
      </c>
      <c r="AY119" s="155" t="str">
        <f t="shared" si="44"/>
        <v>-</v>
      </c>
      <c r="AZ119" s="155" t="str">
        <f t="shared" si="44"/>
        <v>-</v>
      </c>
      <c r="BA119" s="155" t="str">
        <f t="shared" si="44"/>
        <v>-</v>
      </c>
      <c r="BB119" s="155" t="str">
        <f t="shared" si="44"/>
        <v>-</v>
      </c>
      <c r="BC119" s="155" t="str">
        <f t="shared" si="44"/>
        <v>-</v>
      </c>
      <c r="BD119" s="155" t="str">
        <f t="shared" si="44"/>
        <v>-</v>
      </c>
      <c r="BE119" s="155" t="str">
        <f t="shared" si="44"/>
        <v>-</v>
      </c>
      <c r="BF119" s="155" t="str">
        <f t="shared" si="44"/>
        <v>-</v>
      </c>
      <c r="BG119" s="155" t="str">
        <f t="shared" si="44"/>
        <v>-</v>
      </c>
      <c r="BH119" s="155" t="str">
        <f t="shared" si="44"/>
        <v>-</v>
      </c>
      <c r="BI119" s="155" t="str">
        <f t="shared" si="44"/>
        <v>-</v>
      </c>
      <c r="BJ119" s="155" t="str">
        <f t="shared" si="44"/>
        <v>-</v>
      </c>
      <c r="BK119" s="155" t="str">
        <f t="shared" si="44"/>
        <v>-</v>
      </c>
      <c r="BL119" s="155" t="str">
        <f t="shared" si="44"/>
        <v>-</v>
      </c>
      <c r="BM119" s="155" t="str">
        <f t="shared" si="44"/>
        <v>-</v>
      </c>
      <c r="BN119" s="155" t="str">
        <f t="shared" si="44"/>
        <v>-</v>
      </c>
      <c r="BO119" s="155" t="str">
        <f t="shared" si="43"/>
        <v>-</v>
      </c>
      <c r="BP119" s="155" t="s">
        <v>73</v>
      </c>
      <c r="BQ119" s="155" t="s">
        <v>73</v>
      </c>
      <c r="BR119" s="155" t="s">
        <v>73</v>
      </c>
      <c r="BS119" s="155" t="s">
        <v>73</v>
      </c>
      <c r="BT119" s="155" t="str">
        <f t="shared" si="36"/>
        <v>-</v>
      </c>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row>
    <row r="120" spans="1:107" s="157" customFormat="1" ht="15" hidden="1" customHeight="1" outlineLevel="1" x14ac:dyDescent="0.3">
      <c r="A120" t="s">
        <v>299</v>
      </c>
      <c r="B120" s="154" t="s">
        <v>237</v>
      </c>
      <c r="C120" s="155">
        <f t="shared" si="44"/>
        <v>0.49999999999999989</v>
      </c>
      <c r="D120" s="155">
        <f t="shared" si="44"/>
        <v>0.49999999999999989</v>
      </c>
      <c r="E120" s="155">
        <f t="shared" si="44"/>
        <v>0.49999999999999989</v>
      </c>
      <c r="F120" s="155">
        <f t="shared" si="44"/>
        <v>0.49999999999999989</v>
      </c>
      <c r="G120" s="155">
        <f t="shared" si="44"/>
        <v>0.49999999999999989</v>
      </c>
      <c r="H120" s="155">
        <f t="shared" si="44"/>
        <v>0.49999999999999989</v>
      </c>
      <c r="I120" s="155">
        <f t="shared" si="44"/>
        <v>0.49999999999999989</v>
      </c>
      <c r="J120" s="155">
        <f t="shared" si="44"/>
        <v>0.49999999999999989</v>
      </c>
      <c r="K120" s="155">
        <f t="shared" si="44"/>
        <v>0.49999999999999989</v>
      </c>
      <c r="L120" s="155">
        <f t="shared" si="44"/>
        <v>0.49999999999999989</v>
      </c>
      <c r="M120" s="155">
        <f t="shared" si="44"/>
        <v>0.49999999999999989</v>
      </c>
      <c r="N120" s="155">
        <f t="shared" si="44"/>
        <v>0.49999999999999989</v>
      </c>
      <c r="O120" s="155">
        <f t="shared" si="44"/>
        <v>0.49999999999999989</v>
      </c>
      <c r="P120" s="155">
        <f t="shared" si="44"/>
        <v>0.49999999999999989</v>
      </c>
      <c r="Q120" s="155">
        <f t="shared" si="44"/>
        <v>0.49999999999999989</v>
      </c>
      <c r="R120" s="155">
        <f t="shared" si="44"/>
        <v>0.49999999999999989</v>
      </c>
      <c r="S120" s="155">
        <f t="shared" si="44"/>
        <v>0.49999999999999989</v>
      </c>
      <c r="T120" s="155">
        <f t="shared" si="44"/>
        <v>0.49999999999999989</v>
      </c>
      <c r="U120" s="155">
        <f t="shared" si="44"/>
        <v>0.49999999999999989</v>
      </c>
      <c r="V120" s="155">
        <f t="shared" si="44"/>
        <v>0.49999999999999989</v>
      </c>
      <c r="W120" s="155">
        <f t="shared" si="44"/>
        <v>0.49999999999999989</v>
      </c>
      <c r="X120" s="155">
        <f t="shared" si="44"/>
        <v>0.49999999999999989</v>
      </c>
      <c r="Y120" s="155">
        <f t="shared" si="44"/>
        <v>0.49999999999999989</v>
      </c>
      <c r="Z120" s="155">
        <f t="shared" si="44"/>
        <v>0.49999999999999989</v>
      </c>
      <c r="AA120" s="155">
        <f t="shared" si="44"/>
        <v>0.49999999999999989</v>
      </c>
      <c r="AB120" s="155">
        <f t="shared" si="44"/>
        <v>0.49999999999999989</v>
      </c>
      <c r="AC120" s="155">
        <f t="shared" si="44"/>
        <v>0.49999999999999989</v>
      </c>
      <c r="AD120" s="155">
        <f t="shared" si="44"/>
        <v>0.49999999999999989</v>
      </c>
      <c r="AE120" s="155">
        <f t="shared" si="44"/>
        <v>0.49999999999999989</v>
      </c>
      <c r="AF120" s="155">
        <f t="shared" si="44"/>
        <v>0.49999999999999989</v>
      </c>
      <c r="AG120" s="155">
        <f t="shared" si="44"/>
        <v>0.49999999999999989</v>
      </c>
      <c r="AH120" s="155">
        <f t="shared" si="44"/>
        <v>0.49999999999999989</v>
      </c>
      <c r="AI120" s="155">
        <f t="shared" si="44"/>
        <v>0.49999999999999989</v>
      </c>
      <c r="AJ120" s="155">
        <f t="shared" si="44"/>
        <v>0.49999999999999989</v>
      </c>
      <c r="AK120" s="155">
        <f t="shared" si="44"/>
        <v>0.49999999999999989</v>
      </c>
      <c r="AL120" s="155" t="str">
        <f t="shared" si="44"/>
        <v>-</v>
      </c>
      <c r="AM120" s="155" t="str">
        <f t="shared" si="44"/>
        <v>-</v>
      </c>
      <c r="AN120" s="155" t="str">
        <f t="shared" si="44"/>
        <v>-</v>
      </c>
      <c r="AO120" s="155" t="str">
        <f t="shared" si="44"/>
        <v>-</v>
      </c>
      <c r="AP120" s="155" t="str">
        <f t="shared" si="44"/>
        <v>-</v>
      </c>
      <c r="AQ120" s="155" t="str">
        <f t="shared" si="44"/>
        <v>-</v>
      </c>
      <c r="AR120" s="155" t="str">
        <f t="shared" si="44"/>
        <v>-</v>
      </c>
      <c r="AS120" s="155" t="str">
        <f t="shared" si="44"/>
        <v>-</v>
      </c>
      <c r="AT120" s="155" t="str">
        <f t="shared" si="44"/>
        <v>-</v>
      </c>
      <c r="AU120" s="155">
        <f t="shared" si="44"/>
        <v>0.50000283419933877</v>
      </c>
      <c r="AV120" s="155" t="str">
        <f t="shared" si="44"/>
        <v>-</v>
      </c>
      <c r="AW120" s="155">
        <f t="shared" si="44"/>
        <v>0.50004997501249371</v>
      </c>
      <c r="AX120" s="155">
        <f t="shared" si="44"/>
        <v>0.50000299850074958</v>
      </c>
      <c r="AY120" s="155">
        <f t="shared" si="44"/>
        <v>0.50000299850074958</v>
      </c>
      <c r="AZ120" s="155">
        <f t="shared" si="44"/>
        <v>0.50000299850074958</v>
      </c>
      <c r="BA120" s="155">
        <f t="shared" si="44"/>
        <v>0.50000299850074958</v>
      </c>
      <c r="BB120" s="155">
        <f t="shared" si="44"/>
        <v>0.50000299850074958</v>
      </c>
      <c r="BC120" s="155">
        <f t="shared" si="44"/>
        <v>0.5</v>
      </c>
      <c r="BD120" s="155">
        <f t="shared" si="44"/>
        <v>0.5</v>
      </c>
      <c r="BE120" s="155">
        <f t="shared" si="44"/>
        <v>0.5</v>
      </c>
      <c r="BF120" s="155">
        <f t="shared" si="44"/>
        <v>0.50000299850074958</v>
      </c>
      <c r="BG120" s="155">
        <f t="shared" si="44"/>
        <v>0.5</v>
      </c>
      <c r="BH120" s="155">
        <f t="shared" si="44"/>
        <v>0.5</v>
      </c>
      <c r="BI120" s="155">
        <f t="shared" si="44"/>
        <v>0.5</v>
      </c>
      <c r="BJ120" s="155">
        <f t="shared" si="44"/>
        <v>0.5</v>
      </c>
      <c r="BK120" s="155">
        <f t="shared" si="44"/>
        <v>0.5</v>
      </c>
      <c r="BL120" s="155">
        <f t="shared" si="44"/>
        <v>0.5</v>
      </c>
      <c r="BM120" s="155">
        <f t="shared" si="44"/>
        <v>0.5</v>
      </c>
      <c r="BN120" s="155">
        <f t="shared" si="44"/>
        <v>0.5</v>
      </c>
      <c r="BO120" s="155">
        <f t="shared" si="43"/>
        <v>0.5</v>
      </c>
      <c r="BP120" s="155">
        <v>0.5</v>
      </c>
      <c r="BQ120" s="155">
        <v>0.5</v>
      </c>
      <c r="BR120" s="155">
        <v>0.5</v>
      </c>
      <c r="BS120" s="155">
        <v>1</v>
      </c>
      <c r="BT120" s="155">
        <f t="shared" si="36"/>
        <v>1</v>
      </c>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row>
    <row r="121" spans="1:107" s="157" customFormat="1" ht="15" hidden="1" customHeight="1" outlineLevel="1" x14ac:dyDescent="0.3">
      <c r="A121" t="s">
        <v>300</v>
      </c>
      <c r="B121" s="154" t="s">
        <v>239</v>
      </c>
      <c r="C121" s="155">
        <f t="shared" si="44"/>
        <v>1</v>
      </c>
      <c r="D121" s="155">
        <f t="shared" si="44"/>
        <v>1</v>
      </c>
      <c r="E121" s="155">
        <f t="shared" si="44"/>
        <v>1</v>
      </c>
      <c r="F121" s="155">
        <f t="shared" si="44"/>
        <v>1</v>
      </c>
      <c r="G121" s="155">
        <f t="shared" si="44"/>
        <v>1</v>
      </c>
      <c r="H121" s="155">
        <f t="shared" si="44"/>
        <v>1</v>
      </c>
      <c r="I121" s="155">
        <f t="shared" si="44"/>
        <v>1</v>
      </c>
      <c r="J121" s="155">
        <f t="shared" si="44"/>
        <v>1</v>
      </c>
      <c r="K121" s="155">
        <f t="shared" si="44"/>
        <v>1</v>
      </c>
      <c r="L121" s="155">
        <f t="shared" si="44"/>
        <v>1</v>
      </c>
      <c r="M121" s="155">
        <f t="shared" si="44"/>
        <v>1</v>
      </c>
      <c r="N121" s="155">
        <f t="shared" si="44"/>
        <v>1</v>
      </c>
      <c r="O121" s="155">
        <f t="shared" si="44"/>
        <v>1</v>
      </c>
      <c r="P121" s="155">
        <f t="shared" si="44"/>
        <v>1</v>
      </c>
      <c r="Q121" s="155">
        <f t="shared" si="44"/>
        <v>1</v>
      </c>
      <c r="R121" s="155">
        <f t="shared" si="44"/>
        <v>1</v>
      </c>
      <c r="S121" s="155">
        <f t="shared" si="44"/>
        <v>1</v>
      </c>
      <c r="T121" s="155">
        <f t="shared" si="44"/>
        <v>1</v>
      </c>
      <c r="U121" s="155">
        <f t="shared" si="44"/>
        <v>1</v>
      </c>
      <c r="V121" s="155">
        <f t="shared" si="44"/>
        <v>1</v>
      </c>
      <c r="W121" s="155">
        <f t="shared" si="44"/>
        <v>1</v>
      </c>
      <c r="X121" s="155">
        <f t="shared" si="44"/>
        <v>1</v>
      </c>
      <c r="Y121" s="155">
        <f t="shared" si="44"/>
        <v>1</v>
      </c>
      <c r="Z121" s="155">
        <f t="shared" si="44"/>
        <v>1</v>
      </c>
      <c r="AA121" s="155">
        <f t="shared" si="44"/>
        <v>1</v>
      </c>
      <c r="AB121" s="155">
        <f t="shared" si="44"/>
        <v>1</v>
      </c>
      <c r="AC121" s="155">
        <f t="shared" si="44"/>
        <v>1</v>
      </c>
      <c r="AD121" s="155">
        <f t="shared" si="44"/>
        <v>1</v>
      </c>
      <c r="AE121" s="155">
        <f t="shared" si="44"/>
        <v>1</v>
      </c>
      <c r="AF121" s="155">
        <f t="shared" si="44"/>
        <v>1</v>
      </c>
      <c r="AG121" s="155">
        <f t="shared" si="44"/>
        <v>1</v>
      </c>
      <c r="AH121" s="155">
        <f t="shared" si="44"/>
        <v>1</v>
      </c>
      <c r="AI121" s="155">
        <f t="shared" si="44"/>
        <v>1</v>
      </c>
      <c r="AJ121" s="155">
        <f t="shared" si="44"/>
        <v>1</v>
      </c>
      <c r="AK121" s="155">
        <f t="shared" si="44"/>
        <v>1</v>
      </c>
      <c r="AL121" s="155">
        <f t="shared" si="44"/>
        <v>1</v>
      </c>
      <c r="AM121" s="155">
        <f t="shared" si="44"/>
        <v>1</v>
      </c>
      <c r="AN121" s="155">
        <f t="shared" si="44"/>
        <v>1</v>
      </c>
      <c r="AO121" s="155">
        <f t="shared" si="44"/>
        <v>0.66543743942509992</v>
      </c>
      <c r="AP121" s="155">
        <f t="shared" si="44"/>
        <v>0.66569999999999996</v>
      </c>
      <c r="AQ121" s="155">
        <f t="shared" si="44"/>
        <v>0.66569999999999996</v>
      </c>
      <c r="AR121" s="155">
        <f t="shared" si="44"/>
        <v>0.66569999999999996</v>
      </c>
      <c r="AS121" s="155">
        <f t="shared" si="44"/>
        <v>0.66569999999999996</v>
      </c>
      <c r="AT121" s="155">
        <f t="shared" si="44"/>
        <v>0.66569999999999996</v>
      </c>
      <c r="AU121" s="155">
        <f t="shared" si="44"/>
        <v>0.66569999999999996</v>
      </c>
      <c r="AV121" s="155">
        <f t="shared" si="44"/>
        <v>0.66569999999999996</v>
      </c>
      <c r="AW121" s="155">
        <f t="shared" si="44"/>
        <v>0.66569999999999996</v>
      </c>
      <c r="AX121" s="155">
        <f t="shared" si="44"/>
        <v>0.66569999999999996</v>
      </c>
      <c r="AY121" s="155">
        <f t="shared" si="44"/>
        <v>0.66569999999999996</v>
      </c>
      <c r="AZ121" s="155">
        <f t="shared" si="44"/>
        <v>0.66569999999999996</v>
      </c>
      <c r="BA121" s="155">
        <f t="shared" si="44"/>
        <v>0.66569999999999996</v>
      </c>
      <c r="BB121" s="155">
        <f t="shared" si="44"/>
        <v>0.66569999999999996</v>
      </c>
      <c r="BC121" s="155">
        <f t="shared" si="44"/>
        <v>0.66569999999999996</v>
      </c>
      <c r="BD121" s="155">
        <f t="shared" si="44"/>
        <v>0.66569999999999996</v>
      </c>
      <c r="BE121" s="155">
        <f t="shared" si="44"/>
        <v>0.66569999999999996</v>
      </c>
      <c r="BF121" s="155">
        <f t="shared" si="44"/>
        <v>0.66569999999999996</v>
      </c>
      <c r="BG121" s="155">
        <f t="shared" si="44"/>
        <v>0.66569999999999996</v>
      </c>
      <c r="BH121" s="155">
        <f t="shared" si="44"/>
        <v>0.66569999999999996</v>
      </c>
      <c r="BI121" s="155">
        <f t="shared" si="44"/>
        <v>0.66569999999999996</v>
      </c>
      <c r="BJ121" s="155">
        <f t="shared" si="44"/>
        <v>0.66569999999999996</v>
      </c>
      <c r="BK121" s="155">
        <f t="shared" si="44"/>
        <v>0.66569999999999996</v>
      </c>
      <c r="BL121" s="155">
        <f t="shared" si="44"/>
        <v>0.66569999999999996</v>
      </c>
      <c r="BM121" s="155">
        <f t="shared" si="44"/>
        <v>0.66569999999999996</v>
      </c>
      <c r="BN121" s="155">
        <f t="shared" si="44"/>
        <v>0.66569999999999996</v>
      </c>
      <c r="BO121" s="155">
        <f t="shared" si="43"/>
        <v>0.66569999999999996</v>
      </c>
      <c r="BP121" s="155">
        <v>0.66569999999999996</v>
      </c>
      <c r="BQ121" s="155">
        <v>0.66569999999999996</v>
      </c>
      <c r="BR121" s="155">
        <v>0.66569999999999996</v>
      </c>
      <c r="BS121" s="155">
        <v>0.66569999999999996</v>
      </c>
      <c r="BT121" s="155">
        <f t="shared" si="36"/>
        <v>0.66569999999999996</v>
      </c>
      <c r="BU121" s="156"/>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row>
    <row r="122" spans="1:107" s="157" customFormat="1" ht="15" hidden="1" customHeight="1" outlineLevel="1" x14ac:dyDescent="0.3">
      <c r="A122" t="s">
        <v>301</v>
      </c>
      <c r="B122" s="154" t="s">
        <v>241</v>
      </c>
      <c r="C122" s="155" t="str">
        <f t="shared" si="44"/>
        <v>-</v>
      </c>
      <c r="D122" s="155">
        <f t="shared" si="44"/>
        <v>1</v>
      </c>
      <c r="E122" s="155">
        <f t="shared" si="44"/>
        <v>1</v>
      </c>
      <c r="F122" s="155">
        <f t="shared" si="44"/>
        <v>1</v>
      </c>
      <c r="G122" s="155">
        <f t="shared" si="44"/>
        <v>1</v>
      </c>
      <c r="H122" s="155">
        <f t="shared" si="44"/>
        <v>1</v>
      </c>
      <c r="I122" s="155">
        <f t="shared" si="44"/>
        <v>1</v>
      </c>
      <c r="J122" s="155">
        <f t="shared" si="44"/>
        <v>1</v>
      </c>
      <c r="K122" s="155">
        <f t="shared" si="44"/>
        <v>1</v>
      </c>
      <c r="L122" s="155">
        <f t="shared" si="44"/>
        <v>1</v>
      </c>
      <c r="M122" s="155">
        <f t="shared" si="44"/>
        <v>1</v>
      </c>
      <c r="N122" s="155">
        <f t="shared" si="44"/>
        <v>1</v>
      </c>
      <c r="O122" s="155">
        <f t="shared" si="44"/>
        <v>1</v>
      </c>
      <c r="P122" s="155">
        <f t="shared" si="44"/>
        <v>1</v>
      </c>
      <c r="Q122" s="155">
        <f t="shared" si="44"/>
        <v>1</v>
      </c>
      <c r="R122" s="155">
        <f t="shared" si="44"/>
        <v>1</v>
      </c>
      <c r="S122" s="155">
        <f t="shared" si="44"/>
        <v>1</v>
      </c>
      <c r="T122" s="155">
        <f t="shared" si="44"/>
        <v>1</v>
      </c>
      <c r="U122" s="155">
        <f t="shared" si="44"/>
        <v>1</v>
      </c>
      <c r="V122" s="155">
        <f t="shared" si="44"/>
        <v>1</v>
      </c>
      <c r="W122" s="155">
        <f t="shared" si="44"/>
        <v>1</v>
      </c>
      <c r="X122" s="155">
        <f t="shared" si="44"/>
        <v>1</v>
      </c>
      <c r="Y122" s="155">
        <f t="shared" si="44"/>
        <v>1</v>
      </c>
      <c r="Z122" s="155">
        <f t="shared" si="44"/>
        <v>1</v>
      </c>
      <c r="AA122" s="155">
        <f t="shared" si="44"/>
        <v>1</v>
      </c>
      <c r="AB122" s="155">
        <f t="shared" si="44"/>
        <v>1</v>
      </c>
      <c r="AC122" s="155">
        <f t="shared" si="44"/>
        <v>1</v>
      </c>
      <c r="AD122" s="155">
        <f t="shared" si="44"/>
        <v>1</v>
      </c>
      <c r="AE122" s="155">
        <f t="shared" si="44"/>
        <v>1</v>
      </c>
      <c r="AF122" s="155">
        <f t="shared" si="44"/>
        <v>1</v>
      </c>
      <c r="AG122" s="155">
        <f t="shared" si="44"/>
        <v>1</v>
      </c>
      <c r="AH122" s="155">
        <f t="shared" si="44"/>
        <v>1</v>
      </c>
      <c r="AI122" s="155">
        <f t="shared" si="44"/>
        <v>1</v>
      </c>
      <c r="AJ122" s="155">
        <f t="shared" si="44"/>
        <v>1</v>
      </c>
      <c r="AK122" s="155">
        <f t="shared" si="44"/>
        <v>1</v>
      </c>
      <c r="AL122" s="155">
        <f t="shared" si="44"/>
        <v>1</v>
      </c>
      <c r="AM122" s="155">
        <f t="shared" si="44"/>
        <v>1</v>
      </c>
      <c r="AN122" s="155">
        <f t="shared" si="44"/>
        <v>1</v>
      </c>
      <c r="AO122" s="155">
        <f t="shared" si="44"/>
        <v>0.6657142857142857</v>
      </c>
      <c r="AP122" s="155">
        <f t="shared" si="44"/>
        <v>0.66569999999999996</v>
      </c>
      <c r="AQ122" s="155">
        <f t="shared" si="44"/>
        <v>0.66569999999999996</v>
      </c>
      <c r="AR122" s="155">
        <f t="shared" si="44"/>
        <v>0.66569999999999996</v>
      </c>
      <c r="AS122" s="155">
        <f t="shared" si="44"/>
        <v>0.66569999999999996</v>
      </c>
      <c r="AT122" s="155">
        <f t="shared" si="44"/>
        <v>0.66569999999999996</v>
      </c>
      <c r="AU122" s="155">
        <f t="shared" si="44"/>
        <v>0.66569999999999996</v>
      </c>
      <c r="AV122" s="155">
        <f t="shared" si="44"/>
        <v>0.66569999999999996</v>
      </c>
      <c r="AW122" s="155">
        <f t="shared" si="44"/>
        <v>0.66569999999999996</v>
      </c>
      <c r="AX122" s="155">
        <f t="shared" si="44"/>
        <v>0.66569999999999996</v>
      </c>
      <c r="AY122" s="155">
        <f t="shared" si="44"/>
        <v>0.66569999999999996</v>
      </c>
      <c r="AZ122" s="155">
        <f t="shared" si="44"/>
        <v>0.66569999999999996</v>
      </c>
      <c r="BA122" s="155">
        <f t="shared" si="44"/>
        <v>0.66569999999999996</v>
      </c>
      <c r="BB122" s="155">
        <f t="shared" si="44"/>
        <v>0.66569999999999996</v>
      </c>
      <c r="BC122" s="155">
        <f t="shared" si="44"/>
        <v>0.66569999999999996</v>
      </c>
      <c r="BD122" s="155">
        <f t="shared" si="44"/>
        <v>0.66569999999999996</v>
      </c>
      <c r="BE122" s="155">
        <f t="shared" si="44"/>
        <v>0.66569999999999996</v>
      </c>
      <c r="BF122" s="155">
        <f t="shared" si="44"/>
        <v>0.66569999999999996</v>
      </c>
      <c r="BG122" s="155">
        <f t="shared" si="44"/>
        <v>0.66569999999999996</v>
      </c>
      <c r="BH122" s="155">
        <f t="shared" si="44"/>
        <v>0.66569999999999996</v>
      </c>
      <c r="BI122" s="155">
        <f t="shared" si="44"/>
        <v>0.66569999999999996</v>
      </c>
      <c r="BJ122" s="155">
        <f t="shared" si="44"/>
        <v>0.66569999999999996</v>
      </c>
      <c r="BK122" s="155">
        <f t="shared" si="44"/>
        <v>0.66569999999999996</v>
      </c>
      <c r="BL122" s="155">
        <f t="shared" si="44"/>
        <v>0.66569999999999996</v>
      </c>
      <c r="BM122" s="155">
        <f t="shared" si="44"/>
        <v>0.66569999999999996</v>
      </c>
      <c r="BN122" s="155" t="str">
        <f t="shared" ref="BN122:BO125" si="45">IFERROR(BN170/BN74,"-")</f>
        <v>-</v>
      </c>
      <c r="BO122" s="155" t="str">
        <f t="shared" si="45"/>
        <v>-</v>
      </c>
      <c r="BP122" s="155" t="s">
        <v>73</v>
      </c>
      <c r="BQ122" s="155" t="s">
        <v>73</v>
      </c>
      <c r="BR122" s="155" t="s">
        <v>73</v>
      </c>
      <c r="BS122" s="155" t="s">
        <v>73</v>
      </c>
      <c r="BT122" s="155" t="str">
        <f t="shared" si="36"/>
        <v>-</v>
      </c>
      <c r="BU122" s="156"/>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row>
    <row r="123" spans="1:107" s="157" customFormat="1" ht="15" hidden="1" customHeight="1" outlineLevel="1" x14ac:dyDescent="0.3">
      <c r="A123" t="s">
        <v>73</v>
      </c>
      <c r="B123" s="154" t="s">
        <v>243</v>
      </c>
      <c r="C123" s="155">
        <f t="shared" ref="C123:BN126" si="46">IFERROR(C171/C75,"-")</f>
        <v>1</v>
      </c>
      <c r="D123" s="155">
        <f t="shared" si="46"/>
        <v>1</v>
      </c>
      <c r="E123" s="155">
        <f t="shared" si="46"/>
        <v>1</v>
      </c>
      <c r="F123" s="155">
        <f t="shared" si="46"/>
        <v>1</v>
      </c>
      <c r="G123" s="155">
        <f t="shared" si="46"/>
        <v>1</v>
      </c>
      <c r="H123" s="155">
        <f t="shared" si="46"/>
        <v>1</v>
      </c>
      <c r="I123" s="155">
        <f t="shared" si="46"/>
        <v>1</v>
      </c>
      <c r="J123" s="155">
        <f t="shared" si="46"/>
        <v>1</v>
      </c>
      <c r="K123" s="155">
        <f t="shared" si="46"/>
        <v>1</v>
      </c>
      <c r="L123" s="155">
        <f t="shared" si="46"/>
        <v>1</v>
      </c>
      <c r="M123" s="155">
        <f t="shared" si="46"/>
        <v>1</v>
      </c>
      <c r="N123" s="155">
        <f t="shared" si="46"/>
        <v>1</v>
      </c>
      <c r="O123" s="155">
        <f t="shared" si="46"/>
        <v>1</v>
      </c>
      <c r="P123" s="155">
        <f t="shared" si="46"/>
        <v>1</v>
      </c>
      <c r="Q123" s="155">
        <f t="shared" si="46"/>
        <v>1</v>
      </c>
      <c r="R123" s="155">
        <f t="shared" si="46"/>
        <v>1</v>
      </c>
      <c r="S123" s="155">
        <f t="shared" si="46"/>
        <v>1</v>
      </c>
      <c r="T123" s="155">
        <f t="shared" si="46"/>
        <v>1</v>
      </c>
      <c r="U123" s="155">
        <f t="shared" si="46"/>
        <v>1</v>
      </c>
      <c r="V123" s="155">
        <f t="shared" si="46"/>
        <v>1</v>
      </c>
      <c r="W123" s="155">
        <f t="shared" si="46"/>
        <v>1</v>
      </c>
      <c r="X123" s="155">
        <f t="shared" si="46"/>
        <v>1</v>
      </c>
      <c r="Y123" s="155">
        <f t="shared" si="46"/>
        <v>1</v>
      </c>
      <c r="Z123" s="155">
        <f t="shared" si="46"/>
        <v>1</v>
      </c>
      <c r="AA123" s="155">
        <f t="shared" si="46"/>
        <v>1</v>
      </c>
      <c r="AB123" s="155">
        <f t="shared" si="46"/>
        <v>1</v>
      </c>
      <c r="AC123" s="155">
        <f t="shared" si="46"/>
        <v>1</v>
      </c>
      <c r="AD123" s="155">
        <f t="shared" si="46"/>
        <v>1</v>
      </c>
      <c r="AE123" s="155">
        <f t="shared" si="46"/>
        <v>1</v>
      </c>
      <c r="AF123" s="155" t="str">
        <f t="shared" si="46"/>
        <v>-</v>
      </c>
      <c r="AG123" s="155" t="str">
        <f t="shared" si="46"/>
        <v>-</v>
      </c>
      <c r="AH123" s="155" t="str">
        <f t="shared" si="46"/>
        <v>-</v>
      </c>
      <c r="AI123" s="155" t="str">
        <f t="shared" si="46"/>
        <v>-</v>
      </c>
      <c r="AJ123" s="155" t="str">
        <f t="shared" si="46"/>
        <v>-</v>
      </c>
      <c r="AK123" s="155" t="str">
        <f t="shared" si="46"/>
        <v>-</v>
      </c>
      <c r="AL123" s="155" t="str">
        <f t="shared" si="46"/>
        <v>-</v>
      </c>
      <c r="AM123" s="155" t="str">
        <f t="shared" si="46"/>
        <v>-</v>
      </c>
      <c r="AN123" s="155" t="str">
        <f t="shared" si="46"/>
        <v>-</v>
      </c>
      <c r="AO123" s="155" t="str">
        <f t="shared" si="46"/>
        <v>-</v>
      </c>
      <c r="AP123" s="155" t="str">
        <f t="shared" si="46"/>
        <v>-</v>
      </c>
      <c r="AQ123" s="155" t="str">
        <f t="shared" si="46"/>
        <v>-</v>
      </c>
      <c r="AR123" s="155" t="str">
        <f t="shared" si="46"/>
        <v>-</v>
      </c>
      <c r="AS123" s="155" t="str">
        <f t="shared" si="46"/>
        <v>-</v>
      </c>
      <c r="AT123" s="155" t="str">
        <f t="shared" si="46"/>
        <v>-</v>
      </c>
      <c r="AU123" s="155" t="str">
        <f t="shared" si="46"/>
        <v>-</v>
      </c>
      <c r="AV123" s="155" t="str">
        <f t="shared" si="46"/>
        <v>-</v>
      </c>
      <c r="AW123" s="155" t="str">
        <f t="shared" si="46"/>
        <v>-</v>
      </c>
      <c r="AX123" s="155" t="str">
        <f t="shared" si="46"/>
        <v>-</v>
      </c>
      <c r="AY123" s="155" t="str">
        <f t="shared" si="46"/>
        <v>-</v>
      </c>
      <c r="AZ123" s="155" t="str">
        <f t="shared" si="46"/>
        <v>-</v>
      </c>
      <c r="BA123" s="155" t="str">
        <f t="shared" si="46"/>
        <v>-</v>
      </c>
      <c r="BB123" s="155" t="str">
        <f t="shared" si="46"/>
        <v>-</v>
      </c>
      <c r="BC123" s="155" t="str">
        <f t="shared" si="46"/>
        <v>-</v>
      </c>
      <c r="BD123" s="155" t="str">
        <f t="shared" si="46"/>
        <v>-</v>
      </c>
      <c r="BE123" s="155" t="str">
        <f t="shared" si="46"/>
        <v>-</v>
      </c>
      <c r="BF123" s="155" t="str">
        <f t="shared" si="46"/>
        <v>-</v>
      </c>
      <c r="BG123" s="155" t="str">
        <f t="shared" si="46"/>
        <v>-</v>
      </c>
      <c r="BH123" s="155" t="str">
        <f t="shared" si="46"/>
        <v>-</v>
      </c>
      <c r="BI123" s="155" t="str">
        <f t="shared" si="46"/>
        <v>-</v>
      </c>
      <c r="BJ123" s="155" t="str">
        <f t="shared" si="46"/>
        <v>-</v>
      </c>
      <c r="BK123" s="155" t="str">
        <f t="shared" si="46"/>
        <v>-</v>
      </c>
      <c r="BL123" s="155" t="str">
        <f t="shared" si="46"/>
        <v>-</v>
      </c>
      <c r="BM123" s="155" t="str">
        <f t="shared" si="46"/>
        <v>-</v>
      </c>
      <c r="BN123" s="155" t="str">
        <f t="shared" si="46"/>
        <v>-</v>
      </c>
      <c r="BO123" s="155" t="str">
        <f t="shared" si="45"/>
        <v>-</v>
      </c>
      <c r="BP123" s="155" t="s">
        <v>73</v>
      </c>
      <c r="BQ123" s="155" t="s">
        <v>73</v>
      </c>
      <c r="BR123" s="155" t="s">
        <v>73</v>
      </c>
      <c r="BS123" s="155" t="s">
        <v>73</v>
      </c>
      <c r="BT123" s="155" t="str">
        <f t="shared" si="36"/>
        <v>-</v>
      </c>
      <c r="BU123" s="156"/>
      <c r="BV123" s="156"/>
      <c r="BW123" s="156"/>
      <c r="BX123" s="156"/>
      <c r="BY123" s="156"/>
      <c r="BZ123" s="156"/>
      <c r="CA123" s="156"/>
      <c r="CB123" s="156"/>
      <c r="CC123" s="156"/>
      <c r="CD123" s="156"/>
      <c r="CE123" s="156"/>
      <c r="CF123" s="156"/>
      <c r="CG123" s="156"/>
      <c r="CH123" s="156"/>
      <c r="CI123" s="156"/>
      <c r="CJ123" s="156"/>
      <c r="CK123" s="156"/>
      <c r="CL123" s="156"/>
      <c r="CM123" s="156"/>
      <c r="CN123" s="156"/>
      <c r="CO123" s="156"/>
      <c r="CP123" s="156"/>
      <c r="CQ123" s="156"/>
      <c r="CR123" s="156"/>
      <c r="CS123" s="156"/>
      <c r="CT123" s="156"/>
      <c r="CU123" s="156"/>
      <c r="CV123" s="156"/>
      <c r="CW123" s="156"/>
      <c r="CX123" s="156"/>
      <c r="CY123" s="156"/>
      <c r="CZ123" s="156"/>
      <c r="DA123" s="156"/>
      <c r="DB123" s="156"/>
      <c r="DC123" s="156"/>
    </row>
    <row r="124" spans="1:107" s="157" customFormat="1" ht="15" hidden="1" customHeight="1" outlineLevel="1" x14ac:dyDescent="0.3">
      <c r="A124" t="s">
        <v>302</v>
      </c>
      <c r="B124" s="154" t="s">
        <v>245</v>
      </c>
      <c r="C124" s="155" t="str">
        <f t="shared" si="46"/>
        <v>-</v>
      </c>
      <c r="D124" s="155" t="str">
        <f t="shared" si="46"/>
        <v>-</v>
      </c>
      <c r="E124" s="155" t="str">
        <f t="shared" si="46"/>
        <v>-</v>
      </c>
      <c r="F124" s="155" t="str">
        <f t="shared" si="46"/>
        <v>-</v>
      </c>
      <c r="G124" s="155" t="str">
        <f t="shared" si="46"/>
        <v>-</v>
      </c>
      <c r="H124" s="155" t="str">
        <f t="shared" si="46"/>
        <v>-</v>
      </c>
      <c r="I124" s="155" t="str">
        <f t="shared" si="46"/>
        <v>-</v>
      </c>
      <c r="J124" s="155" t="str">
        <f t="shared" si="46"/>
        <v>-</v>
      </c>
      <c r="K124" s="155" t="str">
        <f t="shared" si="46"/>
        <v>-</v>
      </c>
      <c r="L124" s="155" t="str">
        <f t="shared" si="46"/>
        <v>-</v>
      </c>
      <c r="M124" s="155" t="str">
        <f t="shared" si="46"/>
        <v>-</v>
      </c>
      <c r="N124" s="155" t="str">
        <f t="shared" si="46"/>
        <v>-</v>
      </c>
      <c r="O124" s="155" t="str">
        <f t="shared" si="46"/>
        <v>-</v>
      </c>
      <c r="P124" s="155" t="str">
        <f t="shared" si="46"/>
        <v>-</v>
      </c>
      <c r="Q124" s="155" t="str">
        <f t="shared" si="46"/>
        <v>-</v>
      </c>
      <c r="R124" s="155" t="str">
        <f t="shared" si="46"/>
        <v>-</v>
      </c>
      <c r="S124" s="155" t="str">
        <f t="shared" si="46"/>
        <v>-</v>
      </c>
      <c r="T124" s="155" t="str">
        <f t="shared" si="46"/>
        <v>-</v>
      </c>
      <c r="U124" s="155" t="str">
        <f t="shared" si="46"/>
        <v>-</v>
      </c>
      <c r="V124" s="155" t="str">
        <f t="shared" si="46"/>
        <v>-</v>
      </c>
      <c r="W124" s="155" t="str">
        <f t="shared" si="46"/>
        <v>-</v>
      </c>
      <c r="X124" s="155" t="str">
        <f t="shared" si="46"/>
        <v>-</v>
      </c>
      <c r="Y124" s="155" t="str">
        <f t="shared" si="46"/>
        <v>-</v>
      </c>
      <c r="Z124" s="155" t="str">
        <f t="shared" si="46"/>
        <v>-</v>
      </c>
      <c r="AA124" s="155" t="str">
        <f t="shared" si="46"/>
        <v>-</v>
      </c>
      <c r="AB124" s="155" t="str">
        <f t="shared" si="46"/>
        <v>-</v>
      </c>
      <c r="AC124" s="155" t="str">
        <f t="shared" si="46"/>
        <v>-</v>
      </c>
      <c r="AD124" s="155" t="str">
        <f t="shared" si="46"/>
        <v>-</v>
      </c>
      <c r="AE124" s="155" t="str">
        <f t="shared" si="46"/>
        <v>-</v>
      </c>
      <c r="AF124" s="155" t="str">
        <f t="shared" si="46"/>
        <v>-</v>
      </c>
      <c r="AG124" s="155" t="str">
        <f t="shared" si="46"/>
        <v>-</v>
      </c>
      <c r="AH124" s="155" t="str">
        <f t="shared" si="46"/>
        <v>-</v>
      </c>
      <c r="AI124" s="155" t="str">
        <f t="shared" si="46"/>
        <v>-</v>
      </c>
      <c r="AJ124" s="155" t="str">
        <f t="shared" si="46"/>
        <v>-</v>
      </c>
      <c r="AK124" s="155" t="str">
        <f t="shared" si="46"/>
        <v>-</v>
      </c>
      <c r="AL124" s="155" t="str">
        <f t="shared" si="46"/>
        <v>-</v>
      </c>
      <c r="AM124" s="155" t="str">
        <f t="shared" si="46"/>
        <v>-</v>
      </c>
      <c r="AN124" s="155" t="str">
        <f t="shared" si="46"/>
        <v>-</v>
      </c>
      <c r="AO124" s="155" t="str">
        <f t="shared" si="46"/>
        <v>-</v>
      </c>
      <c r="AP124" s="155" t="str">
        <f t="shared" si="46"/>
        <v>-</v>
      </c>
      <c r="AQ124" s="155" t="str">
        <f t="shared" si="46"/>
        <v>-</v>
      </c>
      <c r="AR124" s="155" t="str">
        <f t="shared" si="46"/>
        <v>-</v>
      </c>
      <c r="AS124" s="155" t="str">
        <f t="shared" si="46"/>
        <v>-</v>
      </c>
      <c r="AT124" s="155" t="str">
        <f t="shared" si="46"/>
        <v>-</v>
      </c>
      <c r="AU124" s="155" t="str">
        <f t="shared" si="46"/>
        <v>-</v>
      </c>
      <c r="AV124" s="155">
        <f t="shared" si="46"/>
        <v>1</v>
      </c>
      <c r="AW124" s="155">
        <f t="shared" si="46"/>
        <v>1</v>
      </c>
      <c r="AX124" s="155">
        <f t="shared" si="46"/>
        <v>1</v>
      </c>
      <c r="AY124" s="155">
        <f t="shared" si="46"/>
        <v>1</v>
      </c>
      <c r="AZ124" s="155">
        <f t="shared" si="46"/>
        <v>1</v>
      </c>
      <c r="BA124" s="155">
        <f t="shared" si="46"/>
        <v>1</v>
      </c>
      <c r="BB124" s="155">
        <f t="shared" si="46"/>
        <v>1</v>
      </c>
      <c r="BC124" s="155">
        <f t="shared" si="46"/>
        <v>1</v>
      </c>
      <c r="BD124" s="155">
        <f t="shared" si="46"/>
        <v>1</v>
      </c>
      <c r="BE124" s="155">
        <f t="shared" si="46"/>
        <v>1</v>
      </c>
      <c r="BF124" s="155">
        <f t="shared" si="46"/>
        <v>1</v>
      </c>
      <c r="BG124" s="155">
        <f t="shared" si="46"/>
        <v>1</v>
      </c>
      <c r="BH124" s="155">
        <f t="shared" si="46"/>
        <v>1</v>
      </c>
      <c r="BI124" s="155">
        <f t="shared" si="46"/>
        <v>1</v>
      </c>
      <c r="BJ124" s="155">
        <f t="shared" si="46"/>
        <v>1</v>
      </c>
      <c r="BK124" s="155">
        <f t="shared" si="46"/>
        <v>1</v>
      </c>
      <c r="BL124" s="155">
        <f t="shared" si="46"/>
        <v>1</v>
      </c>
      <c r="BM124" s="155">
        <f t="shared" si="46"/>
        <v>1</v>
      </c>
      <c r="BN124" s="155">
        <f t="shared" si="46"/>
        <v>1</v>
      </c>
      <c r="BO124" s="155">
        <f t="shared" si="45"/>
        <v>1</v>
      </c>
      <c r="BP124" s="155">
        <v>1</v>
      </c>
      <c r="BQ124" s="155">
        <v>1</v>
      </c>
      <c r="BR124" s="155">
        <v>1</v>
      </c>
      <c r="BS124" s="155">
        <v>1</v>
      </c>
      <c r="BT124" s="155">
        <f t="shared" si="36"/>
        <v>1</v>
      </c>
      <c r="BU124" s="156"/>
      <c r="BV124" s="156"/>
      <c r="BW124" s="156"/>
      <c r="BX124" s="156"/>
      <c r="BY124" s="156"/>
      <c r="BZ124" s="156"/>
      <c r="CA124" s="156"/>
      <c r="CB124" s="156"/>
      <c r="CC124" s="156"/>
      <c r="CD124" s="156"/>
      <c r="CE124" s="156"/>
      <c r="CF124" s="156"/>
      <c r="CG124" s="156"/>
      <c r="CH124" s="156"/>
      <c r="CI124" s="156"/>
      <c r="CJ124" s="156"/>
      <c r="CK124" s="156"/>
      <c r="CL124" s="156"/>
      <c r="CM124" s="156"/>
      <c r="CN124" s="156"/>
      <c r="CO124" s="156"/>
      <c r="CP124" s="156"/>
      <c r="CQ124" s="156"/>
      <c r="CR124" s="156"/>
      <c r="CS124" s="156"/>
      <c r="CT124" s="156"/>
      <c r="CU124" s="156"/>
      <c r="CV124" s="156"/>
      <c r="CW124" s="156"/>
      <c r="CX124" s="156"/>
      <c r="CY124" s="156"/>
      <c r="CZ124" s="156"/>
      <c r="DA124" s="156"/>
      <c r="DB124" s="156"/>
      <c r="DC124" s="156"/>
    </row>
    <row r="125" spans="1:107" s="150" customFormat="1" ht="15" customHeight="1" collapsed="1" x14ac:dyDescent="0.3">
      <c r="A125" s="131"/>
      <c r="B125" s="140" t="s">
        <v>246</v>
      </c>
      <c r="C125" s="152">
        <f t="shared" si="46"/>
        <v>0.59988201689021359</v>
      </c>
      <c r="D125" s="152">
        <f t="shared" si="46"/>
        <v>0.59988201689021359</v>
      </c>
      <c r="E125" s="152">
        <f t="shared" si="46"/>
        <v>0.59988201689021359</v>
      </c>
      <c r="F125" s="152">
        <f t="shared" si="46"/>
        <v>0.59988201689021359</v>
      </c>
      <c r="G125" s="152">
        <f t="shared" si="46"/>
        <v>0.59988201689021359</v>
      </c>
      <c r="H125" s="152">
        <f t="shared" si="46"/>
        <v>0.59988201689021359</v>
      </c>
      <c r="I125" s="152">
        <f t="shared" si="46"/>
        <v>0.58974240106315579</v>
      </c>
      <c r="J125" s="152">
        <f t="shared" si="46"/>
        <v>0.61185672514619882</v>
      </c>
      <c r="K125" s="152">
        <f t="shared" si="46"/>
        <v>0.61185672514619882</v>
      </c>
      <c r="L125" s="152">
        <f t="shared" si="46"/>
        <v>0.61185672514619882</v>
      </c>
      <c r="M125" s="152">
        <f t="shared" si="46"/>
        <v>0.61660432942943377</v>
      </c>
      <c r="N125" s="152">
        <f t="shared" si="46"/>
        <v>0.61660432942943377</v>
      </c>
      <c r="O125" s="152">
        <f t="shared" si="46"/>
        <v>0.61660432942943377</v>
      </c>
      <c r="P125" s="152">
        <f t="shared" si="46"/>
        <v>0.61660432942943377</v>
      </c>
      <c r="Q125" s="152">
        <f t="shared" si="46"/>
        <v>0.66112611376666142</v>
      </c>
      <c r="R125" s="152">
        <f t="shared" si="46"/>
        <v>0.66112611376666142</v>
      </c>
      <c r="S125" s="152">
        <f t="shared" si="46"/>
        <v>0.66112611376666142</v>
      </c>
      <c r="T125" s="152">
        <f t="shared" si="46"/>
        <v>0.49451709551033762</v>
      </c>
      <c r="U125" s="152">
        <f t="shared" si="46"/>
        <v>0.49451709551033762</v>
      </c>
      <c r="V125" s="152">
        <f t="shared" si="46"/>
        <v>0.50453895855558462</v>
      </c>
      <c r="W125" s="152">
        <f t="shared" si="46"/>
        <v>0.50453895855558462</v>
      </c>
      <c r="X125" s="152">
        <f t="shared" si="46"/>
        <v>0.50978682773937767</v>
      </c>
      <c r="Y125" s="152">
        <f t="shared" si="46"/>
        <v>0.5097878494371314</v>
      </c>
      <c r="Z125" s="152">
        <f t="shared" si="46"/>
        <v>0.52404183791151804</v>
      </c>
      <c r="AA125" s="152">
        <f t="shared" si="46"/>
        <v>0.52404183791151804</v>
      </c>
      <c r="AB125" s="152">
        <f t="shared" si="46"/>
        <v>0.52404183791151804</v>
      </c>
      <c r="AC125" s="152">
        <f t="shared" si="46"/>
        <v>0.52525436244133883</v>
      </c>
      <c r="AD125" s="152">
        <f t="shared" si="46"/>
        <v>0.52525492262446738</v>
      </c>
      <c r="AE125" s="152">
        <f t="shared" si="46"/>
        <v>0.52525492262446738</v>
      </c>
      <c r="AF125" s="152">
        <f t="shared" si="46"/>
        <v>0.55955485874139232</v>
      </c>
      <c r="AG125" s="152">
        <f t="shared" si="46"/>
        <v>0.55955485874139232</v>
      </c>
      <c r="AH125" s="152">
        <f t="shared" si="46"/>
        <v>0.55758090242337022</v>
      </c>
      <c r="AI125" s="152">
        <f t="shared" si="46"/>
        <v>0.55760474865687726</v>
      </c>
      <c r="AJ125" s="152">
        <f t="shared" si="46"/>
        <v>0.55511887068900811</v>
      </c>
      <c r="AK125" s="152">
        <f t="shared" si="46"/>
        <v>0.55513199518762479</v>
      </c>
      <c r="AL125" s="152">
        <f t="shared" si="46"/>
        <v>0.73424184211936228</v>
      </c>
      <c r="AM125" s="152">
        <f t="shared" si="46"/>
        <v>0.73362493790600736</v>
      </c>
      <c r="AN125" s="152">
        <f t="shared" si="46"/>
        <v>0.73350515219727341</v>
      </c>
      <c r="AO125" s="152">
        <f t="shared" si="46"/>
        <v>0.73016136022760592</v>
      </c>
      <c r="AP125" s="152">
        <f t="shared" si="46"/>
        <v>0.72865319016964847</v>
      </c>
      <c r="AQ125" s="152">
        <f t="shared" si="46"/>
        <v>0.69173836345063677</v>
      </c>
      <c r="AR125" s="152">
        <f t="shared" si="46"/>
        <v>0.69434810678556813</v>
      </c>
      <c r="AS125" s="152">
        <f t="shared" si="46"/>
        <v>0.69391481246324438</v>
      </c>
      <c r="AT125" s="152">
        <f t="shared" si="46"/>
        <v>0.69412319289496749</v>
      </c>
      <c r="AU125" s="152">
        <f t="shared" si="46"/>
        <v>0.54096462970686832</v>
      </c>
      <c r="AV125" s="152">
        <f t="shared" si="46"/>
        <v>0.69553664073049137</v>
      </c>
      <c r="AW125" s="152">
        <f t="shared" si="46"/>
        <v>0.58880864970504343</v>
      </c>
      <c r="AX125" s="152">
        <f t="shared" si="46"/>
        <v>0.58530897906818624</v>
      </c>
      <c r="AY125" s="152">
        <f t="shared" si="46"/>
        <v>0.58527948454905709</v>
      </c>
      <c r="AZ125" s="152">
        <f t="shared" si="46"/>
        <v>0.58526882731411123</v>
      </c>
      <c r="BA125" s="152">
        <f t="shared" si="46"/>
        <v>0.58524297908729406</v>
      </c>
      <c r="BB125" s="152">
        <f t="shared" si="46"/>
        <v>0.58495523702974472</v>
      </c>
      <c r="BC125" s="152">
        <f t="shared" si="46"/>
        <v>0.58507064103844064</v>
      </c>
      <c r="BD125" s="152">
        <f t="shared" si="46"/>
        <v>0.58831673306307264</v>
      </c>
      <c r="BE125" s="152">
        <f t="shared" si="46"/>
        <v>0.58906891109964366</v>
      </c>
      <c r="BF125" s="152">
        <f t="shared" si="46"/>
        <v>0.62416678992716668</v>
      </c>
      <c r="BG125" s="152">
        <f t="shared" si="46"/>
        <v>0.6242379403542867</v>
      </c>
      <c r="BH125" s="152">
        <f t="shared" si="46"/>
        <v>0.62431878976391753</v>
      </c>
      <c r="BI125" s="152">
        <f t="shared" si="46"/>
        <v>0.62427233442973051</v>
      </c>
      <c r="BJ125" s="152">
        <f t="shared" si="46"/>
        <v>0.71943692916900537</v>
      </c>
      <c r="BK125" s="152">
        <f t="shared" si="46"/>
        <v>0.71959055846494779</v>
      </c>
      <c r="BL125" s="152">
        <f t="shared" si="46"/>
        <v>0.71944634955624642</v>
      </c>
      <c r="BM125" s="152">
        <f t="shared" si="46"/>
        <v>0.71964442051818778</v>
      </c>
      <c r="BN125" s="152">
        <f t="shared" si="46"/>
        <v>0.7196500455153686</v>
      </c>
      <c r="BO125" s="152">
        <f t="shared" si="45"/>
        <v>0.75740835394559713</v>
      </c>
      <c r="BP125" s="152">
        <v>0.28662122228508019</v>
      </c>
      <c r="BQ125" s="152">
        <v>0.28634234757198207</v>
      </c>
      <c r="BR125" s="152">
        <v>0.43774662598167108</v>
      </c>
      <c r="BS125" s="152">
        <v>0.43776946503439701</v>
      </c>
      <c r="BT125" s="152">
        <f t="shared" si="36"/>
        <v>0.43775041404946247</v>
      </c>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53"/>
      <c r="DA125" s="153"/>
      <c r="DB125" s="153"/>
      <c r="DC125" s="153"/>
    </row>
    <row r="126" spans="1:107" s="157" customFormat="1" ht="15" hidden="1" customHeight="1" outlineLevel="1" x14ac:dyDescent="0.3">
      <c r="A126" t="s">
        <v>303</v>
      </c>
      <c r="B126" s="154" t="s">
        <v>248</v>
      </c>
      <c r="C126" s="155">
        <f t="shared" si="46"/>
        <v>1</v>
      </c>
      <c r="D126" s="155">
        <f t="shared" si="46"/>
        <v>1</v>
      </c>
      <c r="E126" s="155">
        <f t="shared" si="46"/>
        <v>1</v>
      </c>
      <c r="F126" s="155">
        <f t="shared" si="46"/>
        <v>1</v>
      </c>
      <c r="G126" s="155">
        <f t="shared" si="46"/>
        <v>1</v>
      </c>
      <c r="H126" s="155">
        <f t="shared" si="46"/>
        <v>1</v>
      </c>
      <c r="I126" s="155">
        <f t="shared" si="46"/>
        <v>1</v>
      </c>
      <c r="J126" s="155">
        <f t="shared" si="46"/>
        <v>1</v>
      </c>
      <c r="K126" s="155">
        <f t="shared" si="46"/>
        <v>1</v>
      </c>
      <c r="L126" s="155">
        <f t="shared" si="46"/>
        <v>1</v>
      </c>
      <c r="M126" s="155">
        <f t="shared" si="46"/>
        <v>1</v>
      </c>
      <c r="N126" s="155">
        <f t="shared" si="46"/>
        <v>1</v>
      </c>
      <c r="O126" s="155">
        <f t="shared" si="46"/>
        <v>1</v>
      </c>
      <c r="P126" s="155">
        <f t="shared" si="46"/>
        <v>1</v>
      </c>
      <c r="Q126" s="155">
        <f t="shared" si="46"/>
        <v>1</v>
      </c>
      <c r="R126" s="155">
        <f t="shared" si="46"/>
        <v>1</v>
      </c>
      <c r="S126" s="155">
        <f t="shared" si="46"/>
        <v>1</v>
      </c>
      <c r="T126" s="155">
        <f t="shared" si="46"/>
        <v>1</v>
      </c>
      <c r="U126" s="155">
        <f t="shared" si="46"/>
        <v>1</v>
      </c>
      <c r="V126" s="155">
        <f t="shared" si="46"/>
        <v>1</v>
      </c>
      <c r="W126" s="155">
        <f t="shared" si="46"/>
        <v>1</v>
      </c>
      <c r="X126" s="155">
        <f t="shared" si="46"/>
        <v>1</v>
      </c>
      <c r="Y126" s="155">
        <f t="shared" si="46"/>
        <v>1</v>
      </c>
      <c r="Z126" s="155">
        <f t="shared" si="46"/>
        <v>1</v>
      </c>
      <c r="AA126" s="155">
        <f t="shared" si="46"/>
        <v>1</v>
      </c>
      <c r="AB126" s="155">
        <f t="shared" si="46"/>
        <v>1</v>
      </c>
      <c r="AC126" s="155">
        <f t="shared" si="46"/>
        <v>1</v>
      </c>
      <c r="AD126" s="155">
        <f t="shared" si="46"/>
        <v>1</v>
      </c>
      <c r="AE126" s="155">
        <f t="shared" si="46"/>
        <v>1</v>
      </c>
      <c r="AF126" s="155">
        <f t="shared" si="46"/>
        <v>1</v>
      </c>
      <c r="AG126" s="155">
        <f t="shared" si="46"/>
        <v>1</v>
      </c>
      <c r="AH126" s="155">
        <f t="shared" si="46"/>
        <v>1</v>
      </c>
      <c r="AI126" s="155">
        <f t="shared" si="46"/>
        <v>1</v>
      </c>
      <c r="AJ126" s="155">
        <f t="shared" si="46"/>
        <v>1</v>
      </c>
      <c r="AK126" s="155">
        <f t="shared" si="46"/>
        <v>1</v>
      </c>
      <c r="AL126" s="155">
        <f t="shared" si="46"/>
        <v>1</v>
      </c>
      <c r="AM126" s="155">
        <f t="shared" si="46"/>
        <v>1</v>
      </c>
      <c r="AN126" s="155">
        <f t="shared" si="46"/>
        <v>1</v>
      </c>
      <c r="AO126" s="155">
        <f t="shared" si="46"/>
        <v>1</v>
      </c>
      <c r="AP126" s="155">
        <f t="shared" si="46"/>
        <v>1</v>
      </c>
      <c r="AQ126" s="155">
        <f t="shared" si="46"/>
        <v>1</v>
      </c>
      <c r="AR126" s="155">
        <f t="shared" si="46"/>
        <v>1</v>
      </c>
      <c r="AS126" s="155">
        <f t="shared" si="46"/>
        <v>1</v>
      </c>
      <c r="AT126" s="155">
        <f t="shared" si="46"/>
        <v>1</v>
      </c>
      <c r="AU126" s="155">
        <f t="shared" si="46"/>
        <v>0.31589703473091363</v>
      </c>
      <c r="AV126" s="155">
        <f t="shared" si="46"/>
        <v>1</v>
      </c>
      <c r="AW126" s="155">
        <f t="shared" si="46"/>
        <v>1</v>
      </c>
      <c r="AX126" s="155">
        <f t="shared" si="46"/>
        <v>1</v>
      </c>
      <c r="AY126" s="155">
        <f t="shared" si="46"/>
        <v>1</v>
      </c>
      <c r="AZ126" s="155">
        <f t="shared" si="46"/>
        <v>1</v>
      </c>
      <c r="BA126" s="155">
        <f t="shared" si="46"/>
        <v>0.99996700444053144</v>
      </c>
      <c r="BB126" s="155">
        <f t="shared" si="46"/>
        <v>1.0000513372434079</v>
      </c>
      <c r="BC126" s="155">
        <f t="shared" si="46"/>
        <v>1</v>
      </c>
      <c r="BD126" s="155">
        <f t="shared" si="46"/>
        <v>1</v>
      </c>
      <c r="BE126" s="155">
        <f t="shared" si="46"/>
        <v>1</v>
      </c>
      <c r="BF126" s="155">
        <f t="shared" si="46"/>
        <v>1</v>
      </c>
      <c r="BG126" s="155">
        <f t="shared" si="46"/>
        <v>1</v>
      </c>
      <c r="BH126" s="155">
        <f t="shared" si="46"/>
        <v>1</v>
      </c>
      <c r="BI126" s="155">
        <f t="shared" si="46"/>
        <v>1</v>
      </c>
      <c r="BJ126" s="155">
        <f t="shared" si="46"/>
        <v>1</v>
      </c>
      <c r="BK126" s="155">
        <f t="shared" si="46"/>
        <v>1</v>
      </c>
      <c r="BL126" s="155">
        <f t="shared" si="46"/>
        <v>1</v>
      </c>
      <c r="BM126" s="155">
        <f t="shared" si="46"/>
        <v>1</v>
      </c>
      <c r="BN126" s="155">
        <f t="shared" ref="BN126:BO129" si="47">IFERROR(BN174/BN78,"-")</f>
        <v>1</v>
      </c>
      <c r="BO126" s="155">
        <f t="shared" si="47"/>
        <v>1</v>
      </c>
      <c r="BP126" s="155">
        <v>0.35879565096180643</v>
      </c>
      <c r="BQ126" s="155">
        <v>0.35889999999999994</v>
      </c>
      <c r="BR126" s="155">
        <v>0.35879565096180643</v>
      </c>
      <c r="BS126" s="155">
        <v>0.35879565096180649</v>
      </c>
      <c r="BT126" s="155">
        <f t="shared" si="36"/>
        <v>0.35879565096180654</v>
      </c>
      <c r="BU126" s="156"/>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row>
    <row r="127" spans="1:107" s="157" customFormat="1" ht="15" hidden="1" customHeight="1" outlineLevel="1" x14ac:dyDescent="0.3">
      <c r="A127" t="s">
        <v>304</v>
      </c>
      <c r="B127" s="154" t="s">
        <v>250</v>
      </c>
      <c r="C127" s="155">
        <f t="shared" ref="C127:BN130" si="48">IFERROR(C175/C79,"-")</f>
        <v>0.57023994130692146</v>
      </c>
      <c r="D127" s="155">
        <f t="shared" si="48"/>
        <v>0.57023994130692146</v>
      </c>
      <c r="E127" s="155">
        <f t="shared" si="48"/>
        <v>0.57023994130692146</v>
      </c>
      <c r="F127" s="155">
        <f t="shared" si="48"/>
        <v>0.57023994130692146</v>
      </c>
      <c r="G127" s="155">
        <f t="shared" si="48"/>
        <v>0.57023994130692146</v>
      </c>
      <c r="H127" s="155">
        <f t="shared" si="48"/>
        <v>0.57023994130692146</v>
      </c>
      <c r="I127" s="155">
        <f t="shared" si="48"/>
        <v>0.55717716916302495</v>
      </c>
      <c r="J127" s="155">
        <f t="shared" si="48"/>
        <v>0.55717716916302495</v>
      </c>
      <c r="K127" s="155">
        <f t="shared" si="48"/>
        <v>0.55717716916302495</v>
      </c>
      <c r="L127" s="155">
        <f t="shared" si="48"/>
        <v>0.55717716916302495</v>
      </c>
      <c r="M127" s="155">
        <f t="shared" si="48"/>
        <v>0.55717716916302495</v>
      </c>
      <c r="N127" s="155">
        <f t="shared" si="48"/>
        <v>0.55717716916302495</v>
      </c>
      <c r="O127" s="155">
        <f t="shared" si="48"/>
        <v>0.55717716916302495</v>
      </c>
      <c r="P127" s="155">
        <f t="shared" si="48"/>
        <v>0.55717716916302495</v>
      </c>
      <c r="Q127" s="155">
        <f t="shared" si="48"/>
        <v>0.6085999266104013</v>
      </c>
      <c r="R127" s="155">
        <f t="shared" si="48"/>
        <v>0.6085999266104013</v>
      </c>
      <c r="S127" s="155">
        <f t="shared" si="48"/>
        <v>0.6085999266104013</v>
      </c>
      <c r="T127" s="155">
        <f t="shared" si="48"/>
        <v>0.5973079360843313</v>
      </c>
      <c r="U127" s="155">
        <f t="shared" si="48"/>
        <v>0.5973079360843313</v>
      </c>
      <c r="V127" s="155">
        <f t="shared" si="48"/>
        <v>0.59730426377403067</v>
      </c>
      <c r="W127" s="155">
        <f t="shared" si="48"/>
        <v>0.59730426377403067</v>
      </c>
      <c r="X127" s="155">
        <f t="shared" si="48"/>
        <v>0.61412484280324686</v>
      </c>
      <c r="Y127" s="155">
        <f t="shared" si="48"/>
        <v>0.61413099999999998</v>
      </c>
      <c r="Z127" s="155">
        <f t="shared" si="48"/>
        <v>0.61413099999999998</v>
      </c>
      <c r="AA127" s="155">
        <f t="shared" si="48"/>
        <v>0.61413099999999998</v>
      </c>
      <c r="AB127" s="155">
        <f t="shared" si="48"/>
        <v>0.61413099999999998</v>
      </c>
      <c r="AC127" s="155">
        <f t="shared" si="48"/>
        <v>0.61409999999999998</v>
      </c>
      <c r="AD127" s="155">
        <f t="shared" si="48"/>
        <v>0.61409999999999998</v>
      </c>
      <c r="AE127" s="155">
        <f t="shared" si="48"/>
        <v>0.61409999999999998</v>
      </c>
      <c r="AF127" s="155">
        <f t="shared" si="48"/>
        <v>0.61409999999999998</v>
      </c>
      <c r="AG127" s="155">
        <f t="shared" si="48"/>
        <v>0.61409999999999998</v>
      </c>
      <c r="AH127" s="155">
        <f t="shared" si="48"/>
        <v>0.61409999999999998</v>
      </c>
      <c r="AI127" s="155">
        <f t="shared" si="48"/>
        <v>0.61409999999999998</v>
      </c>
      <c r="AJ127" s="155">
        <f t="shared" si="48"/>
        <v>0.61409999999999998</v>
      </c>
      <c r="AK127" s="155">
        <f t="shared" si="48"/>
        <v>0.61409999999999998</v>
      </c>
      <c r="AL127" s="155">
        <f t="shared" si="48"/>
        <v>0.61409999999999998</v>
      </c>
      <c r="AM127" s="155">
        <f t="shared" si="48"/>
        <v>0.61409999999999998</v>
      </c>
      <c r="AN127" s="155">
        <f t="shared" si="48"/>
        <v>0.61409913257022919</v>
      </c>
      <c r="AO127" s="155">
        <f t="shared" si="48"/>
        <v>0.61409913257022919</v>
      </c>
      <c r="AP127" s="155">
        <f t="shared" si="48"/>
        <v>0.61409999999999998</v>
      </c>
      <c r="AQ127" s="155">
        <f t="shared" si="48"/>
        <v>0.61409999999999998</v>
      </c>
      <c r="AR127" s="155">
        <f t="shared" si="48"/>
        <v>0.61409999999999998</v>
      </c>
      <c r="AS127" s="155">
        <f t="shared" si="48"/>
        <v>0.61409999999999998</v>
      </c>
      <c r="AT127" s="155">
        <f t="shared" si="48"/>
        <v>0.61409999999999998</v>
      </c>
      <c r="AU127" s="155">
        <f t="shared" si="48"/>
        <v>0.61410002943841235</v>
      </c>
      <c r="AV127" s="155">
        <f t="shared" si="48"/>
        <v>0.61409999999999998</v>
      </c>
      <c r="AW127" s="155">
        <f t="shared" si="48"/>
        <v>0.6140969036284929</v>
      </c>
      <c r="AX127" s="155">
        <f t="shared" si="48"/>
        <v>0.61409739969102384</v>
      </c>
      <c r="AY127" s="155">
        <f t="shared" si="48"/>
        <v>0.61409999999999998</v>
      </c>
      <c r="AZ127" s="155">
        <f t="shared" si="48"/>
        <v>0.61409973400615059</v>
      </c>
      <c r="BA127" s="155">
        <f t="shared" si="48"/>
        <v>0.6141000591097755</v>
      </c>
      <c r="BB127" s="155">
        <f t="shared" si="48"/>
        <v>0.61409766568386204</v>
      </c>
      <c r="BC127" s="155">
        <f t="shared" si="48"/>
        <v>0.61409973400615048</v>
      </c>
      <c r="BD127" s="155">
        <f t="shared" si="48"/>
        <v>0.61409999999999998</v>
      </c>
      <c r="BE127" s="155">
        <f t="shared" si="48"/>
        <v>0.61409999999999998</v>
      </c>
      <c r="BF127" s="155">
        <f t="shared" si="48"/>
        <v>0.61409999999999998</v>
      </c>
      <c r="BG127" s="155">
        <f t="shared" si="48"/>
        <v>0.61409999999999998</v>
      </c>
      <c r="BH127" s="155">
        <f t="shared" si="48"/>
        <v>0.61409999999999998</v>
      </c>
      <c r="BI127" s="155">
        <f t="shared" si="48"/>
        <v>0.61409999999999998</v>
      </c>
      <c r="BJ127" s="155">
        <f t="shared" si="48"/>
        <v>1</v>
      </c>
      <c r="BK127" s="155">
        <f t="shared" si="48"/>
        <v>1</v>
      </c>
      <c r="BL127" s="155">
        <f t="shared" si="48"/>
        <v>1</v>
      </c>
      <c r="BM127" s="155">
        <f t="shared" si="48"/>
        <v>1</v>
      </c>
      <c r="BN127" s="155">
        <f t="shared" si="48"/>
        <v>1</v>
      </c>
      <c r="BO127" s="155">
        <f t="shared" si="47"/>
        <v>1</v>
      </c>
      <c r="BP127" s="155">
        <v>0.16951636541279921</v>
      </c>
      <c r="BQ127" s="155">
        <v>0.16945807604624652</v>
      </c>
      <c r="BR127" s="155">
        <v>1</v>
      </c>
      <c r="BS127" s="155">
        <v>1</v>
      </c>
      <c r="BT127" s="155">
        <f t="shared" si="36"/>
        <v>1</v>
      </c>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row>
    <row r="128" spans="1:107" s="157" customFormat="1" ht="15" hidden="1" customHeight="1" outlineLevel="1" x14ac:dyDescent="0.3">
      <c r="A128" t="s">
        <v>73</v>
      </c>
      <c r="B128" s="154" t="s">
        <v>251</v>
      </c>
      <c r="C128" s="155" t="str">
        <f t="shared" si="48"/>
        <v>-</v>
      </c>
      <c r="D128" s="155" t="str">
        <f t="shared" si="48"/>
        <v>-</v>
      </c>
      <c r="E128" s="155" t="str">
        <f t="shared" si="48"/>
        <v>-</v>
      </c>
      <c r="F128" s="155" t="str">
        <f t="shared" si="48"/>
        <v>-</v>
      </c>
      <c r="G128" s="155" t="str">
        <f t="shared" si="48"/>
        <v>-</v>
      </c>
      <c r="H128" s="155" t="str">
        <f t="shared" si="48"/>
        <v>-</v>
      </c>
      <c r="I128" s="155" t="str">
        <f t="shared" si="48"/>
        <v>-</v>
      </c>
      <c r="J128" s="155" t="str">
        <f t="shared" si="48"/>
        <v>-</v>
      </c>
      <c r="K128" s="155" t="str">
        <f t="shared" si="48"/>
        <v>-</v>
      </c>
      <c r="L128" s="155" t="str">
        <f t="shared" si="48"/>
        <v>-</v>
      </c>
      <c r="M128" s="155" t="str">
        <f t="shared" si="48"/>
        <v>-</v>
      </c>
      <c r="N128" s="155" t="str">
        <f t="shared" si="48"/>
        <v>-</v>
      </c>
      <c r="O128" s="155" t="str">
        <f t="shared" si="48"/>
        <v>-</v>
      </c>
      <c r="P128" s="155" t="str">
        <f t="shared" si="48"/>
        <v>-</v>
      </c>
      <c r="Q128" s="155" t="str">
        <f t="shared" si="48"/>
        <v>-</v>
      </c>
      <c r="R128" s="155" t="str">
        <f t="shared" si="48"/>
        <v>-</v>
      </c>
      <c r="S128" s="155" t="str">
        <f t="shared" si="48"/>
        <v>-</v>
      </c>
      <c r="T128" s="155">
        <f t="shared" si="48"/>
        <v>0.40000588546877758</v>
      </c>
      <c r="U128" s="155">
        <f t="shared" si="48"/>
        <v>0.40000588546877758</v>
      </c>
      <c r="V128" s="155">
        <f t="shared" si="48"/>
        <v>0.40000588546877758</v>
      </c>
      <c r="W128" s="155">
        <f t="shared" si="48"/>
        <v>0.40000588546877758</v>
      </c>
      <c r="X128" s="155">
        <f t="shared" si="48"/>
        <v>0.40000588546877758</v>
      </c>
      <c r="Y128" s="155">
        <f t="shared" si="48"/>
        <v>0.4</v>
      </c>
      <c r="Z128" s="155">
        <f t="shared" si="48"/>
        <v>0.4</v>
      </c>
      <c r="AA128" s="155">
        <f t="shared" si="48"/>
        <v>0.4</v>
      </c>
      <c r="AB128" s="155">
        <f t="shared" si="48"/>
        <v>0.4</v>
      </c>
      <c r="AC128" s="155">
        <f t="shared" si="48"/>
        <v>0.4</v>
      </c>
      <c r="AD128" s="155">
        <f t="shared" si="48"/>
        <v>0.4</v>
      </c>
      <c r="AE128" s="155">
        <f t="shared" si="48"/>
        <v>0.4</v>
      </c>
      <c r="AF128" s="155">
        <f t="shared" si="48"/>
        <v>0.4</v>
      </c>
      <c r="AG128" s="155">
        <f t="shared" si="48"/>
        <v>0.4</v>
      </c>
      <c r="AH128" s="155">
        <f t="shared" si="48"/>
        <v>0.4</v>
      </c>
      <c r="AI128" s="155">
        <f t="shared" si="48"/>
        <v>0.4</v>
      </c>
      <c r="AJ128" s="155">
        <f t="shared" si="48"/>
        <v>0.4</v>
      </c>
      <c r="AK128" s="155">
        <f t="shared" si="48"/>
        <v>0.4</v>
      </c>
      <c r="AL128" s="155" t="str">
        <f t="shared" si="48"/>
        <v>-</v>
      </c>
      <c r="AM128" s="155" t="str">
        <f t="shared" si="48"/>
        <v>-</v>
      </c>
      <c r="AN128" s="155" t="str">
        <f t="shared" si="48"/>
        <v>-</v>
      </c>
      <c r="AO128" s="155" t="str">
        <f t="shared" si="48"/>
        <v>-</v>
      </c>
      <c r="AP128" s="155" t="str">
        <f t="shared" si="48"/>
        <v>-</v>
      </c>
      <c r="AQ128" s="155" t="str">
        <f t="shared" si="48"/>
        <v>-</v>
      </c>
      <c r="AR128" s="155" t="str">
        <f t="shared" si="48"/>
        <v>-</v>
      </c>
      <c r="AS128" s="155" t="str">
        <f t="shared" si="48"/>
        <v>-</v>
      </c>
      <c r="AT128" s="155" t="str">
        <f t="shared" si="48"/>
        <v>-</v>
      </c>
      <c r="AU128" s="155">
        <f t="shared" si="48"/>
        <v>0.40000241787786112</v>
      </c>
      <c r="AV128" s="155" t="str">
        <f t="shared" si="48"/>
        <v>-</v>
      </c>
      <c r="AW128" s="155">
        <f t="shared" si="48"/>
        <v>0.40001621139661181</v>
      </c>
      <c r="AX128" s="155">
        <f t="shared" si="48"/>
        <v>0.39998929078204065</v>
      </c>
      <c r="AY128" s="155">
        <f t="shared" si="48"/>
        <v>0.39999711160439694</v>
      </c>
      <c r="AZ128" s="155">
        <f t="shared" si="48"/>
        <v>0.39999632867288665</v>
      </c>
      <c r="BA128" s="155">
        <f t="shared" si="48"/>
        <v>0.39999704392267904</v>
      </c>
      <c r="BB128" s="155">
        <f t="shared" si="48"/>
        <v>0.40001067976718108</v>
      </c>
      <c r="BC128" s="155">
        <f t="shared" si="48"/>
        <v>0.4</v>
      </c>
      <c r="BD128" s="155">
        <f t="shared" si="48"/>
        <v>0.4</v>
      </c>
      <c r="BE128" s="155">
        <f t="shared" si="48"/>
        <v>0.39999999999999991</v>
      </c>
      <c r="BF128" s="155" t="str">
        <f t="shared" si="48"/>
        <v>-</v>
      </c>
      <c r="BG128" s="155" t="str">
        <f t="shared" si="48"/>
        <v>-</v>
      </c>
      <c r="BH128" s="155" t="str">
        <f t="shared" si="48"/>
        <v>-</v>
      </c>
      <c r="BI128" s="155" t="str">
        <f t="shared" si="48"/>
        <v>-</v>
      </c>
      <c r="BJ128" s="155" t="str">
        <f t="shared" si="48"/>
        <v>-</v>
      </c>
      <c r="BK128" s="155" t="str">
        <f t="shared" si="48"/>
        <v>-</v>
      </c>
      <c r="BL128" s="155" t="str">
        <f t="shared" si="48"/>
        <v>-</v>
      </c>
      <c r="BM128" s="155" t="str">
        <f t="shared" si="48"/>
        <v>-</v>
      </c>
      <c r="BN128" s="155" t="str">
        <f t="shared" si="48"/>
        <v>-</v>
      </c>
      <c r="BO128" s="155" t="str">
        <f t="shared" si="47"/>
        <v>-</v>
      </c>
      <c r="BP128" s="155" t="s">
        <v>73</v>
      </c>
      <c r="BQ128" s="155" t="s">
        <v>73</v>
      </c>
      <c r="BR128" s="155" t="s">
        <v>73</v>
      </c>
      <c r="BS128" s="155" t="s">
        <v>73</v>
      </c>
      <c r="BT128" s="155" t="str">
        <f t="shared" si="36"/>
        <v>-</v>
      </c>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row>
    <row r="129" spans="1:107" s="157" customFormat="1" ht="15" hidden="1" customHeight="1" outlineLevel="1" x14ac:dyDescent="0.3">
      <c r="A129" t="s">
        <v>305</v>
      </c>
      <c r="B129" s="154" t="s">
        <v>253</v>
      </c>
      <c r="C129" s="155" t="str">
        <f t="shared" si="48"/>
        <v>-</v>
      </c>
      <c r="D129" s="155" t="str">
        <f t="shared" si="48"/>
        <v>-</v>
      </c>
      <c r="E129" s="155" t="str">
        <f t="shared" si="48"/>
        <v>-</v>
      </c>
      <c r="F129" s="155" t="str">
        <f t="shared" si="48"/>
        <v>-</v>
      </c>
      <c r="G129" s="155" t="str">
        <f t="shared" si="48"/>
        <v>-</v>
      </c>
      <c r="H129" s="155" t="str">
        <f t="shared" si="48"/>
        <v>-</v>
      </c>
      <c r="I129" s="155" t="str">
        <f t="shared" si="48"/>
        <v>-</v>
      </c>
      <c r="J129" s="155" t="str">
        <f t="shared" si="48"/>
        <v>-</v>
      </c>
      <c r="K129" s="155" t="str">
        <f t="shared" si="48"/>
        <v>-</v>
      </c>
      <c r="L129" s="155" t="str">
        <f t="shared" si="48"/>
        <v>-</v>
      </c>
      <c r="M129" s="155" t="str">
        <f t="shared" si="48"/>
        <v>-</v>
      </c>
      <c r="N129" s="155" t="str">
        <f t="shared" si="48"/>
        <v>-</v>
      </c>
      <c r="O129" s="155" t="str">
        <f t="shared" si="48"/>
        <v>-</v>
      </c>
      <c r="P129" s="155" t="str">
        <f t="shared" si="48"/>
        <v>-</v>
      </c>
      <c r="Q129" s="155" t="str">
        <f t="shared" si="48"/>
        <v>-</v>
      </c>
      <c r="R129" s="155" t="str">
        <f t="shared" si="48"/>
        <v>-</v>
      </c>
      <c r="S129" s="155" t="str">
        <f t="shared" si="48"/>
        <v>-</v>
      </c>
      <c r="T129" s="155" t="str">
        <f t="shared" si="48"/>
        <v>-</v>
      </c>
      <c r="U129" s="155" t="str">
        <f t="shared" si="48"/>
        <v>-</v>
      </c>
      <c r="V129" s="155" t="str">
        <f t="shared" si="48"/>
        <v>-</v>
      </c>
      <c r="W129" s="155" t="str">
        <f t="shared" si="48"/>
        <v>-</v>
      </c>
      <c r="X129" s="155" t="str">
        <f t="shared" si="48"/>
        <v>-</v>
      </c>
      <c r="Y129" s="155" t="str">
        <f t="shared" si="48"/>
        <v>-</v>
      </c>
      <c r="Z129" s="155">
        <f t="shared" si="48"/>
        <v>0.8</v>
      </c>
      <c r="AA129" s="155">
        <f t="shared" si="48"/>
        <v>0.8</v>
      </c>
      <c r="AB129" s="155">
        <f t="shared" si="48"/>
        <v>0.8</v>
      </c>
      <c r="AC129" s="155">
        <f t="shared" si="48"/>
        <v>0.8</v>
      </c>
      <c r="AD129" s="155">
        <f t="shared" si="48"/>
        <v>0.8</v>
      </c>
      <c r="AE129" s="155">
        <f t="shared" si="48"/>
        <v>0.8</v>
      </c>
      <c r="AF129" s="155">
        <f t="shared" si="48"/>
        <v>0.8</v>
      </c>
      <c r="AG129" s="155">
        <f t="shared" si="48"/>
        <v>0.8</v>
      </c>
      <c r="AH129" s="155">
        <f t="shared" si="48"/>
        <v>0.8</v>
      </c>
      <c r="AI129" s="155">
        <f t="shared" si="48"/>
        <v>0.8</v>
      </c>
      <c r="AJ129" s="155">
        <f t="shared" si="48"/>
        <v>0.8</v>
      </c>
      <c r="AK129" s="155">
        <f t="shared" si="48"/>
        <v>0.8</v>
      </c>
      <c r="AL129" s="155">
        <f t="shared" si="48"/>
        <v>0.8</v>
      </c>
      <c r="AM129" s="155">
        <f t="shared" si="48"/>
        <v>0.8</v>
      </c>
      <c r="AN129" s="155">
        <f t="shared" si="48"/>
        <v>0.79999202454988549</v>
      </c>
      <c r="AO129" s="155">
        <f t="shared" si="48"/>
        <v>0.79999202454988549</v>
      </c>
      <c r="AP129" s="155">
        <f t="shared" si="48"/>
        <v>0.8</v>
      </c>
      <c r="AQ129" s="155">
        <f t="shared" si="48"/>
        <v>0.8</v>
      </c>
      <c r="AR129" s="155">
        <f t="shared" si="48"/>
        <v>0.79999999999999982</v>
      </c>
      <c r="AS129" s="155">
        <f t="shared" si="48"/>
        <v>0.8</v>
      </c>
      <c r="AT129" s="155">
        <f t="shared" si="48"/>
        <v>0.8</v>
      </c>
      <c r="AU129" s="155">
        <f t="shared" si="48"/>
        <v>0.8000042309813612</v>
      </c>
      <c r="AV129" s="155">
        <f t="shared" si="48"/>
        <v>0.7998530648386909</v>
      </c>
      <c r="AW129" s="155">
        <f t="shared" si="48"/>
        <v>0.79999093237821051</v>
      </c>
      <c r="AX129" s="155">
        <f t="shared" si="48"/>
        <v>0.80000453350258405</v>
      </c>
      <c r="AY129" s="155">
        <f t="shared" si="48"/>
        <v>0.8</v>
      </c>
      <c r="AZ129" s="155">
        <f t="shared" si="48"/>
        <v>0.80000326412186062</v>
      </c>
      <c r="BA129" s="155">
        <f t="shared" si="48"/>
        <v>0.8</v>
      </c>
      <c r="BB129" s="155">
        <f t="shared" si="48"/>
        <v>0.80000695257362353</v>
      </c>
      <c r="BC129" s="155">
        <f t="shared" si="48"/>
        <v>0.80000018167366871</v>
      </c>
      <c r="BD129" s="155">
        <f t="shared" si="48"/>
        <v>0.8</v>
      </c>
      <c r="BE129" s="155">
        <f t="shared" si="48"/>
        <v>0.8</v>
      </c>
      <c r="BF129" s="155">
        <f t="shared" si="48"/>
        <v>0.8</v>
      </c>
      <c r="BG129" s="155">
        <f t="shared" si="48"/>
        <v>0.8</v>
      </c>
      <c r="BH129" s="155">
        <f t="shared" si="48"/>
        <v>0.8</v>
      </c>
      <c r="BI129" s="155">
        <f t="shared" si="48"/>
        <v>0.8</v>
      </c>
      <c r="BJ129" s="155">
        <f t="shared" si="48"/>
        <v>0.8</v>
      </c>
      <c r="BK129" s="155">
        <f t="shared" si="48"/>
        <v>0.8</v>
      </c>
      <c r="BL129" s="155">
        <f t="shared" si="48"/>
        <v>0.8</v>
      </c>
      <c r="BM129" s="155">
        <f t="shared" si="48"/>
        <v>0.8</v>
      </c>
      <c r="BN129" s="155">
        <f t="shared" si="48"/>
        <v>0.8</v>
      </c>
      <c r="BO129" s="155">
        <f t="shared" si="47"/>
        <v>1</v>
      </c>
      <c r="BP129" s="155">
        <v>0.125</v>
      </c>
      <c r="BQ129" s="155">
        <v>0.125</v>
      </c>
      <c r="BR129" s="155">
        <v>0.125</v>
      </c>
      <c r="BS129" s="155">
        <v>0.125</v>
      </c>
      <c r="BT129" s="155">
        <f t="shared" si="36"/>
        <v>0.125</v>
      </c>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row>
    <row r="130" spans="1:107" s="157" customFormat="1" ht="15" hidden="1" customHeight="1" outlineLevel="1" x14ac:dyDescent="0.3">
      <c r="A130" t="s">
        <v>306</v>
      </c>
      <c r="B130" s="154" t="s">
        <v>255</v>
      </c>
      <c r="C130" s="155" t="str">
        <f t="shared" si="48"/>
        <v>-</v>
      </c>
      <c r="D130" s="155" t="str">
        <f t="shared" si="48"/>
        <v>-</v>
      </c>
      <c r="E130" s="155" t="str">
        <f t="shared" si="48"/>
        <v>-</v>
      </c>
      <c r="F130" s="155" t="str">
        <f t="shared" si="48"/>
        <v>-</v>
      </c>
      <c r="G130" s="155" t="str">
        <f t="shared" si="48"/>
        <v>-</v>
      </c>
      <c r="H130" s="155" t="str">
        <f t="shared" si="48"/>
        <v>-</v>
      </c>
      <c r="I130" s="155" t="str">
        <f t="shared" si="48"/>
        <v>-</v>
      </c>
      <c r="J130" s="155" t="str">
        <f t="shared" si="48"/>
        <v>-</v>
      </c>
      <c r="K130" s="155" t="str">
        <f t="shared" si="48"/>
        <v>-</v>
      </c>
      <c r="L130" s="155" t="str">
        <f t="shared" si="48"/>
        <v>-</v>
      </c>
      <c r="M130" s="155" t="str">
        <f t="shared" si="48"/>
        <v>-</v>
      </c>
      <c r="N130" s="155" t="str">
        <f t="shared" si="48"/>
        <v>-</v>
      </c>
      <c r="O130" s="155" t="str">
        <f t="shared" si="48"/>
        <v>-</v>
      </c>
      <c r="P130" s="155" t="str">
        <f t="shared" si="48"/>
        <v>-</v>
      </c>
      <c r="Q130" s="155" t="str">
        <f t="shared" si="48"/>
        <v>-</v>
      </c>
      <c r="R130" s="155" t="str">
        <f t="shared" si="48"/>
        <v>-</v>
      </c>
      <c r="S130" s="155" t="str">
        <f t="shared" si="48"/>
        <v>-</v>
      </c>
      <c r="T130" s="155" t="str">
        <f t="shared" si="48"/>
        <v>-</v>
      </c>
      <c r="U130" s="155" t="str">
        <f t="shared" si="48"/>
        <v>-</v>
      </c>
      <c r="V130" s="155" t="str">
        <f t="shared" si="48"/>
        <v>-</v>
      </c>
      <c r="W130" s="155" t="str">
        <f t="shared" si="48"/>
        <v>-</v>
      </c>
      <c r="X130" s="155" t="str">
        <f t="shared" si="48"/>
        <v>-</v>
      </c>
      <c r="Y130" s="155" t="str">
        <f t="shared" si="48"/>
        <v>-</v>
      </c>
      <c r="Z130" s="155">
        <f t="shared" si="48"/>
        <v>0.25</v>
      </c>
      <c r="AA130" s="155">
        <f t="shared" si="48"/>
        <v>0.25</v>
      </c>
      <c r="AB130" s="155">
        <f t="shared" si="48"/>
        <v>0.25</v>
      </c>
      <c r="AC130" s="155">
        <f t="shared" si="48"/>
        <v>0.25</v>
      </c>
      <c r="AD130" s="155">
        <f t="shared" si="48"/>
        <v>0.25</v>
      </c>
      <c r="AE130" s="155">
        <f t="shared" si="48"/>
        <v>0.25</v>
      </c>
      <c r="AF130" s="155">
        <f t="shared" si="48"/>
        <v>0.25</v>
      </c>
      <c r="AG130" s="155">
        <f t="shared" si="48"/>
        <v>0.25</v>
      </c>
      <c r="AH130" s="155">
        <f t="shared" si="48"/>
        <v>0.25</v>
      </c>
      <c r="AI130" s="155">
        <f t="shared" si="48"/>
        <v>0.25</v>
      </c>
      <c r="AJ130" s="155">
        <f t="shared" si="48"/>
        <v>0.25</v>
      </c>
      <c r="AK130" s="155">
        <f t="shared" si="48"/>
        <v>0.25</v>
      </c>
      <c r="AL130" s="155">
        <f t="shared" si="48"/>
        <v>0.25</v>
      </c>
      <c r="AM130" s="155">
        <f t="shared" si="48"/>
        <v>0.25</v>
      </c>
      <c r="AN130" s="155">
        <f t="shared" si="48"/>
        <v>0.24999740836383746</v>
      </c>
      <c r="AO130" s="155">
        <f t="shared" si="48"/>
        <v>0.25000668538574677</v>
      </c>
      <c r="AP130" s="155">
        <f t="shared" si="48"/>
        <v>0.25</v>
      </c>
      <c r="AQ130" s="155">
        <f t="shared" si="48"/>
        <v>0.25</v>
      </c>
      <c r="AR130" s="155">
        <f t="shared" si="48"/>
        <v>0.25</v>
      </c>
      <c r="AS130" s="155">
        <f t="shared" si="48"/>
        <v>0.25</v>
      </c>
      <c r="AT130" s="155">
        <f t="shared" si="48"/>
        <v>0.25</v>
      </c>
      <c r="AU130" s="155">
        <f t="shared" si="48"/>
        <v>0.25000026766595285</v>
      </c>
      <c r="AV130" s="155">
        <f t="shared" si="48"/>
        <v>0.25</v>
      </c>
      <c r="AW130" s="155">
        <f t="shared" si="48"/>
        <v>0.24999973233433373</v>
      </c>
      <c r="AX130" s="155">
        <f t="shared" si="48"/>
        <v>0.24999973233433373</v>
      </c>
      <c r="AY130" s="155">
        <f t="shared" si="48"/>
        <v>0.25</v>
      </c>
      <c r="AZ130" s="155">
        <f t="shared" si="48"/>
        <v>0.25000026766595285</v>
      </c>
      <c r="BA130" s="155">
        <f t="shared" si="48"/>
        <v>0.25000000000000006</v>
      </c>
      <c r="BB130" s="155">
        <f t="shared" si="48"/>
        <v>0.25001181978889025</v>
      </c>
      <c r="BC130" s="155">
        <f t="shared" si="48"/>
        <v>0.25000013351847894</v>
      </c>
      <c r="BD130" s="155">
        <f t="shared" si="48"/>
        <v>0.25</v>
      </c>
      <c r="BE130" s="155">
        <f t="shared" si="48"/>
        <v>0.25</v>
      </c>
      <c r="BF130" s="155">
        <f t="shared" si="48"/>
        <v>0.25</v>
      </c>
      <c r="BG130" s="155">
        <f t="shared" si="48"/>
        <v>0.25</v>
      </c>
      <c r="BH130" s="155">
        <f t="shared" si="48"/>
        <v>0.25</v>
      </c>
      <c r="BI130" s="155">
        <f t="shared" si="48"/>
        <v>0.25</v>
      </c>
      <c r="BJ130" s="155">
        <f t="shared" si="48"/>
        <v>0.25</v>
      </c>
      <c r="BK130" s="155">
        <f t="shared" si="48"/>
        <v>0.25</v>
      </c>
      <c r="BL130" s="155">
        <f t="shared" si="48"/>
        <v>0.25</v>
      </c>
      <c r="BM130" s="155">
        <f t="shared" si="48"/>
        <v>0.25</v>
      </c>
      <c r="BN130" s="155">
        <f t="shared" ref="BN130:BO133" si="49">IFERROR(BN178/BN82,"-")</f>
        <v>0.25</v>
      </c>
      <c r="BO130" s="155">
        <f t="shared" si="49"/>
        <v>0.25</v>
      </c>
      <c r="BP130" s="155">
        <v>1</v>
      </c>
      <c r="BQ130" s="155">
        <v>1</v>
      </c>
      <c r="BR130" s="155">
        <v>1</v>
      </c>
      <c r="BS130" s="155">
        <v>1</v>
      </c>
      <c r="BT130" s="155">
        <f t="shared" si="36"/>
        <v>1</v>
      </c>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row>
    <row r="131" spans="1:107" s="160" customFormat="1" ht="15" hidden="1" customHeight="1" outlineLevel="1" x14ac:dyDescent="0.3">
      <c r="A131" t="s">
        <v>307</v>
      </c>
      <c r="B131" s="154" t="s">
        <v>257</v>
      </c>
      <c r="C131" s="155" t="str">
        <f t="shared" ref="C131:BN134" si="50">IFERROR(C179/C83,"-")</f>
        <v>-</v>
      </c>
      <c r="D131" s="155" t="str">
        <f t="shared" si="50"/>
        <v>-</v>
      </c>
      <c r="E131" s="155" t="str">
        <f t="shared" si="50"/>
        <v>-</v>
      </c>
      <c r="F131" s="155" t="str">
        <f t="shared" si="50"/>
        <v>-</v>
      </c>
      <c r="G131" s="155" t="str">
        <f t="shared" si="50"/>
        <v>-</v>
      </c>
      <c r="H131" s="155" t="str">
        <f t="shared" si="50"/>
        <v>-</v>
      </c>
      <c r="I131" s="155" t="str">
        <f t="shared" si="50"/>
        <v>-</v>
      </c>
      <c r="J131" s="155" t="str">
        <f t="shared" si="50"/>
        <v>-</v>
      </c>
      <c r="K131" s="155" t="str">
        <f t="shared" si="50"/>
        <v>-</v>
      </c>
      <c r="L131" s="155" t="str">
        <f t="shared" si="50"/>
        <v>-</v>
      </c>
      <c r="M131" s="155" t="str">
        <f t="shared" si="50"/>
        <v>-</v>
      </c>
      <c r="N131" s="155" t="str">
        <f t="shared" si="50"/>
        <v>-</v>
      </c>
      <c r="O131" s="155" t="str">
        <f t="shared" si="50"/>
        <v>-</v>
      </c>
      <c r="P131" s="155" t="str">
        <f t="shared" si="50"/>
        <v>-</v>
      </c>
      <c r="Q131" s="155" t="str">
        <f t="shared" si="50"/>
        <v>-</v>
      </c>
      <c r="R131" s="155" t="str">
        <f t="shared" si="50"/>
        <v>-</v>
      </c>
      <c r="S131" s="155" t="str">
        <f t="shared" si="50"/>
        <v>-</v>
      </c>
      <c r="T131" s="155" t="str">
        <f t="shared" si="50"/>
        <v>-</v>
      </c>
      <c r="U131" s="155" t="str">
        <f t="shared" si="50"/>
        <v>-</v>
      </c>
      <c r="V131" s="155" t="str">
        <f t="shared" si="50"/>
        <v>-</v>
      </c>
      <c r="W131" s="155" t="str">
        <f t="shared" si="50"/>
        <v>-</v>
      </c>
      <c r="X131" s="155" t="str">
        <f t="shared" si="50"/>
        <v>-</v>
      </c>
      <c r="Y131" s="155" t="str">
        <f t="shared" si="50"/>
        <v>-</v>
      </c>
      <c r="Z131" s="155" t="str">
        <f t="shared" si="50"/>
        <v>-</v>
      </c>
      <c r="AA131" s="155" t="str">
        <f t="shared" si="50"/>
        <v>-</v>
      </c>
      <c r="AB131" s="155" t="str">
        <f t="shared" si="50"/>
        <v>-</v>
      </c>
      <c r="AC131" s="155" t="str">
        <f t="shared" si="50"/>
        <v>-</v>
      </c>
      <c r="AD131" s="155" t="str">
        <f t="shared" si="50"/>
        <v>-</v>
      </c>
      <c r="AE131" s="155" t="str">
        <f t="shared" si="50"/>
        <v>-</v>
      </c>
      <c r="AF131" s="155">
        <f t="shared" si="50"/>
        <v>1</v>
      </c>
      <c r="AG131" s="155">
        <f t="shared" si="50"/>
        <v>1</v>
      </c>
      <c r="AH131" s="155">
        <f t="shared" si="50"/>
        <v>1</v>
      </c>
      <c r="AI131" s="155">
        <f t="shared" si="50"/>
        <v>1</v>
      </c>
      <c r="AJ131" s="155">
        <f t="shared" si="50"/>
        <v>1</v>
      </c>
      <c r="AK131" s="155">
        <f t="shared" si="50"/>
        <v>1</v>
      </c>
      <c r="AL131" s="155">
        <f t="shared" si="50"/>
        <v>1</v>
      </c>
      <c r="AM131" s="155">
        <f t="shared" si="50"/>
        <v>1</v>
      </c>
      <c r="AN131" s="155">
        <f t="shared" si="50"/>
        <v>1</v>
      </c>
      <c r="AO131" s="155">
        <f t="shared" si="50"/>
        <v>0.99997533005082617</v>
      </c>
      <c r="AP131" s="155">
        <f t="shared" si="50"/>
        <v>1</v>
      </c>
      <c r="AQ131" s="155">
        <f t="shared" si="50"/>
        <v>1</v>
      </c>
      <c r="AR131" s="155">
        <f t="shared" si="50"/>
        <v>1</v>
      </c>
      <c r="AS131" s="155">
        <f t="shared" si="50"/>
        <v>1</v>
      </c>
      <c r="AT131" s="155">
        <f t="shared" si="50"/>
        <v>1</v>
      </c>
      <c r="AU131" s="155">
        <f t="shared" si="50"/>
        <v>0.92002267235679513</v>
      </c>
      <c r="AV131" s="155">
        <f t="shared" si="50"/>
        <v>1</v>
      </c>
      <c r="AW131" s="155">
        <f t="shared" si="50"/>
        <v>0.99997274345821441</v>
      </c>
      <c r="AX131" s="155">
        <f t="shared" si="50"/>
        <v>0.91999279755116736</v>
      </c>
      <c r="AY131" s="155">
        <f t="shared" si="50"/>
        <v>0.92</v>
      </c>
      <c r="AZ131" s="155">
        <f t="shared" si="50"/>
        <v>0.92000220875097538</v>
      </c>
      <c r="BA131" s="155">
        <f t="shared" si="50"/>
        <v>0.92</v>
      </c>
      <c r="BB131" s="155">
        <f t="shared" si="50"/>
        <v>0.91998059244208308</v>
      </c>
      <c r="BC131" s="155">
        <f t="shared" si="50"/>
        <v>0.92</v>
      </c>
      <c r="BD131" s="155">
        <f t="shared" si="50"/>
        <v>1</v>
      </c>
      <c r="BE131" s="155">
        <f t="shared" si="50"/>
        <v>1</v>
      </c>
      <c r="BF131" s="155">
        <f t="shared" si="50"/>
        <v>1</v>
      </c>
      <c r="BG131" s="155">
        <f t="shared" si="50"/>
        <v>1</v>
      </c>
      <c r="BH131" s="155">
        <f t="shared" si="50"/>
        <v>1</v>
      </c>
      <c r="BI131" s="155">
        <f t="shared" si="50"/>
        <v>1</v>
      </c>
      <c r="BJ131" s="155">
        <f t="shared" si="50"/>
        <v>1</v>
      </c>
      <c r="BK131" s="155">
        <f t="shared" si="50"/>
        <v>1</v>
      </c>
      <c r="BL131" s="155">
        <f t="shared" si="50"/>
        <v>1</v>
      </c>
      <c r="BM131" s="155">
        <f t="shared" si="50"/>
        <v>1</v>
      </c>
      <c r="BN131" s="155">
        <f t="shared" si="50"/>
        <v>1</v>
      </c>
      <c r="BO131" s="155">
        <f t="shared" si="49"/>
        <v>1</v>
      </c>
      <c r="BP131" s="155">
        <v>1</v>
      </c>
      <c r="BQ131" s="155">
        <v>1</v>
      </c>
      <c r="BR131" s="155">
        <v>1</v>
      </c>
      <c r="BS131" s="155">
        <v>1</v>
      </c>
      <c r="BT131" s="155">
        <f t="shared" si="36"/>
        <v>1</v>
      </c>
      <c r="BU131" s="159"/>
      <c r="BV131" s="159"/>
      <c r="BW131" s="159"/>
      <c r="BX131" s="159"/>
      <c r="BY131" s="159"/>
      <c r="BZ131" s="159"/>
      <c r="CA131" s="159"/>
      <c r="CB131" s="159"/>
      <c r="CC131" s="159"/>
      <c r="CD131" s="159"/>
      <c r="CE131" s="159"/>
      <c r="CF131" s="159"/>
      <c r="CG131" s="159"/>
      <c r="CH131" s="159"/>
      <c r="CI131" s="159"/>
      <c r="CJ131" s="159"/>
      <c r="CK131" s="159"/>
      <c r="CL131" s="159"/>
      <c r="CM131" s="159"/>
      <c r="CN131" s="159"/>
      <c r="CO131" s="159"/>
      <c r="CP131" s="159"/>
      <c r="CQ131" s="159"/>
      <c r="CR131" s="159"/>
      <c r="CS131" s="159"/>
      <c r="CT131" s="159"/>
      <c r="CU131" s="159"/>
      <c r="CV131" s="159"/>
      <c r="CW131" s="159"/>
      <c r="CX131" s="159"/>
      <c r="CY131" s="159"/>
      <c r="CZ131" s="159"/>
      <c r="DA131" s="159"/>
      <c r="DB131" s="159"/>
      <c r="DC131" s="159"/>
    </row>
    <row r="132" spans="1:107" s="157" customFormat="1" ht="15" hidden="1" customHeight="1" outlineLevel="1" x14ac:dyDescent="0.3">
      <c r="A132" t="s">
        <v>308</v>
      </c>
      <c r="B132" s="154" t="s">
        <v>259</v>
      </c>
      <c r="C132" s="155" t="str">
        <f t="shared" si="50"/>
        <v>-</v>
      </c>
      <c r="D132" s="155" t="str">
        <f t="shared" si="50"/>
        <v>-</v>
      </c>
      <c r="E132" s="155" t="str">
        <f t="shared" si="50"/>
        <v>-</v>
      </c>
      <c r="F132" s="155" t="str">
        <f t="shared" si="50"/>
        <v>-</v>
      </c>
      <c r="G132" s="155" t="str">
        <f t="shared" si="50"/>
        <v>-</v>
      </c>
      <c r="H132" s="155" t="str">
        <f t="shared" si="50"/>
        <v>-</v>
      </c>
      <c r="I132" s="155" t="str">
        <f t="shared" si="50"/>
        <v>-</v>
      </c>
      <c r="J132" s="155" t="str">
        <f t="shared" si="50"/>
        <v>-</v>
      </c>
      <c r="K132" s="155" t="str">
        <f t="shared" si="50"/>
        <v>-</v>
      </c>
      <c r="L132" s="155" t="str">
        <f t="shared" si="50"/>
        <v>-</v>
      </c>
      <c r="M132" s="155" t="str">
        <f t="shared" si="50"/>
        <v>-</v>
      </c>
      <c r="N132" s="155" t="str">
        <f t="shared" si="50"/>
        <v>-</v>
      </c>
      <c r="O132" s="155" t="str">
        <f t="shared" si="50"/>
        <v>-</v>
      </c>
      <c r="P132" s="155" t="str">
        <f t="shared" si="50"/>
        <v>-</v>
      </c>
      <c r="Q132" s="155" t="str">
        <f t="shared" si="50"/>
        <v>-</v>
      </c>
      <c r="R132" s="155" t="str">
        <f t="shared" si="50"/>
        <v>-</v>
      </c>
      <c r="S132" s="155" t="str">
        <f t="shared" si="50"/>
        <v>-</v>
      </c>
      <c r="T132" s="155" t="str">
        <f t="shared" si="50"/>
        <v>-</v>
      </c>
      <c r="U132" s="155" t="str">
        <f t="shared" si="50"/>
        <v>-</v>
      </c>
      <c r="V132" s="155" t="str">
        <f t="shared" si="50"/>
        <v>-</v>
      </c>
      <c r="W132" s="155" t="str">
        <f t="shared" si="50"/>
        <v>-</v>
      </c>
      <c r="X132" s="155" t="str">
        <f t="shared" si="50"/>
        <v>-</v>
      </c>
      <c r="Y132" s="155" t="str">
        <f t="shared" si="50"/>
        <v>-</v>
      </c>
      <c r="Z132" s="155" t="str">
        <f t="shared" si="50"/>
        <v>-</v>
      </c>
      <c r="AA132" s="155" t="str">
        <f t="shared" si="50"/>
        <v>-</v>
      </c>
      <c r="AB132" s="155" t="str">
        <f t="shared" si="50"/>
        <v>-</v>
      </c>
      <c r="AC132" s="155" t="str">
        <f t="shared" si="50"/>
        <v>-</v>
      </c>
      <c r="AD132" s="155" t="str">
        <f t="shared" si="50"/>
        <v>-</v>
      </c>
      <c r="AE132" s="155" t="str">
        <f t="shared" si="50"/>
        <v>-</v>
      </c>
      <c r="AF132" s="155" t="str">
        <f t="shared" si="50"/>
        <v>-</v>
      </c>
      <c r="AG132" s="155" t="str">
        <f t="shared" si="50"/>
        <v>-</v>
      </c>
      <c r="AH132" s="155" t="str">
        <f t="shared" si="50"/>
        <v>-</v>
      </c>
      <c r="AI132" s="155" t="str">
        <f t="shared" si="50"/>
        <v>-</v>
      </c>
      <c r="AJ132" s="155">
        <f t="shared" si="50"/>
        <v>0.5312596156535847</v>
      </c>
      <c r="AK132" s="155">
        <f t="shared" si="50"/>
        <v>0.5312596156535847</v>
      </c>
      <c r="AL132" s="155">
        <f t="shared" si="50"/>
        <v>0.5312596156535847</v>
      </c>
      <c r="AM132" s="155">
        <f t="shared" si="50"/>
        <v>0.5312596156535847</v>
      </c>
      <c r="AN132" s="155">
        <f t="shared" si="50"/>
        <v>0.5312596156535847</v>
      </c>
      <c r="AO132" s="155">
        <f t="shared" si="50"/>
        <v>0.5312596156535847</v>
      </c>
      <c r="AP132" s="155">
        <f t="shared" si="50"/>
        <v>0.53125</v>
      </c>
      <c r="AQ132" s="155">
        <f t="shared" si="50"/>
        <v>0.53125</v>
      </c>
      <c r="AR132" s="155">
        <f t="shared" si="50"/>
        <v>0.53125505606571033</v>
      </c>
      <c r="AS132" s="155">
        <f t="shared" si="50"/>
        <v>0.53125</v>
      </c>
      <c r="AT132" s="155">
        <f t="shared" si="50"/>
        <v>0.53125</v>
      </c>
      <c r="AU132" s="155">
        <f t="shared" si="50"/>
        <v>0.53125</v>
      </c>
      <c r="AV132" s="155">
        <f t="shared" si="50"/>
        <v>0.53124103570051107</v>
      </c>
      <c r="AW132" s="155">
        <f t="shared" si="50"/>
        <v>0.5312770875469518</v>
      </c>
      <c r="AX132" s="155">
        <f t="shared" si="50"/>
        <v>0.5312770875469518</v>
      </c>
      <c r="AY132" s="155">
        <f t="shared" si="50"/>
        <v>0.53125</v>
      </c>
      <c r="AZ132" s="155">
        <f t="shared" si="50"/>
        <v>0.53125920976596352</v>
      </c>
      <c r="BA132" s="155">
        <f t="shared" si="50"/>
        <v>0.53125</v>
      </c>
      <c r="BB132" s="155">
        <f t="shared" si="50"/>
        <v>0.53126787747106374</v>
      </c>
      <c r="BC132" s="155">
        <f t="shared" si="50"/>
        <v>0.53125</v>
      </c>
      <c r="BD132" s="155">
        <f t="shared" si="50"/>
        <v>0.53125</v>
      </c>
      <c r="BE132" s="155">
        <f t="shared" si="50"/>
        <v>0.53125</v>
      </c>
      <c r="BF132" s="155">
        <f t="shared" si="50"/>
        <v>0.53125</v>
      </c>
      <c r="BG132" s="155">
        <f t="shared" si="50"/>
        <v>0.53125</v>
      </c>
      <c r="BH132" s="155">
        <f t="shared" si="50"/>
        <v>0.53125</v>
      </c>
      <c r="BI132" s="155">
        <f t="shared" si="50"/>
        <v>0.53125</v>
      </c>
      <c r="BJ132" s="155">
        <f t="shared" si="50"/>
        <v>0.53125</v>
      </c>
      <c r="BK132" s="155">
        <f t="shared" si="50"/>
        <v>0.53125</v>
      </c>
      <c r="BL132" s="155">
        <f t="shared" si="50"/>
        <v>0.53125</v>
      </c>
      <c r="BM132" s="155">
        <f t="shared" si="50"/>
        <v>0.53125</v>
      </c>
      <c r="BN132" s="155">
        <f t="shared" si="50"/>
        <v>0.53125</v>
      </c>
      <c r="BO132" s="155">
        <f t="shared" si="49"/>
        <v>0.53125</v>
      </c>
      <c r="BP132" s="155" t="s">
        <v>73</v>
      </c>
      <c r="BQ132" s="155" t="s">
        <v>73</v>
      </c>
      <c r="BR132" s="155" t="s">
        <v>73</v>
      </c>
      <c r="BS132" s="155" t="s">
        <v>73</v>
      </c>
      <c r="BT132" s="155" t="str">
        <f t="shared" si="36"/>
        <v>-</v>
      </c>
      <c r="BU132" s="156"/>
      <c r="BV132" s="156"/>
      <c r="BW132" s="156"/>
      <c r="BX132" s="156"/>
      <c r="BY132" s="156"/>
      <c r="BZ132" s="156"/>
      <c r="CA132" s="156"/>
      <c r="CB132" s="156"/>
      <c r="CC132" s="156"/>
      <c r="CD132" s="156"/>
      <c r="CE132" s="156"/>
      <c r="CF132" s="156"/>
      <c r="CG132" s="156"/>
      <c r="CH132" s="156"/>
      <c r="CI132" s="156"/>
      <c r="CJ132" s="156"/>
      <c r="CK132" s="156"/>
      <c r="CL132" s="156"/>
      <c r="CM132" s="156"/>
      <c r="CN132" s="156"/>
      <c r="CO132" s="156"/>
      <c r="CP132" s="156"/>
      <c r="CQ132" s="156"/>
      <c r="CR132" s="156"/>
      <c r="CS132" s="156"/>
      <c r="CT132" s="156"/>
      <c r="CU132" s="156"/>
      <c r="CV132" s="156"/>
      <c r="CW132" s="156"/>
      <c r="CX132" s="156"/>
      <c r="CY132" s="156"/>
      <c r="CZ132" s="156"/>
      <c r="DA132" s="156"/>
      <c r="DB132" s="156"/>
      <c r="DC132" s="156"/>
    </row>
    <row r="133" spans="1:107" s="157" customFormat="1" ht="15" hidden="1" customHeight="1" outlineLevel="1" x14ac:dyDescent="0.3">
      <c r="A133" t="s">
        <v>73</v>
      </c>
      <c r="B133" s="154" t="s">
        <v>260</v>
      </c>
      <c r="C133" s="155" t="str">
        <f t="shared" si="50"/>
        <v>-</v>
      </c>
      <c r="D133" s="155" t="str">
        <f t="shared" si="50"/>
        <v>-</v>
      </c>
      <c r="E133" s="155" t="str">
        <f t="shared" si="50"/>
        <v>-</v>
      </c>
      <c r="F133" s="155" t="str">
        <f t="shared" si="50"/>
        <v>-</v>
      </c>
      <c r="G133" s="155" t="str">
        <f t="shared" si="50"/>
        <v>-</v>
      </c>
      <c r="H133" s="155" t="str">
        <f t="shared" si="50"/>
        <v>-</v>
      </c>
      <c r="I133" s="155" t="str">
        <f t="shared" si="50"/>
        <v>-</v>
      </c>
      <c r="J133" s="155" t="str">
        <f t="shared" si="50"/>
        <v>-</v>
      </c>
      <c r="K133" s="155" t="str">
        <f t="shared" si="50"/>
        <v>-</v>
      </c>
      <c r="L133" s="155" t="str">
        <f t="shared" si="50"/>
        <v>-</v>
      </c>
      <c r="M133" s="155" t="str">
        <f t="shared" si="50"/>
        <v>-</v>
      </c>
      <c r="N133" s="155" t="str">
        <f t="shared" si="50"/>
        <v>-</v>
      </c>
      <c r="O133" s="155" t="str">
        <f t="shared" si="50"/>
        <v>-</v>
      </c>
      <c r="P133" s="155" t="str">
        <f t="shared" si="50"/>
        <v>-</v>
      </c>
      <c r="Q133" s="155" t="str">
        <f t="shared" si="50"/>
        <v>-</v>
      </c>
      <c r="R133" s="155" t="str">
        <f t="shared" si="50"/>
        <v>-</v>
      </c>
      <c r="S133" s="155" t="str">
        <f t="shared" si="50"/>
        <v>-</v>
      </c>
      <c r="T133" s="155">
        <f t="shared" si="50"/>
        <v>0.25</v>
      </c>
      <c r="U133" s="155">
        <f t="shared" si="50"/>
        <v>0.25</v>
      </c>
      <c r="V133" s="155">
        <f t="shared" si="50"/>
        <v>0.25</v>
      </c>
      <c r="W133" s="155">
        <f t="shared" si="50"/>
        <v>0.25</v>
      </c>
      <c r="X133" s="155">
        <f t="shared" si="50"/>
        <v>0.25</v>
      </c>
      <c r="Y133" s="155">
        <f t="shared" si="50"/>
        <v>0.25</v>
      </c>
      <c r="Z133" s="155">
        <f t="shared" si="50"/>
        <v>0.25</v>
      </c>
      <c r="AA133" s="155">
        <f t="shared" si="50"/>
        <v>0.25</v>
      </c>
      <c r="AB133" s="155">
        <f t="shared" si="50"/>
        <v>0.25</v>
      </c>
      <c r="AC133" s="155">
        <f t="shared" si="50"/>
        <v>0.25</v>
      </c>
      <c r="AD133" s="155">
        <f t="shared" si="50"/>
        <v>0.25</v>
      </c>
      <c r="AE133" s="155">
        <f t="shared" si="50"/>
        <v>0.25</v>
      </c>
      <c r="AF133" s="155">
        <f t="shared" si="50"/>
        <v>0.25</v>
      </c>
      <c r="AG133" s="155">
        <f t="shared" si="50"/>
        <v>0.25</v>
      </c>
      <c r="AH133" s="155">
        <f t="shared" si="50"/>
        <v>0.25</v>
      </c>
      <c r="AI133" s="155">
        <f t="shared" si="50"/>
        <v>0.25</v>
      </c>
      <c r="AJ133" s="155">
        <f t="shared" si="50"/>
        <v>0.25</v>
      </c>
      <c r="AK133" s="155">
        <f t="shared" si="50"/>
        <v>0.25</v>
      </c>
      <c r="AL133" s="155" t="str">
        <f t="shared" si="50"/>
        <v>-</v>
      </c>
      <c r="AM133" s="155" t="str">
        <f t="shared" si="50"/>
        <v>-</v>
      </c>
      <c r="AN133" s="155" t="str">
        <f t="shared" si="50"/>
        <v>-</v>
      </c>
      <c r="AO133" s="155" t="str">
        <f t="shared" si="50"/>
        <v>-</v>
      </c>
      <c r="AP133" s="155" t="str">
        <f t="shared" si="50"/>
        <v>-</v>
      </c>
      <c r="AQ133" s="155" t="str">
        <f t="shared" si="50"/>
        <v>-</v>
      </c>
      <c r="AR133" s="155" t="str">
        <f t="shared" si="50"/>
        <v>-</v>
      </c>
      <c r="AS133" s="155" t="str">
        <f t="shared" si="50"/>
        <v>-</v>
      </c>
      <c r="AT133" s="155" t="str">
        <f t="shared" si="50"/>
        <v>-</v>
      </c>
      <c r="AU133" s="155" t="str">
        <f t="shared" si="50"/>
        <v>-</v>
      </c>
      <c r="AV133" s="155" t="str">
        <f t="shared" si="50"/>
        <v>-</v>
      </c>
      <c r="AW133" s="155" t="str">
        <f t="shared" si="50"/>
        <v>-</v>
      </c>
      <c r="AX133" s="155" t="str">
        <f t="shared" si="50"/>
        <v>-</v>
      </c>
      <c r="AY133" s="155" t="str">
        <f t="shared" si="50"/>
        <v>-</v>
      </c>
      <c r="AZ133" s="155" t="str">
        <f t="shared" si="50"/>
        <v>-</v>
      </c>
      <c r="BA133" s="155" t="str">
        <f t="shared" si="50"/>
        <v>-</v>
      </c>
      <c r="BB133" s="155" t="str">
        <f t="shared" si="50"/>
        <v>-</v>
      </c>
      <c r="BC133" s="155" t="str">
        <f t="shared" si="50"/>
        <v>-</v>
      </c>
      <c r="BD133" s="155" t="str">
        <f t="shared" si="50"/>
        <v>-</v>
      </c>
      <c r="BE133" s="155" t="str">
        <f t="shared" si="50"/>
        <v>-</v>
      </c>
      <c r="BF133" s="155" t="str">
        <f t="shared" si="50"/>
        <v>-</v>
      </c>
      <c r="BG133" s="155" t="str">
        <f t="shared" si="50"/>
        <v>-</v>
      </c>
      <c r="BH133" s="155" t="str">
        <f t="shared" si="50"/>
        <v>-</v>
      </c>
      <c r="BI133" s="155" t="str">
        <f t="shared" si="50"/>
        <v>-</v>
      </c>
      <c r="BJ133" s="155" t="str">
        <f t="shared" si="50"/>
        <v>-</v>
      </c>
      <c r="BK133" s="155" t="str">
        <f t="shared" si="50"/>
        <v>-</v>
      </c>
      <c r="BL133" s="155" t="str">
        <f t="shared" si="50"/>
        <v>-</v>
      </c>
      <c r="BM133" s="155" t="str">
        <f t="shared" si="50"/>
        <v>-</v>
      </c>
      <c r="BN133" s="155" t="str">
        <f t="shared" si="50"/>
        <v>-</v>
      </c>
      <c r="BO133" s="155" t="str">
        <f t="shared" si="49"/>
        <v>-</v>
      </c>
      <c r="BP133" s="155" t="s">
        <v>73</v>
      </c>
      <c r="BQ133" s="155" t="s">
        <v>73</v>
      </c>
      <c r="BR133" s="155" t="s">
        <v>73</v>
      </c>
      <c r="BS133" s="155" t="s">
        <v>73</v>
      </c>
      <c r="BT133" s="155" t="str">
        <f t="shared" si="36"/>
        <v>-</v>
      </c>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row>
    <row r="134" spans="1:107" s="150" customFormat="1" ht="15" customHeight="1" collapsed="1" x14ac:dyDescent="0.3">
      <c r="A134" s="131"/>
      <c r="B134" s="140" t="str">
        <f>IF('Sumário | Summary'!P1=1,"Galpões Logísticos","Distribution Centers")</f>
        <v>Galpões Logísticos</v>
      </c>
      <c r="C134" s="152">
        <f t="shared" si="50"/>
        <v>1.0000039653193173</v>
      </c>
      <c r="D134" s="152">
        <f t="shared" si="50"/>
        <v>1.0000039653193173</v>
      </c>
      <c r="E134" s="152">
        <f t="shared" si="50"/>
        <v>1.0000039653193173</v>
      </c>
      <c r="F134" s="152">
        <f t="shared" si="50"/>
        <v>1.0000039653193173</v>
      </c>
      <c r="G134" s="152">
        <f t="shared" si="50"/>
        <v>1.0000039653193173</v>
      </c>
      <c r="H134" s="152">
        <f t="shared" si="50"/>
        <v>1.0000039653193173</v>
      </c>
      <c r="I134" s="152">
        <f t="shared" si="50"/>
        <v>1.0000039653193173</v>
      </c>
      <c r="J134" s="152">
        <f t="shared" si="50"/>
        <v>1.0000039653193173</v>
      </c>
      <c r="K134" s="152">
        <f t="shared" si="50"/>
        <v>1.0000039653193173</v>
      </c>
      <c r="L134" s="152">
        <f t="shared" si="50"/>
        <v>1.0000039653193173</v>
      </c>
      <c r="M134" s="152">
        <f t="shared" si="50"/>
        <v>1.0000039653193173</v>
      </c>
      <c r="N134" s="152">
        <f t="shared" si="50"/>
        <v>1.0000039653193173</v>
      </c>
      <c r="O134" s="152">
        <f t="shared" si="50"/>
        <v>1.0000039653193173</v>
      </c>
      <c r="P134" s="152">
        <f t="shared" si="50"/>
        <v>1.0000039653193173</v>
      </c>
      <c r="Q134" s="152">
        <f t="shared" si="50"/>
        <v>0.56540684403988706</v>
      </c>
      <c r="R134" s="152">
        <f t="shared" si="50"/>
        <v>0.3504715386790897</v>
      </c>
      <c r="S134" s="152">
        <f t="shared" si="50"/>
        <v>0.27813539963521389</v>
      </c>
      <c r="T134" s="152">
        <f t="shared" si="50"/>
        <v>0.27813539963521389</v>
      </c>
      <c r="U134" s="152">
        <f t="shared" si="50"/>
        <v>0.27813539963521389</v>
      </c>
      <c r="V134" s="152">
        <f t="shared" si="50"/>
        <v>0.27813539963521389</v>
      </c>
      <c r="W134" s="152">
        <f t="shared" si="50"/>
        <v>0.19501910842394299</v>
      </c>
      <c r="X134" s="152">
        <f t="shared" si="50"/>
        <v>0.16483735189830553</v>
      </c>
      <c r="Y134" s="152">
        <f t="shared" si="50"/>
        <v>0.16483735189830553</v>
      </c>
      <c r="Z134" s="152">
        <f t="shared" si="50"/>
        <v>0.19304563774137939</v>
      </c>
      <c r="AA134" s="152">
        <f t="shared" si="50"/>
        <v>0.19304516439410019</v>
      </c>
      <c r="AB134" s="152">
        <f t="shared" si="50"/>
        <v>0.22318269951815403</v>
      </c>
      <c r="AC134" s="152">
        <f t="shared" si="50"/>
        <v>0.22594519975149632</v>
      </c>
      <c r="AD134" s="152">
        <f t="shared" si="50"/>
        <v>0.2259459125859439</v>
      </c>
      <c r="AE134" s="152">
        <f t="shared" si="50"/>
        <v>0.2259459125859439</v>
      </c>
      <c r="AF134" s="152">
        <f t="shared" si="50"/>
        <v>0.22595728217469083</v>
      </c>
      <c r="AG134" s="152">
        <f t="shared" si="50"/>
        <v>0.22595728217469083</v>
      </c>
      <c r="AH134" s="152">
        <f t="shared" si="50"/>
        <v>0.22595728217469083</v>
      </c>
      <c r="AI134" s="152">
        <f t="shared" si="50"/>
        <v>0.22970238723480194</v>
      </c>
      <c r="AJ134" s="152">
        <f t="shared" si="50"/>
        <v>0.23804473057285028</v>
      </c>
      <c r="AK134" s="152">
        <f t="shared" si="50"/>
        <v>0.22690832175852527</v>
      </c>
      <c r="AL134" s="152">
        <f t="shared" si="50"/>
        <v>0.64141536740392135</v>
      </c>
      <c r="AM134" s="152">
        <f t="shared" si="50"/>
        <v>0.68342131068115386</v>
      </c>
      <c r="AN134" s="152">
        <f t="shared" si="50"/>
        <v>0.68342131068115386</v>
      </c>
      <c r="AO134" s="152">
        <f t="shared" si="50"/>
        <v>1.0000318753843511</v>
      </c>
      <c r="AP134" s="152">
        <f t="shared" si="50"/>
        <v>1.0000318753843511</v>
      </c>
      <c r="AQ134" s="152">
        <f t="shared" si="50"/>
        <v>1.0000318753843511</v>
      </c>
      <c r="AR134" s="152" t="str">
        <f t="shared" si="50"/>
        <v>-</v>
      </c>
      <c r="AS134" s="152" t="str">
        <f t="shared" si="50"/>
        <v>-</v>
      </c>
      <c r="AT134" s="152" t="str">
        <f t="shared" si="50"/>
        <v>-</v>
      </c>
      <c r="AU134" s="152" t="str">
        <f t="shared" si="50"/>
        <v>-</v>
      </c>
      <c r="AV134" s="152" t="str">
        <f t="shared" si="50"/>
        <v>-</v>
      </c>
      <c r="AW134" s="152" t="str">
        <f t="shared" si="50"/>
        <v>-</v>
      </c>
      <c r="AX134" s="152" t="str">
        <f t="shared" si="50"/>
        <v>-</v>
      </c>
      <c r="AY134" s="152" t="str">
        <f t="shared" si="50"/>
        <v>-</v>
      </c>
      <c r="AZ134" s="152" t="str">
        <f t="shared" si="50"/>
        <v>-</v>
      </c>
      <c r="BA134" s="152" t="str">
        <f t="shared" si="50"/>
        <v>-</v>
      </c>
      <c r="BB134" s="152" t="str">
        <f t="shared" si="50"/>
        <v>-</v>
      </c>
      <c r="BC134" s="152" t="str">
        <f t="shared" si="50"/>
        <v>-</v>
      </c>
      <c r="BD134" s="152" t="str">
        <f t="shared" si="50"/>
        <v>-</v>
      </c>
      <c r="BE134" s="152" t="str">
        <f t="shared" si="50"/>
        <v>-</v>
      </c>
      <c r="BF134" s="152" t="str">
        <f t="shared" si="50"/>
        <v>-</v>
      </c>
      <c r="BG134" s="152" t="str">
        <f t="shared" si="50"/>
        <v>-</v>
      </c>
      <c r="BH134" s="152" t="str">
        <f t="shared" si="50"/>
        <v>-</v>
      </c>
      <c r="BI134" s="152" t="str">
        <f t="shared" si="50"/>
        <v>-</v>
      </c>
      <c r="BJ134" s="152" t="str">
        <f t="shared" si="50"/>
        <v>-</v>
      </c>
      <c r="BK134" s="152" t="str">
        <f t="shared" si="50"/>
        <v>-</v>
      </c>
      <c r="BL134" s="152" t="str">
        <f t="shared" si="50"/>
        <v>-</v>
      </c>
      <c r="BM134" s="152" t="str">
        <f t="shared" si="50"/>
        <v>-</v>
      </c>
      <c r="BN134" s="152">
        <f t="shared" ref="BN134:BO137" si="51">IFERROR(BN182/BN86,"-")</f>
        <v>0.2</v>
      </c>
      <c r="BO134" s="152">
        <f t="shared" si="51"/>
        <v>0.2</v>
      </c>
      <c r="BP134" s="152">
        <v>0.2</v>
      </c>
      <c r="BQ134" s="152">
        <v>0.2</v>
      </c>
      <c r="BR134" s="152">
        <v>0.2</v>
      </c>
      <c r="BS134" s="152">
        <v>0.2</v>
      </c>
      <c r="BT134" s="152">
        <f t="shared" si="36"/>
        <v>0.2</v>
      </c>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53"/>
      <c r="CY134" s="153"/>
      <c r="CZ134" s="153"/>
      <c r="DA134" s="153"/>
      <c r="DB134" s="153"/>
      <c r="DC134" s="153"/>
    </row>
    <row r="135" spans="1:107" s="157" customFormat="1" ht="15" hidden="1" customHeight="1" outlineLevel="1" x14ac:dyDescent="0.3">
      <c r="A135"/>
      <c r="B135" s="134" t="s">
        <v>262</v>
      </c>
      <c r="C135" s="155" t="str">
        <f t="shared" ref="C135:BN138" si="52">IFERROR(C183/C87,"-")</f>
        <v>-</v>
      </c>
      <c r="D135" s="155" t="str">
        <f t="shared" si="52"/>
        <v>-</v>
      </c>
      <c r="E135" s="155" t="str">
        <f t="shared" si="52"/>
        <v>-</v>
      </c>
      <c r="F135" s="155" t="str">
        <f t="shared" si="52"/>
        <v>-</v>
      </c>
      <c r="G135" s="155" t="str">
        <f t="shared" si="52"/>
        <v>-</v>
      </c>
      <c r="H135" s="155" t="str">
        <f t="shared" si="52"/>
        <v>-</v>
      </c>
      <c r="I135" s="155" t="str">
        <f t="shared" si="52"/>
        <v>-</v>
      </c>
      <c r="J135" s="155" t="str">
        <f t="shared" si="52"/>
        <v>-</v>
      </c>
      <c r="K135" s="155" t="str">
        <f t="shared" si="52"/>
        <v>-</v>
      </c>
      <c r="L135" s="155" t="str">
        <f t="shared" si="52"/>
        <v>-</v>
      </c>
      <c r="M135" s="155" t="str">
        <f t="shared" si="52"/>
        <v>-</v>
      </c>
      <c r="N135" s="155" t="str">
        <f t="shared" si="52"/>
        <v>-</v>
      </c>
      <c r="O135" s="155" t="str">
        <f t="shared" si="52"/>
        <v>-</v>
      </c>
      <c r="P135" s="155" t="str">
        <f t="shared" si="52"/>
        <v>-</v>
      </c>
      <c r="Q135" s="155" t="str">
        <f t="shared" si="52"/>
        <v>-</v>
      </c>
      <c r="R135" s="155" t="str">
        <f t="shared" si="52"/>
        <v>-</v>
      </c>
      <c r="S135" s="155" t="str">
        <f t="shared" si="52"/>
        <v>-</v>
      </c>
      <c r="T135" s="155" t="str">
        <f t="shared" si="52"/>
        <v>-</v>
      </c>
      <c r="U135" s="155" t="str">
        <f t="shared" si="52"/>
        <v>-</v>
      </c>
      <c r="V135" s="155" t="str">
        <f t="shared" si="52"/>
        <v>-</v>
      </c>
      <c r="W135" s="155" t="str">
        <f t="shared" si="52"/>
        <v>-</v>
      </c>
      <c r="X135" s="155" t="str">
        <f t="shared" si="52"/>
        <v>-</v>
      </c>
      <c r="Y135" s="155" t="str">
        <f t="shared" si="52"/>
        <v>-</v>
      </c>
      <c r="Z135" s="155" t="str">
        <f t="shared" si="52"/>
        <v>-</v>
      </c>
      <c r="AA135" s="155" t="str">
        <f t="shared" si="52"/>
        <v>-</v>
      </c>
      <c r="AB135" s="155" t="str">
        <f t="shared" si="52"/>
        <v>-</v>
      </c>
      <c r="AC135" s="155" t="str">
        <f t="shared" si="52"/>
        <v>-</v>
      </c>
      <c r="AD135" s="155" t="str">
        <f t="shared" si="52"/>
        <v>-</v>
      </c>
      <c r="AE135" s="155" t="str">
        <f t="shared" si="52"/>
        <v>-</v>
      </c>
      <c r="AF135" s="155" t="str">
        <f t="shared" si="52"/>
        <v>-</v>
      </c>
      <c r="AG135" s="155" t="str">
        <f t="shared" si="52"/>
        <v>-</v>
      </c>
      <c r="AH135" s="155" t="str">
        <f t="shared" si="52"/>
        <v>-</v>
      </c>
      <c r="AI135" s="155" t="str">
        <f t="shared" si="52"/>
        <v>-</v>
      </c>
      <c r="AJ135" s="155" t="str">
        <f t="shared" si="52"/>
        <v>-</v>
      </c>
      <c r="AK135" s="155" t="str">
        <f t="shared" si="52"/>
        <v>-</v>
      </c>
      <c r="AL135" s="155" t="str">
        <f t="shared" si="52"/>
        <v>-</v>
      </c>
      <c r="AM135" s="155" t="str">
        <f t="shared" si="52"/>
        <v>-</v>
      </c>
      <c r="AN135" s="155" t="str">
        <f t="shared" si="52"/>
        <v>-</v>
      </c>
      <c r="AO135" s="155" t="str">
        <f t="shared" si="52"/>
        <v>-</v>
      </c>
      <c r="AP135" s="155" t="str">
        <f t="shared" si="52"/>
        <v>-</v>
      </c>
      <c r="AQ135" s="155" t="str">
        <f t="shared" si="52"/>
        <v>-</v>
      </c>
      <c r="AR135" s="155" t="str">
        <f t="shared" si="52"/>
        <v>-</v>
      </c>
      <c r="AS135" s="155" t="str">
        <f t="shared" si="52"/>
        <v>-</v>
      </c>
      <c r="AT135" s="155" t="str">
        <f t="shared" si="52"/>
        <v>-</v>
      </c>
      <c r="AU135" s="155" t="str">
        <f t="shared" si="52"/>
        <v>-</v>
      </c>
      <c r="AV135" s="155" t="str">
        <f t="shared" si="52"/>
        <v>-</v>
      </c>
      <c r="AW135" s="155" t="str">
        <f t="shared" si="52"/>
        <v>-</v>
      </c>
      <c r="AX135" s="155" t="str">
        <f t="shared" si="52"/>
        <v>-</v>
      </c>
      <c r="AY135" s="155" t="str">
        <f t="shared" si="52"/>
        <v>-</v>
      </c>
      <c r="AZ135" s="155" t="str">
        <f t="shared" si="52"/>
        <v>-</v>
      </c>
      <c r="BA135" s="155" t="str">
        <f t="shared" si="52"/>
        <v>-</v>
      </c>
      <c r="BB135" s="155" t="str">
        <f t="shared" si="52"/>
        <v>-</v>
      </c>
      <c r="BC135" s="155" t="str">
        <f t="shared" si="52"/>
        <v>-</v>
      </c>
      <c r="BD135" s="155" t="str">
        <f t="shared" si="52"/>
        <v>-</v>
      </c>
      <c r="BE135" s="155" t="str">
        <f t="shared" si="52"/>
        <v>-</v>
      </c>
      <c r="BF135" s="155" t="str">
        <f t="shared" si="52"/>
        <v>-</v>
      </c>
      <c r="BG135" s="155" t="str">
        <f t="shared" si="52"/>
        <v>-</v>
      </c>
      <c r="BH135" s="155" t="str">
        <f t="shared" si="52"/>
        <v>-</v>
      </c>
      <c r="BI135" s="155" t="str">
        <f t="shared" si="52"/>
        <v>-</v>
      </c>
      <c r="BJ135" s="155" t="str">
        <f t="shared" si="52"/>
        <v>-</v>
      </c>
      <c r="BK135" s="155" t="str">
        <f t="shared" si="52"/>
        <v>-</v>
      </c>
      <c r="BL135" s="155" t="str">
        <f t="shared" si="52"/>
        <v>-</v>
      </c>
      <c r="BM135" s="155" t="str">
        <f t="shared" si="52"/>
        <v>-</v>
      </c>
      <c r="BN135" s="155">
        <f t="shared" si="52"/>
        <v>0.2</v>
      </c>
      <c r="BO135" s="155">
        <f t="shared" si="51"/>
        <v>0.2</v>
      </c>
      <c r="BP135" s="155">
        <v>0.2</v>
      </c>
      <c r="BQ135" s="155">
        <v>0.2</v>
      </c>
      <c r="BR135" s="155">
        <v>0.2</v>
      </c>
      <c r="BS135" s="155">
        <v>0.2</v>
      </c>
      <c r="BT135" s="155">
        <f t="shared" si="36"/>
        <v>0.2</v>
      </c>
      <c r="BU135" s="156"/>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row>
    <row r="136" spans="1:107" s="157" customFormat="1" ht="15" hidden="1" customHeight="1" outlineLevel="1" x14ac:dyDescent="0.3">
      <c r="A136" t="s">
        <v>73</v>
      </c>
      <c r="B136" s="134" t="s">
        <v>263</v>
      </c>
      <c r="C136" s="155">
        <f t="shared" si="52"/>
        <v>1.0000039653193173</v>
      </c>
      <c r="D136" s="155">
        <f t="shared" si="52"/>
        <v>1.0000039653193173</v>
      </c>
      <c r="E136" s="155">
        <f t="shared" si="52"/>
        <v>1.0000039653193173</v>
      </c>
      <c r="F136" s="155">
        <f t="shared" si="52"/>
        <v>1.0000039653193173</v>
      </c>
      <c r="G136" s="155">
        <f t="shared" si="52"/>
        <v>1.0000039653193173</v>
      </c>
      <c r="H136" s="155">
        <f t="shared" si="52"/>
        <v>1.0000039653193173</v>
      </c>
      <c r="I136" s="155">
        <f t="shared" si="52"/>
        <v>1.0000039653193173</v>
      </c>
      <c r="J136" s="155">
        <f t="shared" si="52"/>
        <v>1.0000039653193173</v>
      </c>
      <c r="K136" s="155">
        <f t="shared" si="52"/>
        <v>1.0000039653193173</v>
      </c>
      <c r="L136" s="155">
        <f t="shared" si="52"/>
        <v>1.0000039653193173</v>
      </c>
      <c r="M136" s="155">
        <f t="shared" si="52"/>
        <v>1.0000039653193173</v>
      </c>
      <c r="N136" s="155">
        <f t="shared" si="52"/>
        <v>1.0000039653193173</v>
      </c>
      <c r="O136" s="155">
        <f t="shared" si="52"/>
        <v>1.0000039653193173</v>
      </c>
      <c r="P136" s="155">
        <f t="shared" si="52"/>
        <v>1.0000039653193173</v>
      </c>
      <c r="Q136" s="155">
        <f t="shared" si="52"/>
        <v>1.0000039653193173</v>
      </c>
      <c r="R136" s="155">
        <f t="shared" si="52"/>
        <v>1.0000039653193173</v>
      </c>
      <c r="S136" s="155">
        <f t="shared" si="52"/>
        <v>1.0000039653193173</v>
      </c>
      <c r="T136" s="155">
        <f t="shared" si="52"/>
        <v>1.0000039653193173</v>
      </c>
      <c r="U136" s="155">
        <f t="shared" si="52"/>
        <v>1.0000039653193173</v>
      </c>
      <c r="V136" s="155">
        <f t="shared" si="52"/>
        <v>1.0000039653193173</v>
      </c>
      <c r="W136" s="155">
        <f t="shared" si="52"/>
        <v>1.0000039653193173</v>
      </c>
      <c r="X136" s="155">
        <f t="shared" si="52"/>
        <v>1</v>
      </c>
      <c r="Y136" s="155">
        <f t="shared" si="52"/>
        <v>1</v>
      </c>
      <c r="Z136" s="155">
        <f t="shared" si="52"/>
        <v>1</v>
      </c>
      <c r="AA136" s="155">
        <f t="shared" si="52"/>
        <v>1</v>
      </c>
      <c r="AB136" s="155">
        <f t="shared" si="52"/>
        <v>1</v>
      </c>
      <c r="AC136" s="155">
        <f t="shared" si="52"/>
        <v>1</v>
      </c>
      <c r="AD136" s="155">
        <f t="shared" si="52"/>
        <v>1.0000039653193173</v>
      </c>
      <c r="AE136" s="155">
        <f t="shared" si="52"/>
        <v>1.0000039653193173</v>
      </c>
      <c r="AF136" s="155">
        <f t="shared" si="52"/>
        <v>1</v>
      </c>
      <c r="AG136" s="155">
        <f t="shared" si="52"/>
        <v>1</v>
      </c>
      <c r="AH136" s="155">
        <f t="shared" si="52"/>
        <v>1</v>
      </c>
      <c r="AI136" s="155">
        <f t="shared" si="52"/>
        <v>1</v>
      </c>
      <c r="AJ136" s="155">
        <f t="shared" si="52"/>
        <v>1</v>
      </c>
      <c r="AK136" s="155">
        <f t="shared" si="52"/>
        <v>1.0000025466649058</v>
      </c>
      <c r="AL136" s="155">
        <f t="shared" si="52"/>
        <v>1.0000025466649058</v>
      </c>
      <c r="AM136" s="155">
        <f t="shared" si="52"/>
        <v>1.0000025466649058</v>
      </c>
      <c r="AN136" s="155">
        <f t="shared" si="52"/>
        <v>1.0000025466649058</v>
      </c>
      <c r="AO136" s="155">
        <f t="shared" si="52"/>
        <v>1.0000318753843511</v>
      </c>
      <c r="AP136" s="155">
        <f t="shared" si="52"/>
        <v>1.0000318753843511</v>
      </c>
      <c r="AQ136" s="155">
        <f t="shared" si="52"/>
        <v>1.0000318753843511</v>
      </c>
      <c r="AR136" s="155" t="str">
        <f t="shared" si="52"/>
        <v>-</v>
      </c>
      <c r="AS136" s="155" t="str">
        <f t="shared" si="52"/>
        <v>-</v>
      </c>
      <c r="AT136" s="155" t="str">
        <f t="shared" si="52"/>
        <v>-</v>
      </c>
      <c r="AU136" s="155" t="str">
        <f t="shared" si="52"/>
        <v>-</v>
      </c>
      <c r="AV136" s="155" t="str">
        <f t="shared" si="52"/>
        <v>-</v>
      </c>
      <c r="AW136" s="155" t="str">
        <f t="shared" si="52"/>
        <v>-</v>
      </c>
      <c r="AX136" s="155" t="str">
        <f t="shared" si="52"/>
        <v>-</v>
      </c>
      <c r="AY136" s="155" t="str">
        <f t="shared" si="52"/>
        <v>-</v>
      </c>
      <c r="AZ136" s="155" t="str">
        <f t="shared" si="52"/>
        <v>-</v>
      </c>
      <c r="BA136" s="155" t="str">
        <f t="shared" si="52"/>
        <v>-</v>
      </c>
      <c r="BB136" s="155" t="str">
        <f t="shared" si="52"/>
        <v>-</v>
      </c>
      <c r="BC136" s="155" t="str">
        <f t="shared" si="52"/>
        <v>-</v>
      </c>
      <c r="BD136" s="155" t="str">
        <f t="shared" si="52"/>
        <v>-</v>
      </c>
      <c r="BE136" s="155" t="str">
        <f t="shared" si="52"/>
        <v>-</v>
      </c>
      <c r="BF136" s="155" t="str">
        <f t="shared" si="52"/>
        <v>-</v>
      </c>
      <c r="BG136" s="155" t="str">
        <f t="shared" si="52"/>
        <v>-</v>
      </c>
      <c r="BH136" s="155" t="str">
        <f t="shared" si="52"/>
        <v>-</v>
      </c>
      <c r="BI136" s="155" t="str">
        <f t="shared" si="52"/>
        <v>-</v>
      </c>
      <c r="BJ136" s="155" t="str">
        <f t="shared" si="52"/>
        <v>-</v>
      </c>
      <c r="BK136" s="155" t="str">
        <f t="shared" si="52"/>
        <v>-</v>
      </c>
      <c r="BL136" s="155" t="str">
        <f t="shared" si="52"/>
        <v>-</v>
      </c>
      <c r="BM136" s="155" t="str">
        <f t="shared" si="52"/>
        <v>-</v>
      </c>
      <c r="BN136" s="155" t="str">
        <f t="shared" si="52"/>
        <v>-</v>
      </c>
      <c r="BO136" s="155" t="str">
        <f t="shared" si="51"/>
        <v>-</v>
      </c>
      <c r="BP136" s="155" t="s">
        <v>73</v>
      </c>
      <c r="BQ136" s="155" t="s">
        <v>73</v>
      </c>
      <c r="BR136" s="155" t="s">
        <v>73</v>
      </c>
      <c r="BS136" s="155" t="s">
        <v>73</v>
      </c>
      <c r="BT136" s="155" t="str">
        <f t="shared" si="36"/>
        <v>-</v>
      </c>
      <c r="BU136" s="156"/>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row>
    <row r="137" spans="1:107" s="157" customFormat="1" ht="15" hidden="1" customHeight="1" outlineLevel="1" x14ac:dyDescent="0.3">
      <c r="A137" t="s">
        <v>73</v>
      </c>
      <c r="B137" s="134" t="s">
        <v>264</v>
      </c>
      <c r="C137" s="155" t="str">
        <f t="shared" si="52"/>
        <v>-</v>
      </c>
      <c r="D137" s="155" t="str">
        <f t="shared" si="52"/>
        <v>-</v>
      </c>
      <c r="E137" s="155" t="str">
        <f t="shared" si="52"/>
        <v>-</v>
      </c>
      <c r="F137" s="155" t="str">
        <f t="shared" si="52"/>
        <v>-</v>
      </c>
      <c r="G137" s="155" t="str">
        <f t="shared" si="52"/>
        <v>-</v>
      </c>
      <c r="H137" s="155" t="str">
        <f t="shared" si="52"/>
        <v>-</v>
      </c>
      <c r="I137" s="155" t="str">
        <f t="shared" si="52"/>
        <v>-</v>
      </c>
      <c r="J137" s="155" t="str">
        <f t="shared" si="52"/>
        <v>-</v>
      </c>
      <c r="K137" s="155" t="str">
        <f t="shared" si="52"/>
        <v>-</v>
      </c>
      <c r="L137" s="155" t="str">
        <f t="shared" si="52"/>
        <v>-</v>
      </c>
      <c r="M137" s="155" t="str">
        <f t="shared" si="52"/>
        <v>-</v>
      </c>
      <c r="N137" s="155" t="str">
        <f t="shared" si="52"/>
        <v>-</v>
      </c>
      <c r="O137" s="155" t="str">
        <f t="shared" si="52"/>
        <v>-</v>
      </c>
      <c r="P137" s="155" t="str">
        <f t="shared" si="52"/>
        <v>-</v>
      </c>
      <c r="Q137" s="155">
        <f t="shared" si="52"/>
        <v>0.24999550335449755</v>
      </c>
      <c r="R137" s="155">
        <f t="shared" si="52"/>
        <v>4.9997707053104648E-2</v>
      </c>
      <c r="S137" s="155">
        <f t="shared" si="52"/>
        <v>2.5002765773447129E-2</v>
      </c>
      <c r="T137" s="155">
        <f t="shared" si="52"/>
        <v>2.5002765773447129E-2</v>
      </c>
      <c r="U137" s="155">
        <f t="shared" si="52"/>
        <v>2.5002765773447129E-2</v>
      </c>
      <c r="V137" s="155">
        <f t="shared" si="52"/>
        <v>2.5002765773447129E-2</v>
      </c>
      <c r="W137" s="155">
        <f t="shared" si="52"/>
        <v>2.5002765773447129E-2</v>
      </c>
      <c r="X137" s="155">
        <f t="shared" si="52"/>
        <v>2.5002765773447129E-2</v>
      </c>
      <c r="Y137" s="155">
        <f t="shared" si="52"/>
        <v>2.5002765773447129E-2</v>
      </c>
      <c r="Z137" s="155">
        <f t="shared" si="52"/>
        <v>2.4999999999999994E-2</v>
      </c>
      <c r="AA137" s="155">
        <f t="shared" si="52"/>
        <v>2.4999999999999994E-2</v>
      </c>
      <c r="AB137" s="155">
        <f t="shared" si="52"/>
        <v>2.4999999999999994E-2</v>
      </c>
      <c r="AC137" s="155">
        <f t="shared" si="52"/>
        <v>2.4999999999999994E-2</v>
      </c>
      <c r="AD137" s="155">
        <f t="shared" si="52"/>
        <v>2.5002765773447129E-2</v>
      </c>
      <c r="AE137" s="155">
        <f t="shared" si="52"/>
        <v>2.5002765773447129E-2</v>
      </c>
      <c r="AF137" s="155">
        <f t="shared" si="52"/>
        <v>2.4999999999999994E-2</v>
      </c>
      <c r="AG137" s="155">
        <f t="shared" si="52"/>
        <v>2.4999999999999994E-2</v>
      </c>
      <c r="AH137" s="155">
        <f t="shared" si="52"/>
        <v>2.4999999999999994E-2</v>
      </c>
      <c r="AI137" s="155">
        <f t="shared" si="52"/>
        <v>2.4999999999999994E-2</v>
      </c>
      <c r="AJ137" s="155">
        <f t="shared" si="52"/>
        <v>2.4999999999999994E-2</v>
      </c>
      <c r="AK137" s="155">
        <f t="shared" si="52"/>
        <v>2.5002765773447129E-2</v>
      </c>
      <c r="AL137" s="155" t="str">
        <f t="shared" si="52"/>
        <v>-</v>
      </c>
      <c r="AM137" s="155" t="str">
        <f t="shared" si="52"/>
        <v>-</v>
      </c>
      <c r="AN137" s="155" t="str">
        <f t="shared" si="52"/>
        <v>-</v>
      </c>
      <c r="AO137" s="155" t="str">
        <f t="shared" si="52"/>
        <v>-</v>
      </c>
      <c r="AP137" s="155" t="str">
        <f t="shared" si="52"/>
        <v>-</v>
      </c>
      <c r="AQ137" s="155" t="str">
        <f t="shared" si="52"/>
        <v>-</v>
      </c>
      <c r="AR137" s="155" t="str">
        <f t="shared" si="52"/>
        <v>-</v>
      </c>
      <c r="AS137" s="155" t="str">
        <f t="shared" si="52"/>
        <v>-</v>
      </c>
      <c r="AT137" s="155" t="str">
        <f t="shared" si="52"/>
        <v>-</v>
      </c>
      <c r="AU137" s="155" t="str">
        <f t="shared" si="52"/>
        <v>-</v>
      </c>
      <c r="AV137" s="155" t="str">
        <f t="shared" si="52"/>
        <v>-</v>
      </c>
      <c r="AW137" s="155" t="str">
        <f t="shared" si="52"/>
        <v>-</v>
      </c>
      <c r="AX137" s="155" t="str">
        <f t="shared" si="52"/>
        <v>-</v>
      </c>
      <c r="AY137" s="155" t="str">
        <f t="shared" si="52"/>
        <v>-</v>
      </c>
      <c r="AZ137" s="155" t="str">
        <f t="shared" si="52"/>
        <v>-</v>
      </c>
      <c r="BA137" s="155" t="str">
        <f t="shared" si="52"/>
        <v>-</v>
      </c>
      <c r="BB137" s="155" t="str">
        <f t="shared" si="52"/>
        <v>-</v>
      </c>
      <c r="BC137" s="155" t="str">
        <f t="shared" si="52"/>
        <v>-</v>
      </c>
      <c r="BD137" s="155" t="str">
        <f t="shared" si="52"/>
        <v>-</v>
      </c>
      <c r="BE137" s="155" t="str">
        <f t="shared" si="52"/>
        <v>-</v>
      </c>
      <c r="BF137" s="155" t="str">
        <f t="shared" si="52"/>
        <v>-</v>
      </c>
      <c r="BG137" s="155" t="str">
        <f t="shared" si="52"/>
        <v>-</v>
      </c>
      <c r="BH137" s="155" t="str">
        <f t="shared" si="52"/>
        <v>-</v>
      </c>
      <c r="BI137" s="155" t="str">
        <f t="shared" si="52"/>
        <v>-</v>
      </c>
      <c r="BJ137" s="155" t="str">
        <f t="shared" si="52"/>
        <v>-</v>
      </c>
      <c r="BK137" s="155" t="str">
        <f t="shared" si="52"/>
        <v>-</v>
      </c>
      <c r="BL137" s="155" t="str">
        <f t="shared" si="52"/>
        <v>-</v>
      </c>
      <c r="BM137" s="155" t="str">
        <f t="shared" si="52"/>
        <v>-</v>
      </c>
      <c r="BN137" s="155" t="str">
        <f t="shared" si="52"/>
        <v>-</v>
      </c>
      <c r="BO137" s="155" t="str">
        <f t="shared" si="51"/>
        <v>-</v>
      </c>
      <c r="BP137" s="155" t="s">
        <v>73</v>
      </c>
      <c r="BQ137" s="155" t="s">
        <v>73</v>
      </c>
      <c r="BR137" s="155" t="s">
        <v>73</v>
      </c>
      <c r="BS137" s="155" t="s">
        <v>73</v>
      </c>
      <c r="BT137" s="155" t="str">
        <f t="shared" si="36"/>
        <v>-</v>
      </c>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row>
    <row r="138" spans="1:107" s="157" customFormat="1" ht="15" hidden="1" customHeight="1" outlineLevel="1" x14ac:dyDescent="0.3">
      <c r="A138" t="s">
        <v>73</v>
      </c>
      <c r="B138" s="134" t="s">
        <v>266</v>
      </c>
      <c r="C138" s="155" t="str">
        <f t="shared" si="52"/>
        <v>-</v>
      </c>
      <c r="D138" s="155" t="str">
        <f t="shared" si="52"/>
        <v>-</v>
      </c>
      <c r="E138" s="155" t="str">
        <f t="shared" si="52"/>
        <v>-</v>
      </c>
      <c r="F138" s="155" t="str">
        <f t="shared" si="52"/>
        <v>-</v>
      </c>
      <c r="G138" s="155" t="str">
        <f t="shared" si="52"/>
        <v>-</v>
      </c>
      <c r="H138" s="155" t="str">
        <f t="shared" si="52"/>
        <v>-</v>
      </c>
      <c r="I138" s="155" t="str">
        <f t="shared" si="52"/>
        <v>-</v>
      </c>
      <c r="J138" s="155" t="str">
        <f t="shared" si="52"/>
        <v>-</v>
      </c>
      <c r="K138" s="155" t="str">
        <f t="shared" si="52"/>
        <v>-</v>
      </c>
      <c r="L138" s="155" t="str">
        <f t="shared" si="52"/>
        <v>-</v>
      </c>
      <c r="M138" s="155" t="str">
        <f t="shared" si="52"/>
        <v>-</v>
      </c>
      <c r="N138" s="155" t="str">
        <f t="shared" si="52"/>
        <v>-</v>
      </c>
      <c r="O138" s="155" t="str">
        <f t="shared" si="52"/>
        <v>-</v>
      </c>
      <c r="P138" s="155" t="str">
        <f t="shared" si="52"/>
        <v>-</v>
      </c>
      <c r="Q138" s="155" t="str">
        <f t="shared" si="52"/>
        <v>-</v>
      </c>
      <c r="R138" s="155" t="str">
        <f t="shared" si="52"/>
        <v>-</v>
      </c>
      <c r="S138" s="155" t="str">
        <f t="shared" si="52"/>
        <v>-</v>
      </c>
      <c r="T138" s="155" t="str">
        <f t="shared" si="52"/>
        <v>-</v>
      </c>
      <c r="U138" s="155" t="str">
        <f t="shared" si="52"/>
        <v>-</v>
      </c>
      <c r="V138" s="155" t="str">
        <f t="shared" si="52"/>
        <v>-</v>
      </c>
      <c r="W138" s="155">
        <f t="shared" si="52"/>
        <v>2.49948667730166E-2</v>
      </c>
      <c r="X138" s="155">
        <f t="shared" si="52"/>
        <v>2.5000000000000001E-2</v>
      </c>
      <c r="Y138" s="155">
        <f t="shared" si="52"/>
        <v>2.5000000000000001E-2</v>
      </c>
      <c r="Z138" s="155">
        <f t="shared" si="52"/>
        <v>2.5000000000000001E-2</v>
      </c>
      <c r="AA138" s="155">
        <f t="shared" si="52"/>
        <v>2.5000000000000001E-2</v>
      </c>
      <c r="AB138" s="155">
        <f t="shared" si="52"/>
        <v>2.5000000000000001E-2</v>
      </c>
      <c r="AC138" s="155">
        <f t="shared" si="52"/>
        <v>2.5000000000000001E-2</v>
      </c>
      <c r="AD138" s="155">
        <f t="shared" si="52"/>
        <v>2.49948667730166E-2</v>
      </c>
      <c r="AE138" s="155">
        <f t="shared" si="52"/>
        <v>2.49948667730166E-2</v>
      </c>
      <c r="AF138" s="155">
        <f t="shared" si="52"/>
        <v>2.5000000000000001E-2</v>
      </c>
      <c r="AG138" s="155">
        <f t="shared" si="52"/>
        <v>2.5000000000000001E-2</v>
      </c>
      <c r="AH138" s="155">
        <f t="shared" si="52"/>
        <v>2.5000000000000001E-2</v>
      </c>
      <c r="AI138" s="155">
        <f t="shared" si="52"/>
        <v>2.5000000000000001E-2</v>
      </c>
      <c r="AJ138" s="155">
        <f t="shared" si="52"/>
        <v>2.5000000000000001E-2</v>
      </c>
      <c r="AK138" s="155">
        <f t="shared" si="52"/>
        <v>2.49948667730166E-2</v>
      </c>
      <c r="AL138" s="155" t="str">
        <f t="shared" si="52"/>
        <v>-</v>
      </c>
      <c r="AM138" s="155" t="str">
        <f t="shared" si="52"/>
        <v>-</v>
      </c>
      <c r="AN138" s="155" t="str">
        <f t="shared" si="52"/>
        <v>-</v>
      </c>
      <c r="AO138" s="155" t="str">
        <f t="shared" si="52"/>
        <v>-</v>
      </c>
      <c r="AP138" s="155" t="str">
        <f t="shared" si="52"/>
        <v>-</v>
      </c>
      <c r="AQ138" s="155" t="str">
        <f t="shared" si="52"/>
        <v>-</v>
      </c>
      <c r="AR138" s="155" t="str">
        <f t="shared" si="52"/>
        <v>-</v>
      </c>
      <c r="AS138" s="155" t="str">
        <f t="shared" si="52"/>
        <v>-</v>
      </c>
      <c r="AT138" s="155" t="str">
        <f t="shared" si="52"/>
        <v>-</v>
      </c>
      <c r="AU138" s="155" t="str">
        <f t="shared" si="52"/>
        <v>-</v>
      </c>
      <c r="AV138" s="155" t="str">
        <f t="shared" si="52"/>
        <v>-</v>
      </c>
      <c r="AW138" s="155" t="str">
        <f t="shared" si="52"/>
        <v>-</v>
      </c>
      <c r="AX138" s="155" t="str">
        <f t="shared" si="52"/>
        <v>-</v>
      </c>
      <c r="AY138" s="155" t="str">
        <f t="shared" si="52"/>
        <v>-</v>
      </c>
      <c r="AZ138" s="155" t="str">
        <f t="shared" si="52"/>
        <v>-</v>
      </c>
      <c r="BA138" s="155" t="str">
        <f t="shared" si="52"/>
        <v>-</v>
      </c>
      <c r="BB138" s="155" t="str">
        <f t="shared" si="52"/>
        <v>-</v>
      </c>
      <c r="BC138" s="155" t="str">
        <f t="shared" si="52"/>
        <v>-</v>
      </c>
      <c r="BD138" s="155" t="str">
        <f t="shared" si="52"/>
        <v>-</v>
      </c>
      <c r="BE138" s="155" t="str">
        <f t="shared" si="52"/>
        <v>-</v>
      </c>
      <c r="BF138" s="155" t="str">
        <f t="shared" si="52"/>
        <v>-</v>
      </c>
      <c r="BG138" s="155" t="str">
        <f t="shared" si="52"/>
        <v>-</v>
      </c>
      <c r="BH138" s="155" t="str">
        <f t="shared" si="52"/>
        <v>-</v>
      </c>
      <c r="BI138" s="155" t="str">
        <f t="shared" si="52"/>
        <v>-</v>
      </c>
      <c r="BJ138" s="155" t="str">
        <f t="shared" si="52"/>
        <v>-</v>
      </c>
      <c r="BK138" s="155" t="str">
        <f t="shared" si="52"/>
        <v>-</v>
      </c>
      <c r="BL138" s="155" t="str">
        <f t="shared" si="52"/>
        <v>-</v>
      </c>
      <c r="BM138" s="155" t="str">
        <f t="shared" si="52"/>
        <v>-</v>
      </c>
      <c r="BN138" s="155" t="str">
        <f t="shared" ref="BN138:BO141" si="53">IFERROR(BN186/BN90,"-")</f>
        <v>-</v>
      </c>
      <c r="BO138" s="155" t="str">
        <f t="shared" si="53"/>
        <v>-</v>
      </c>
      <c r="BP138" s="155" t="s">
        <v>73</v>
      </c>
      <c r="BQ138" s="155" t="s">
        <v>73</v>
      </c>
      <c r="BR138" s="155" t="s">
        <v>73</v>
      </c>
      <c r="BS138" s="155" t="s">
        <v>73</v>
      </c>
      <c r="BT138" s="155" t="str">
        <f t="shared" si="36"/>
        <v>-</v>
      </c>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row>
    <row r="139" spans="1:107" s="157" customFormat="1" ht="15" hidden="1" customHeight="1" outlineLevel="1" x14ac:dyDescent="0.3">
      <c r="A139" t="s">
        <v>73</v>
      </c>
      <c r="B139" s="134" t="s">
        <v>267</v>
      </c>
      <c r="C139" s="155" t="str">
        <f t="shared" ref="C139:BN142" si="54">IFERROR(C187/C91,"-")</f>
        <v>-</v>
      </c>
      <c r="D139" s="155" t="str">
        <f t="shared" si="54"/>
        <v>-</v>
      </c>
      <c r="E139" s="155" t="str">
        <f t="shared" si="54"/>
        <v>-</v>
      </c>
      <c r="F139" s="155" t="str">
        <f t="shared" si="54"/>
        <v>-</v>
      </c>
      <c r="G139" s="155" t="str">
        <f t="shared" si="54"/>
        <v>-</v>
      </c>
      <c r="H139" s="155" t="str">
        <f t="shared" si="54"/>
        <v>-</v>
      </c>
      <c r="I139" s="155" t="str">
        <f t="shared" si="54"/>
        <v>-</v>
      </c>
      <c r="J139" s="155" t="str">
        <f t="shared" si="54"/>
        <v>-</v>
      </c>
      <c r="K139" s="155" t="str">
        <f t="shared" si="54"/>
        <v>-</v>
      </c>
      <c r="L139" s="155" t="str">
        <f t="shared" si="54"/>
        <v>-</v>
      </c>
      <c r="M139" s="155" t="str">
        <f t="shared" si="54"/>
        <v>-</v>
      </c>
      <c r="N139" s="155" t="str">
        <f t="shared" si="54"/>
        <v>-</v>
      </c>
      <c r="O139" s="155" t="str">
        <f t="shared" si="54"/>
        <v>-</v>
      </c>
      <c r="P139" s="155" t="str">
        <f t="shared" si="54"/>
        <v>-</v>
      </c>
      <c r="Q139" s="155" t="str">
        <f t="shared" si="54"/>
        <v>-</v>
      </c>
      <c r="R139" s="155" t="str">
        <f t="shared" si="54"/>
        <v>-</v>
      </c>
      <c r="S139" s="155" t="str">
        <f t="shared" si="54"/>
        <v>-</v>
      </c>
      <c r="T139" s="155" t="str">
        <f t="shared" si="54"/>
        <v>-</v>
      </c>
      <c r="U139" s="155" t="str">
        <f t="shared" si="54"/>
        <v>-</v>
      </c>
      <c r="V139" s="155" t="str">
        <f t="shared" si="54"/>
        <v>-</v>
      </c>
      <c r="W139" s="155" t="str">
        <f t="shared" si="54"/>
        <v>-</v>
      </c>
      <c r="X139" s="155">
        <f t="shared" si="54"/>
        <v>0.24977407021229064</v>
      </c>
      <c r="Y139" s="155">
        <f t="shared" si="54"/>
        <v>0.24977407021229064</v>
      </c>
      <c r="Z139" s="155">
        <f t="shared" si="54"/>
        <v>0.24977407021229064</v>
      </c>
      <c r="AA139" s="155">
        <f t="shared" si="54"/>
        <v>0.24977407021229064</v>
      </c>
      <c r="AB139" s="155">
        <f t="shared" si="54"/>
        <v>0.24977407021229064</v>
      </c>
      <c r="AC139" s="155">
        <f t="shared" si="54"/>
        <v>0.24977407021229064</v>
      </c>
      <c r="AD139" s="155">
        <f t="shared" si="54"/>
        <v>0.24976774231009305</v>
      </c>
      <c r="AE139" s="155">
        <f t="shared" si="54"/>
        <v>0.24976774231009305</v>
      </c>
      <c r="AF139" s="155">
        <f t="shared" si="54"/>
        <v>0.25</v>
      </c>
      <c r="AG139" s="155">
        <f t="shared" si="54"/>
        <v>0.25</v>
      </c>
      <c r="AH139" s="155">
        <f t="shared" si="54"/>
        <v>0.25</v>
      </c>
      <c r="AI139" s="155">
        <f t="shared" si="54"/>
        <v>0.25</v>
      </c>
      <c r="AJ139" s="155">
        <f t="shared" si="54"/>
        <v>0.25</v>
      </c>
      <c r="AK139" s="155">
        <f t="shared" si="54"/>
        <v>0.25000967740374613</v>
      </c>
      <c r="AL139" s="155" t="str">
        <f t="shared" si="54"/>
        <v>-</v>
      </c>
      <c r="AM139" s="155" t="str">
        <f t="shared" si="54"/>
        <v>-</v>
      </c>
      <c r="AN139" s="155" t="str">
        <f t="shared" si="54"/>
        <v>-</v>
      </c>
      <c r="AO139" s="155" t="str">
        <f t="shared" si="54"/>
        <v>-</v>
      </c>
      <c r="AP139" s="155" t="str">
        <f t="shared" si="54"/>
        <v>-</v>
      </c>
      <c r="AQ139" s="155" t="str">
        <f t="shared" si="54"/>
        <v>-</v>
      </c>
      <c r="AR139" s="155" t="str">
        <f t="shared" si="54"/>
        <v>-</v>
      </c>
      <c r="AS139" s="155" t="str">
        <f t="shared" si="54"/>
        <v>-</v>
      </c>
      <c r="AT139" s="155" t="str">
        <f t="shared" si="54"/>
        <v>-</v>
      </c>
      <c r="AU139" s="155" t="str">
        <f t="shared" si="54"/>
        <v>-</v>
      </c>
      <c r="AV139" s="155" t="str">
        <f t="shared" si="54"/>
        <v>-</v>
      </c>
      <c r="AW139" s="155" t="str">
        <f t="shared" si="54"/>
        <v>-</v>
      </c>
      <c r="AX139" s="155" t="str">
        <f t="shared" si="54"/>
        <v>-</v>
      </c>
      <c r="AY139" s="155" t="str">
        <f t="shared" si="54"/>
        <v>-</v>
      </c>
      <c r="AZ139" s="155" t="str">
        <f t="shared" si="54"/>
        <v>-</v>
      </c>
      <c r="BA139" s="155" t="str">
        <f t="shared" si="54"/>
        <v>-</v>
      </c>
      <c r="BB139" s="155" t="str">
        <f t="shared" si="54"/>
        <v>-</v>
      </c>
      <c r="BC139" s="155" t="str">
        <f t="shared" si="54"/>
        <v>-</v>
      </c>
      <c r="BD139" s="155" t="str">
        <f t="shared" si="54"/>
        <v>-</v>
      </c>
      <c r="BE139" s="155" t="str">
        <f t="shared" si="54"/>
        <v>-</v>
      </c>
      <c r="BF139" s="155" t="str">
        <f t="shared" si="54"/>
        <v>-</v>
      </c>
      <c r="BG139" s="155" t="str">
        <f t="shared" si="54"/>
        <v>-</v>
      </c>
      <c r="BH139" s="155" t="str">
        <f t="shared" si="54"/>
        <v>-</v>
      </c>
      <c r="BI139" s="155" t="str">
        <f t="shared" si="54"/>
        <v>-</v>
      </c>
      <c r="BJ139" s="155" t="str">
        <f t="shared" si="54"/>
        <v>-</v>
      </c>
      <c r="BK139" s="155" t="str">
        <f t="shared" si="54"/>
        <v>-</v>
      </c>
      <c r="BL139" s="155" t="str">
        <f t="shared" si="54"/>
        <v>-</v>
      </c>
      <c r="BM139" s="155" t="str">
        <f t="shared" si="54"/>
        <v>-</v>
      </c>
      <c r="BN139" s="155" t="str">
        <f t="shared" si="54"/>
        <v>-</v>
      </c>
      <c r="BO139" s="155" t="str">
        <f t="shared" si="53"/>
        <v>-</v>
      </c>
      <c r="BP139" s="155" t="s">
        <v>73</v>
      </c>
      <c r="BQ139" s="155" t="s">
        <v>73</v>
      </c>
      <c r="BR139" s="155" t="s">
        <v>73</v>
      </c>
      <c r="BS139" s="155" t="s">
        <v>73</v>
      </c>
      <c r="BT139" s="155" t="str">
        <f t="shared" si="36"/>
        <v>-</v>
      </c>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row>
    <row r="140" spans="1:107" s="157" customFormat="1" ht="15" hidden="1" customHeight="1" outlineLevel="1" x14ac:dyDescent="0.3">
      <c r="A140" t="s">
        <v>73</v>
      </c>
      <c r="B140" s="134" t="s">
        <v>268</v>
      </c>
      <c r="C140" s="155" t="str">
        <f t="shared" si="54"/>
        <v>-</v>
      </c>
      <c r="D140" s="155" t="str">
        <f t="shared" si="54"/>
        <v>-</v>
      </c>
      <c r="E140" s="155" t="str">
        <f t="shared" si="54"/>
        <v>-</v>
      </c>
      <c r="F140" s="155" t="str">
        <f t="shared" si="54"/>
        <v>-</v>
      </c>
      <c r="G140" s="155" t="str">
        <f t="shared" si="54"/>
        <v>-</v>
      </c>
      <c r="H140" s="155" t="str">
        <f t="shared" si="54"/>
        <v>-</v>
      </c>
      <c r="I140" s="155" t="str">
        <f t="shared" si="54"/>
        <v>-</v>
      </c>
      <c r="J140" s="155" t="str">
        <f t="shared" si="54"/>
        <v>-</v>
      </c>
      <c r="K140" s="155" t="str">
        <f t="shared" si="54"/>
        <v>-</v>
      </c>
      <c r="L140" s="155" t="str">
        <f t="shared" si="54"/>
        <v>-</v>
      </c>
      <c r="M140" s="155" t="str">
        <f t="shared" si="54"/>
        <v>-</v>
      </c>
      <c r="N140" s="155" t="str">
        <f t="shared" si="54"/>
        <v>-</v>
      </c>
      <c r="O140" s="155" t="str">
        <f t="shared" si="54"/>
        <v>-</v>
      </c>
      <c r="P140" s="155" t="str">
        <f t="shared" si="54"/>
        <v>-</v>
      </c>
      <c r="Q140" s="155" t="str">
        <f t="shared" si="54"/>
        <v>-</v>
      </c>
      <c r="R140" s="155" t="str">
        <f t="shared" si="54"/>
        <v>-</v>
      </c>
      <c r="S140" s="155" t="str">
        <f t="shared" si="54"/>
        <v>-</v>
      </c>
      <c r="T140" s="155" t="str">
        <f t="shared" si="54"/>
        <v>-</v>
      </c>
      <c r="U140" s="155" t="str">
        <f t="shared" si="54"/>
        <v>-</v>
      </c>
      <c r="V140" s="155" t="str">
        <f t="shared" si="54"/>
        <v>-</v>
      </c>
      <c r="W140" s="155" t="str">
        <f t="shared" si="54"/>
        <v>-</v>
      </c>
      <c r="X140" s="155" t="str">
        <f t="shared" si="54"/>
        <v>-</v>
      </c>
      <c r="Y140" s="155" t="str">
        <f t="shared" si="54"/>
        <v>-</v>
      </c>
      <c r="Z140" s="155">
        <f t="shared" si="54"/>
        <v>0.25</v>
      </c>
      <c r="AA140" s="155">
        <f t="shared" si="54"/>
        <v>0.25</v>
      </c>
      <c r="AB140" s="155">
        <f t="shared" si="54"/>
        <v>0.25</v>
      </c>
      <c r="AC140" s="155">
        <f t="shared" si="54"/>
        <v>0.24999911715778345</v>
      </c>
      <c r="AD140" s="155">
        <f t="shared" si="54"/>
        <v>0.24999911715778345</v>
      </c>
      <c r="AE140" s="155">
        <f t="shared" si="54"/>
        <v>0.24999911715778345</v>
      </c>
      <c r="AF140" s="155">
        <f t="shared" si="54"/>
        <v>0.24999911715778345</v>
      </c>
      <c r="AG140" s="155">
        <f t="shared" si="54"/>
        <v>0.24999911715778345</v>
      </c>
      <c r="AH140" s="155">
        <f t="shared" si="54"/>
        <v>0.24999911715778345</v>
      </c>
      <c r="AI140" s="155">
        <f t="shared" si="54"/>
        <v>0.24999911715778345</v>
      </c>
      <c r="AJ140" s="155">
        <f t="shared" si="54"/>
        <v>0.24999911715778345</v>
      </c>
      <c r="AK140" s="155">
        <f t="shared" si="54"/>
        <v>0.24999911715778345</v>
      </c>
      <c r="AL140" s="155">
        <f t="shared" si="54"/>
        <v>0.24999911715778345</v>
      </c>
      <c r="AM140" s="155">
        <f t="shared" si="54"/>
        <v>0.24999911715778345</v>
      </c>
      <c r="AN140" s="155">
        <f t="shared" si="54"/>
        <v>0.24999911715778345</v>
      </c>
      <c r="AO140" s="155" t="str">
        <f t="shared" si="54"/>
        <v>-</v>
      </c>
      <c r="AP140" s="155" t="str">
        <f t="shared" si="54"/>
        <v>-</v>
      </c>
      <c r="AQ140" s="155" t="str">
        <f t="shared" si="54"/>
        <v>-</v>
      </c>
      <c r="AR140" s="155" t="str">
        <f t="shared" si="54"/>
        <v>-</v>
      </c>
      <c r="AS140" s="155" t="str">
        <f t="shared" si="54"/>
        <v>-</v>
      </c>
      <c r="AT140" s="155" t="str">
        <f t="shared" si="54"/>
        <v>-</v>
      </c>
      <c r="AU140" s="155" t="str">
        <f t="shared" si="54"/>
        <v>-</v>
      </c>
      <c r="AV140" s="155" t="str">
        <f t="shared" si="54"/>
        <v>-</v>
      </c>
      <c r="AW140" s="155" t="str">
        <f t="shared" si="54"/>
        <v>-</v>
      </c>
      <c r="AX140" s="155" t="str">
        <f t="shared" si="54"/>
        <v>-</v>
      </c>
      <c r="AY140" s="155" t="str">
        <f t="shared" si="54"/>
        <v>-</v>
      </c>
      <c r="AZ140" s="155" t="str">
        <f t="shared" si="54"/>
        <v>-</v>
      </c>
      <c r="BA140" s="155" t="str">
        <f t="shared" si="54"/>
        <v>-</v>
      </c>
      <c r="BB140" s="155" t="str">
        <f t="shared" si="54"/>
        <v>-</v>
      </c>
      <c r="BC140" s="155" t="str">
        <f t="shared" si="54"/>
        <v>-</v>
      </c>
      <c r="BD140" s="155" t="str">
        <f t="shared" si="54"/>
        <v>-</v>
      </c>
      <c r="BE140" s="155" t="str">
        <f t="shared" si="54"/>
        <v>-</v>
      </c>
      <c r="BF140" s="155" t="str">
        <f t="shared" si="54"/>
        <v>-</v>
      </c>
      <c r="BG140" s="155" t="str">
        <f t="shared" si="54"/>
        <v>-</v>
      </c>
      <c r="BH140" s="155" t="str">
        <f t="shared" si="54"/>
        <v>-</v>
      </c>
      <c r="BI140" s="155" t="str">
        <f t="shared" si="54"/>
        <v>-</v>
      </c>
      <c r="BJ140" s="155" t="str">
        <f t="shared" si="54"/>
        <v>-</v>
      </c>
      <c r="BK140" s="155" t="str">
        <f t="shared" si="54"/>
        <v>-</v>
      </c>
      <c r="BL140" s="155" t="str">
        <f t="shared" si="54"/>
        <v>-</v>
      </c>
      <c r="BM140" s="155" t="str">
        <f t="shared" si="54"/>
        <v>-</v>
      </c>
      <c r="BN140" s="155" t="str">
        <f t="shared" si="54"/>
        <v>-</v>
      </c>
      <c r="BO140" s="155" t="str">
        <f t="shared" si="53"/>
        <v>-</v>
      </c>
      <c r="BP140" s="155" t="s">
        <v>73</v>
      </c>
      <c r="BQ140" s="155" t="s">
        <v>73</v>
      </c>
      <c r="BR140" s="155" t="s">
        <v>73</v>
      </c>
      <c r="BS140" s="155" t="s">
        <v>73</v>
      </c>
      <c r="BT140" s="155" t="str">
        <f t="shared" si="36"/>
        <v>-</v>
      </c>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row>
    <row r="141" spans="1:107" s="157" customFormat="1" ht="15" hidden="1" customHeight="1" outlineLevel="1" x14ac:dyDescent="0.3">
      <c r="A141" t="s">
        <v>73</v>
      </c>
      <c r="B141" s="134" t="s">
        <v>265</v>
      </c>
      <c r="C141" s="155" t="str">
        <f t="shared" si="54"/>
        <v>-</v>
      </c>
      <c r="D141" s="155" t="str">
        <f t="shared" si="54"/>
        <v>-</v>
      </c>
      <c r="E141" s="155" t="str">
        <f t="shared" si="54"/>
        <v>-</v>
      </c>
      <c r="F141" s="155" t="str">
        <f t="shared" si="54"/>
        <v>-</v>
      </c>
      <c r="G141" s="155" t="str">
        <f t="shared" si="54"/>
        <v>-</v>
      </c>
      <c r="H141" s="155" t="str">
        <f t="shared" si="54"/>
        <v>-</v>
      </c>
      <c r="I141" s="155" t="str">
        <f t="shared" si="54"/>
        <v>-</v>
      </c>
      <c r="J141" s="155" t="str">
        <f t="shared" si="54"/>
        <v>-</v>
      </c>
      <c r="K141" s="155" t="str">
        <f t="shared" si="54"/>
        <v>-</v>
      </c>
      <c r="L141" s="155" t="str">
        <f t="shared" si="54"/>
        <v>-</v>
      </c>
      <c r="M141" s="155" t="str">
        <f t="shared" si="54"/>
        <v>-</v>
      </c>
      <c r="N141" s="155" t="str">
        <f t="shared" si="54"/>
        <v>-</v>
      </c>
      <c r="O141" s="155" t="str">
        <f t="shared" si="54"/>
        <v>-</v>
      </c>
      <c r="P141" s="155" t="str">
        <f t="shared" si="54"/>
        <v>-</v>
      </c>
      <c r="Q141" s="155" t="str">
        <f t="shared" si="54"/>
        <v>-</v>
      </c>
      <c r="R141" s="155" t="str">
        <f t="shared" si="54"/>
        <v>-</v>
      </c>
      <c r="S141" s="155" t="str">
        <f t="shared" si="54"/>
        <v>-</v>
      </c>
      <c r="T141" s="155" t="str">
        <f t="shared" si="54"/>
        <v>-</v>
      </c>
      <c r="U141" s="155" t="str">
        <f t="shared" si="54"/>
        <v>-</v>
      </c>
      <c r="V141" s="155" t="str">
        <f t="shared" si="54"/>
        <v>-</v>
      </c>
      <c r="W141" s="155" t="str">
        <f t="shared" si="54"/>
        <v>-</v>
      </c>
      <c r="X141" s="155">
        <f t="shared" si="54"/>
        <v>2.5003380668402766E-2</v>
      </c>
      <c r="Y141" s="155">
        <f t="shared" si="54"/>
        <v>2.5003380668402766E-2</v>
      </c>
      <c r="Z141" s="155">
        <f t="shared" si="54"/>
        <v>2.5003380668402766E-2</v>
      </c>
      <c r="AA141" s="155">
        <f t="shared" si="54"/>
        <v>2.5000000000000001E-2</v>
      </c>
      <c r="AB141" s="155">
        <f t="shared" si="54"/>
        <v>2.5000000000000001E-2</v>
      </c>
      <c r="AC141" s="155">
        <f t="shared" si="54"/>
        <v>2.5000000000000001E-2</v>
      </c>
      <c r="AD141" s="155">
        <f t="shared" si="54"/>
        <v>2.5003380668402766E-2</v>
      </c>
      <c r="AE141" s="155">
        <f t="shared" si="54"/>
        <v>2.5003380668402766E-2</v>
      </c>
      <c r="AF141" s="155">
        <f t="shared" si="54"/>
        <v>2.5000000000000001E-2</v>
      </c>
      <c r="AG141" s="155">
        <f t="shared" si="54"/>
        <v>2.5000000000000001E-2</v>
      </c>
      <c r="AH141" s="155">
        <f t="shared" si="54"/>
        <v>2.5000000000000001E-2</v>
      </c>
      <c r="AI141" s="155">
        <f t="shared" si="54"/>
        <v>2.5000000000000001E-2</v>
      </c>
      <c r="AJ141" s="155">
        <f t="shared" si="54"/>
        <v>2.5000000000000001E-2</v>
      </c>
      <c r="AK141" s="155">
        <f t="shared" si="54"/>
        <v>2.5003380668402766E-2</v>
      </c>
      <c r="AL141" s="155" t="str">
        <f t="shared" si="54"/>
        <v>-</v>
      </c>
      <c r="AM141" s="155" t="str">
        <f t="shared" si="54"/>
        <v>-</v>
      </c>
      <c r="AN141" s="155" t="str">
        <f t="shared" si="54"/>
        <v>-</v>
      </c>
      <c r="AO141" s="155" t="str">
        <f t="shared" si="54"/>
        <v>-</v>
      </c>
      <c r="AP141" s="155" t="str">
        <f t="shared" si="54"/>
        <v>-</v>
      </c>
      <c r="AQ141" s="155" t="str">
        <f t="shared" si="54"/>
        <v>-</v>
      </c>
      <c r="AR141" s="155" t="str">
        <f t="shared" si="54"/>
        <v>-</v>
      </c>
      <c r="AS141" s="155" t="str">
        <f t="shared" si="54"/>
        <v>-</v>
      </c>
      <c r="AT141" s="155" t="str">
        <f t="shared" si="54"/>
        <v>-</v>
      </c>
      <c r="AU141" s="155" t="str">
        <f t="shared" si="54"/>
        <v>-</v>
      </c>
      <c r="AV141" s="155" t="str">
        <f t="shared" si="54"/>
        <v>-</v>
      </c>
      <c r="AW141" s="155" t="str">
        <f t="shared" si="54"/>
        <v>-</v>
      </c>
      <c r="AX141" s="155" t="str">
        <f t="shared" si="54"/>
        <v>-</v>
      </c>
      <c r="AY141" s="155" t="str">
        <f t="shared" si="54"/>
        <v>-</v>
      </c>
      <c r="AZ141" s="155" t="str">
        <f t="shared" si="54"/>
        <v>-</v>
      </c>
      <c r="BA141" s="155" t="str">
        <f t="shared" si="54"/>
        <v>-</v>
      </c>
      <c r="BB141" s="155" t="str">
        <f t="shared" si="54"/>
        <v>-</v>
      </c>
      <c r="BC141" s="155" t="str">
        <f t="shared" si="54"/>
        <v>-</v>
      </c>
      <c r="BD141" s="155" t="str">
        <f t="shared" si="54"/>
        <v>-</v>
      </c>
      <c r="BE141" s="155" t="str">
        <f t="shared" si="54"/>
        <v>-</v>
      </c>
      <c r="BF141" s="155" t="str">
        <f t="shared" si="54"/>
        <v>-</v>
      </c>
      <c r="BG141" s="155" t="str">
        <f t="shared" si="54"/>
        <v>-</v>
      </c>
      <c r="BH141" s="155" t="str">
        <f t="shared" si="54"/>
        <v>-</v>
      </c>
      <c r="BI141" s="155" t="str">
        <f t="shared" si="54"/>
        <v>-</v>
      </c>
      <c r="BJ141" s="155" t="str">
        <f t="shared" si="54"/>
        <v>-</v>
      </c>
      <c r="BK141" s="155" t="str">
        <f t="shared" si="54"/>
        <v>-</v>
      </c>
      <c r="BL141" s="155" t="str">
        <f t="shared" si="54"/>
        <v>-</v>
      </c>
      <c r="BM141" s="155" t="str">
        <f t="shared" si="54"/>
        <v>-</v>
      </c>
      <c r="BN141" s="155" t="str">
        <f t="shared" si="54"/>
        <v>-</v>
      </c>
      <c r="BO141" s="155" t="str">
        <f t="shared" si="53"/>
        <v>-</v>
      </c>
      <c r="BP141" s="155" t="s">
        <v>73</v>
      </c>
      <c r="BQ141" s="155" t="s">
        <v>73</v>
      </c>
      <c r="BR141" s="155" t="s">
        <v>73</v>
      </c>
      <c r="BS141" s="155" t="s">
        <v>73</v>
      </c>
      <c r="BT141" s="155" t="str">
        <f t="shared" si="36"/>
        <v>-</v>
      </c>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row>
    <row r="142" spans="1:107" s="157" customFormat="1" ht="15" hidden="1" customHeight="1" outlineLevel="1" x14ac:dyDescent="0.3">
      <c r="A142" t="s">
        <v>73</v>
      </c>
      <c r="B142" s="134" t="s">
        <v>269</v>
      </c>
      <c r="C142" s="155" t="str">
        <f t="shared" si="54"/>
        <v>-</v>
      </c>
      <c r="D142" s="155" t="str">
        <f t="shared" si="54"/>
        <v>-</v>
      </c>
      <c r="E142" s="155" t="str">
        <f t="shared" si="54"/>
        <v>-</v>
      </c>
      <c r="F142" s="155" t="str">
        <f t="shared" si="54"/>
        <v>-</v>
      </c>
      <c r="G142" s="155" t="str">
        <f t="shared" si="54"/>
        <v>-</v>
      </c>
      <c r="H142" s="155" t="str">
        <f t="shared" si="54"/>
        <v>-</v>
      </c>
      <c r="I142" s="155" t="str">
        <f t="shared" si="54"/>
        <v>-</v>
      </c>
      <c r="J142" s="155" t="str">
        <f t="shared" si="54"/>
        <v>-</v>
      </c>
      <c r="K142" s="155" t="str">
        <f t="shared" si="54"/>
        <v>-</v>
      </c>
      <c r="L142" s="155" t="str">
        <f t="shared" si="54"/>
        <v>-</v>
      </c>
      <c r="M142" s="155" t="str">
        <f t="shared" si="54"/>
        <v>-</v>
      </c>
      <c r="N142" s="155" t="str">
        <f t="shared" si="54"/>
        <v>-</v>
      </c>
      <c r="O142" s="155" t="str">
        <f t="shared" si="54"/>
        <v>-</v>
      </c>
      <c r="P142" s="155" t="str">
        <f t="shared" si="54"/>
        <v>-</v>
      </c>
      <c r="Q142" s="155" t="str">
        <f t="shared" si="54"/>
        <v>-</v>
      </c>
      <c r="R142" s="155" t="str">
        <f t="shared" si="54"/>
        <v>-</v>
      </c>
      <c r="S142" s="155" t="str">
        <f t="shared" si="54"/>
        <v>-</v>
      </c>
      <c r="T142" s="155" t="str">
        <f t="shared" si="54"/>
        <v>-</v>
      </c>
      <c r="U142" s="155" t="str">
        <f t="shared" si="54"/>
        <v>-</v>
      </c>
      <c r="V142" s="155" t="str">
        <f t="shared" si="54"/>
        <v>-</v>
      </c>
      <c r="W142" s="155" t="str">
        <f t="shared" si="54"/>
        <v>-</v>
      </c>
      <c r="X142" s="155" t="str">
        <f t="shared" si="54"/>
        <v>-</v>
      </c>
      <c r="Y142" s="155" t="str">
        <f t="shared" si="54"/>
        <v>-</v>
      </c>
      <c r="Z142" s="155" t="str">
        <f t="shared" si="54"/>
        <v>-</v>
      </c>
      <c r="AA142" s="155" t="str">
        <f t="shared" si="54"/>
        <v>-</v>
      </c>
      <c r="AB142" s="155">
        <f t="shared" si="54"/>
        <v>0.5</v>
      </c>
      <c r="AC142" s="155">
        <f t="shared" si="54"/>
        <v>0.5</v>
      </c>
      <c r="AD142" s="155">
        <f t="shared" si="54"/>
        <v>0.50000596841149347</v>
      </c>
      <c r="AE142" s="155">
        <f t="shared" si="54"/>
        <v>0.50000596841149347</v>
      </c>
      <c r="AF142" s="155">
        <f t="shared" si="54"/>
        <v>0.5</v>
      </c>
      <c r="AG142" s="155">
        <f t="shared" si="54"/>
        <v>0.5</v>
      </c>
      <c r="AH142" s="155">
        <f t="shared" si="54"/>
        <v>0.5</v>
      </c>
      <c r="AI142" s="155">
        <f t="shared" si="54"/>
        <v>0.5</v>
      </c>
      <c r="AJ142" s="155">
        <f t="shared" si="54"/>
        <v>0.5</v>
      </c>
      <c r="AK142" s="155">
        <f t="shared" si="54"/>
        <v>0.50000596841149347</v>
      </c>
      <c r="AL142" s="155">
        <f t="shared" si="54"/>
        <v>0.50000596841149347</v>
      </c>
      <c r="AM142" s="155">
        <f t="shared" si="54"/>
        <v>0.50000596841149347</v>
      </c>
      <c r="AN142" s="155">
        <f t="shared" si="54"/>
        <v>0.50000596841149347</v>
      </c>
      <c r="AO142" s="155" t="str">
        <f t="shared" si="54"/>
        <v>-</v>
      </c>
      <c r="AP142" s="155" t="str">
        <f t="shared" si="54"/>
        <v>-</v>
      </c>
      <c r="AQ142" s="155" t="str">
        <f t="shared" si="54"/>
        <v>-</v>
      </c>
      <c r="AR142" s="155" t="str">
        <f t="shared" si="54"/>
        <v>-</v>
      </c>
      <c r="AS142" s="155" t="str">
        <f t="shared" si="54"/>
        <v>-</v>
      </c>
      <c r="AT142" s="155" t="str">
        <f t="shared" si="54"/>
        <v>-</v>
      </c>
      <c r="AU142" s="155" t="str">
        <f t="shared" si="54"/>
        <v>-</v>
      </c>
      <c r="AV142" s="155" t="str">
        <f t="shared" si="54"/>
        <v>-</v>
      </c>
      <c r="AW142" s="155" t="str">
        <f t="shared" si="54"/>
        <v>-</v>
      </c>
      <c r="AX142" s="155" t="str">
        <f t="shared" si="54"/>
        <v>-</v>
      </c>
      <c r="AY142" s="155" t="str">
        <f t="shared" si="54"/>
        <v>-</v>
      </c>
      <c r="AZ142" s="155" t="str">
        <f t="shared" si="54"/>
        <v>-</v>
      </c>
      <c r="BA142" s="155" t="str">
        <f t="shared" si="54"/>
        <v>-</v>
      </c>
      <c r="BB142" s="155" t="str">
        <f t="shared" si="54"/>
        <v>-</v>
      </c>
      <c r="BC142" s="155" t="str">
        <f t="shared" si="54"/>
        <v>-</v>
      </c>
      <c r="BD142" s="155" t="str">
        <f t="shared" si="54"/>
        <v>-</v>
      </c>
      <c r="BE142" s="155" t="str">
        <f t="shared" si="54"/>
        <v>-</v>
      </c>
      <c r="BF142" s="155" t="str">
        <f t="shared" si="54"/>
        <v>-</v>
      </c>
      <c r="BG142" s="155" t="str">
        <f t="shared" si="54"/>
        <v>-</v>
      </c>
      <c r="BH142" s="155" t="str">
        <f t="shared" si="54"/>
        <v>-</v>
      </c>
      <c r="BI142" s="155" t="str">
        <f t="shared" si="54"/>
        <v>-</v>
      </c>
      <c r="BJ142" s="155" t="str">
        <f t="shared" si="54"/>
        <v>-</v>
      </c>
      <c r="BK142" s="155" t="str">
        <f t="shared" si="54"/>
        <v>-</v>
      </c>
      <c r="BL142" s="155" t="str">
        <f t="shared" si="54"/>
        <v>-</v>
      </c>
      <c r="BM142" s="155" t="str">
        <f t="shared" si="54"/>
        <v>-</v>
      </c>
      <c r="BN142" s="155" t="str">
        <f t="shared" ref="BN142:BO145" si="55">IFERROR(BN190/BN94,"-")</f>
        <v>-</v>
      </c>
      <c r="BO142" s="155" t="str">
        <f t="shared" si="55"/>
        <v>-</v>
      </c>
      <c r="BP142" s="155" t="s">
        <v>73</v>
      </c>
      <c r="BQ142" s="155" t="s">
        <v>73</v>
      </c>
      <c r="BR142" s="155" t="s">
        <v>73</v>
      </c>
      <c r="BS142" s="155" t="s">
        <v>73</v>
      </c>
      <c r="BT142" s="155" t="str">
        <f t="shared" si="36"/>
        <v>-</v>
      </c>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row>
    <row r="143" spans="1:107" s="157" customFormat="1" ht="15" hidden="1" customHeight="1" outlineLevel="1" x14ac:dyDescent="0.3">
      <c r="A143" t="s">
        <v>73</v>
      </c>
      <c r="B143" s="134" t="s">
        <v>270</v>
      </c>
      <c r="C143" s="155" t="str">
        <f t="shared" ref="C143:BN146" si="56">IFERROR(C191/C95,"-")</f>
        <v>-</v>
      </c>
      <c r="D143" s="155" t="str">
        <f t="shared" si="56"/>
        <v>-</v>
      </c>
      <c r="E143" s="155" t="str">
        <f t="shared" si="56"/>
        <v>-</v>
      </c>
      <c r="F143" s="155" t="str">
        <f t="shared" si="56"/>
        <v>-</v>
      </c>
      <c r="G143" s="155" t="str">
        <f t="shared" si="56"/>
        <v>-</v>
      </c>
      <c r="H143" s="155" t="str">
        <f t="shared" si="56"/>
        <v>-</v>
      </c>
      <c r="I143" s="155" t="str">
        <f t="shared" si="56"/>
        <v>-</v>
      </c>
      <c r="J143" s="155" t="str">
        <f t="shared" si="56"/>
        <v>-</v>
      </c>
      <c r="K143" s="155" t="str">
        <f t="shared" si="56"/>
        <v>-</v>
      </c>
      <c r="L143" s="155" t="str">
        <f t="shared" si="56"/>
        <v>-</v>
      </c>
      <c r="M143" s="155" t="str">
        <f t="shared" si="56"/>
        <v>-</v>
      </c>
      <c r="N143" s="155" t="str">
        <f t="shared" si="56"/>
        <v>-</v>
      </c>
      <c r="O143" s="155" t="str">
        <f t="shared" si="56"/>
        <v>-</v>
      </c>
      <c r="P143" s="155" t="str">
        <f t="shared" si="56"/>
        <v>-</v>
      </c>
      <c r="Q143" s="155" t="str">
        <f t="shared" si="56"/>
        <v>-</v>
      </c>
      <c r="R143" s="155" t="str">
        <f t="shared" si="56"/>
        <v>-</v>
      </c>
      <c r="S143" s="155" t="str">
        <f t="shared" si="56"/>
        <v>-</v>
      </c>
      <c r="T143" s="155" t="str">
        <f t="shared" si="56"/>
        <v>-</v>
      </c>
      <c r="U143" s="155" t="str">
        <f t="shared" si="56"/>
        <v>-</v>
      </c>
      <c r="V143" s="155" t="str">
        <f t="shared" si="56"/>
        <v>-</v>
      </c>
      <c r="W143" s="155" t="str">
        <f t="shared" si="56"/>
        <v>-</v>
      </c>
      <c r="X143" s="155" t="str">
        <f t="shared" si="56"/>
        <v>-</v>
      </c>
      <c r="Y143" s="155" t="str">
        <f t="shared" si="56"/>
        <v>-</v>
      </c>
      <c r="Z143" s="155" t="str">
        <f t="shared" si="56"/>
        <v>-</v>
      </c>
      <c r="AA143" s="155" t="str">
        <f t="shared" si="56"/>
        <v>-</v>
      </c>
      <c r="AB143" s="155" t="str">
        <f t="shared" si="56"/>
        <v>-</v>
      </c>
      <c r="AC143" s="155" t="str">
        <f t="shared" si="56"/>
        <v>-</v>
      </c>
      <c r="AD143" s="155" t="str">
        <f t="shared" si="56"/>
        <v>-</v>
      </c>
      <c r="AE143" s="155" t="str">
        <f t="shared" si="56"/>
        <v>-</v>
      </c>
      <c r="AF143" s="155" t="str">
        <f t="shared" si="56"/>
        <v>-</v>
      </c>
      <c r="AG143" s="155" t="str">
        <f t="shared" si="56"/>
        <v>-</v>
      </c>
      <c r="AH143" s="155" t="str">
        <f t="shared" si="56"/>
        <v>-</v>
      </c>
      <c r="AI143" s="155">
        <f t="shared" si="56"/>
        <v>0.25000179706049996</v>
      </c>
      <c r="AJ143" s="155">
        <f t="shared" si="56"/>
        <v>0.25000179706049996</v>
      </c>
      <c r="AK143" s="155">
        <f t="shared" si="56"/>
        <v>0.25000179706049996</v>
      </c>
      <c r="AL143" s="155" t="str">
        <f t="shared" si="56"/>
        <v>-</v>
      </c>
      <c r="AM143" s="155" t="str">
        <f t="shared" si="56"/>
        <v>-</v>
      </c>
      <c r="AN143" s="155" t="str">
        <f t="shared" si="56"/>
        <v>-</v>
      </c>
      <c r="AO143" s="155" t="str">
        <f t="shared" si="56"/>
        <v>-</v>
      </c>
      <c r="AP143" s="155" t="str">
        <f t="shared" si="56"/>
        <v>-</v>
      </c>
      <c r="AQ143" s="155" t="str">
        <f t="shared" si="56"/>
        <v>-</v>
      </c>
      <c r="AR143" s="155" t="str">
        <f t="shared" si="56"/>
        <v>-</v>
      </c>
      <c r="AS143" s="155" t="str">
        <f t="shared" si="56"/>
        <v>-</v>
      </c>
      <c r="AT143" s="155" t="str">
        <f t="shared" si="56"/>
        <v>-</v>
      </c>
      <c r="AU143" s="155" t="str">
        <f t="shared" si="56"/>
        <v>-</v>
      </c>
      <c r="AV143" s="155" t="str">
        <f t="shared" si="56"/>
        <v>-</v>
      </c>
      <c r="AW143" s="155" t="str">
        <f t="shared" si="56"/>
        <v>-</v>
      </c>
      <c r="AX143" s="155" t="str">
        <f t="shared" si="56"/>
        <v>-</v>
      </c>
      <c r="AY143" s="155" t="str">
        <f t="shared" si="56"/>
        <v>-</v>
      </c>
      <c r="AZ143" s="155" t="str">
        <f t="shared" si="56"/>
        <v>-</v>
      </c>
      <c r="BA143" s="155" t="str">
        <f t="shared" si="56"/>
        <v>-</v>
      </c>
      <c r="BB143" s="155" t="str">
        <f t="shared" si="56"/>
        <v>-</v>
      </c>
      <c r="BC143" s="155" t="str">
        <f t="shared" si="56"/>
        <v>-</v>
      </c>
      <c r="BD143" s="155" t="str">
        <f t="shared" si="56"/>
        <v>-</v>
      </c>
      <c r="BE143" s="155" t="str">
        <f t="shared" si="56"/>
        <v>-</v>
      </c>
      <c r="BF143" s="155" t="str">
        <f t="shared" si="56"/>
        <v>-</v>
      </c>
      <c r="BG143" s="155" t="str">
        <f t="shared" si="56"/>
        <v>-</v>
      </c>
      <c r="BH143" s="155" t="str">
        <f t="shared" si="56"/>
        <v>-</v>
      </c>
      <c r="BI143" s="155" t="str">
        <f t="shared" si="56"/>
        <v>-</v>
      </c>
      <c r="BJ143" s="155" t="str">
        <f t="shared" si="56"/>
        <v>-</v>
      </c>
      <c r="BK143" s="155" t="str">
        <f t="shared" si="56"/>
        <v>-</v>
      </c>
      <c r="BL143" s="155" t="str">
        <f t="shared" si="56"/>
        <v>-</v>
      </c>
      <c r="BM143" s="155" t="str">
        <f t="shared" si="56"/>
        <v>-</v>
      </c>
      <c r="BN143" s="155" t="str">
        <f t="shared" si="56"/>
        <v>-</v>
      </c>
      <c r="BO143" s="155" t="str">
        <f t="shared" si="55"/>
        <v>-</v>
      </c>
      <c r="BP143" s="155" t="s">
        <v>73</v>
      </c>
      <c r="BQ143" s="155" t="s">
        <v>73</v>
      </c>
      <c r="BR143" s="155" t="s">
        <v>73</v>
      </c>
      <c r="BS143" s="155" t="s">
        <v>73</v>
      </c>
      <c r="BT143" s="155" t="str">
        <f t="shared" si="36"/>
        <v>-</v>
      </c>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row>
    <row r="144" spans="1:107" s="157" customFormat="1" ht="15" hidden="1" customHeight="1" outlineLevel="1" x14ac:dyDescent="0.3">
      <c r="A144" t="s">
        <v>73</v>
      </c>
      <c r="B144" s="134" t="s">
        <v>271</v>
      </c>
      <c r="C144" s="155" t="str">
        <f t="shared" si="56"/>
        <v>-</v>
      </c>
      <c r="D144" s="155" t="str">
        <f t="shared" si="56"/>
        <v>-</v>
      </c>
      <c r="E144" s="155" t="str">
        <f t="shared" si="56"/>
        <v>-</v>
      </c>
      <c r="F144" s="155" t="str">
        <f t="shared" si="56"/>
        <v>-</v>
      </c>
      <c r="G144" s="155" t="str">
        <f t="shared" si="56"/>
        <v>-</v>
      </c>
      <c r="H144" s="155" t="str">
        <f t="shared" si="56"/>
        <v>-</v>
      </c>
      <c r="I144" s="155" t="str">
        <f t="shared" si="56"/>
        <v>-</v>
      </c>
      <c r="J144" s="155" t="str">
        <f t="shared" si="56"/>
        <v>-</v>
      </c>
      <c r="K144" s="155" t="str">
        <f t="shared" si="56"/>
        <v>-</v>
      </c>
      <c r="L144" s="155" t="str">
        <f t="shared" si="56"/>
        <v>-</v>
      </c>
      <c r="M144" s="155" t="str">
        <f t="shared" si="56"/>
        <v>-</v>
      </c>
      <c r="N144" s="155" t="str">
        <f t="shared" si="56"/>
        <v>-</v>
      </c>
      <c r="O144" s="155" t="str">
        <f t="shared" si="56"/>
        <v>-</v>
      </c>
      <c r="P144" s="155" t="str">
        <f t="shared" si="56"/>
        <v>-</v>
      </c>
      <c r="Q144" s="155" t="str">
        <f t="shared" si="56"/>
        <v>-</v>
      </c>
      <c r="R144" s="155" t="str">
        <f t="shared" si="56"/>
        <v>-</v>
      </c>
      <c r="S144" s="155" t="str">
        <f t="shared" si="56"/>
        <v>-</v>
      </c>
      <c r="T144" s="155" t="str">
        <f t="shared" si="56"/>
        <v>-</v>
      </c>
      <c r="U144" s="155" t="str">
        <f t="shared" si="56"/>
        <v>-</v>
      </c>
      <c r="V144" s="155" t="str">
        <f t="shared" si="56"/>
        <v>-</v>
      </c>
      <c r="W144" s="155" t="str">
        <f t="shared" si="56"/>
        <v>-</v>
      </c>
      <c r="X144" s="155" t="str">
        <f t="shared" si="56"/>
        <v>-</v>
      </c>
      <c r="Y144" s="155" t="str">
        <f t="shared" si="56"/>
        <v>-</v>
      </c>
      <c r="Z144" s="155" t="str">
        <f t="shared" si="56"/>
        <v>-</v>
      </c>
      <c r="AA144" s="155" t="str">
        <f t="shared" si="56"/>
        <v>-</v>
      </c>
      <c r="AB144" s="155" t="str">
        <f t="shared" si="56"/>
        <v>-</v>
      </c>
      <c r="AC144" s="155" t="str">
        <f t="shared" si="56"/>
        <v>-</v>
      </c>
      <c r="AD144" s="155" t="str">
        <f t="shared" si="56"/>
        <v>-</v>
      </c>
      <c r="AE144" s="155" t="str">
        <f t="shared" si="56"/>
        <v>-</v>
      </c>
      <c r="AF144" s="155" t="str">
        <f t="shared" si="56"/>
        <v>-</v>
      </c>
      <c r="AG144" s="155" t="str">
        <f t="shared" si="56"/>
        <v>-</v>
      </c>
      <c r="AH144" s="155" t="str">
        <f t="shared" si="56"/>
        <v>-</v>
      </c>
      <c r="AI144" s="155" t="str">
        <f t="shared" si="56"/>
        <v>-</v>
      </c>
      <c r="AJ144" s="155">
        <f t="shared" si="56"/>
        <v>0.33500524521374248</v>
      </c>
      <c r="AK144" s="155">
        <f t="shared" si="56"/>
        <v>0.33500524521374248</v>
      </c>
      <c r="AL144" s="155" t="str">
        <f t="shared" si="56"/>
        <v>-</v>
      </c>
      <c r="AM144" s="155" t="str">
        <f t="shared" si="56"/>
        <v>-</v>
      </c>
      <c r="AN144" s="155" t="str">
        <f t="shared" si="56"/>
        <v>-</v>
      </c>
      <c r="AO144" s="155" t="str">
        <f t="shared" si="56"/>
        <v>-</v>
      </c>
      <c r="AP144" s="155" t="str">
        <f t="shared" si="56"/>
        <v>-</v>
      </c>
      <c r="AQ144" s="155" t="str">
        <f t="shared" si="56"/>
        <v>-</v>
      </c>
      <c r="AR144" s="155" t="str">
        <f t="shared" si="56"/>
        <v>-</v>
      </c>
      <c r="AS144" s="155" t="str">
        <f t="shared" si="56"/>
        <v>-</v>
      </c>
      <c r="AT144" s="155" t="str">
        <f t="shared" si="56"/>
        <v>-</v>
      </c>
      <c r="AU144" s="155" t="str">
        <f t="shared" si="56"/>
        <v>-</v>
      </c>
      <c r="AV144" s="155" t="str">
        <f t="shared" si="56"/>
        <v>-</v>
      </c>
      <c r="AW144" s="155" t="str">
        <f t="shared" si="56"/>
        <v>-</v>
      </c>
      <c r="AX144" s="155" t="str">
        <f t="shared" si="56"/>
        <v>-</v>
      </c>
      <c r="AY144" s="155" t="str">
        <f t="shared" si="56"/>
        <v>-</v>
      </c>
      <c r="AZ144" s="155" t="str">
        <f t="shared" si="56"/>
        <v>-</v>
      </c>
      <c r="BA144" s="155" t="str">
        <f t="shared" si="56"/>
        <v>-</v>
      </c>
      <c r="BB144" s="155" t="str">
        <f t="shared" si="56"/>
        <v>-</v>
      </c>
      <c r="BC144" s="155" t="str">
        <f t="shared" si="56"/>
        <v>-</v>
      </c>
      <c r="BD144" s="155" t="str">
        <f t="shared" si="56"/>
        <v>-</v>
      </c>
      <c r="BE144" s="155" t="str">
        <f t="shared" si="56"/>
        <v>-</v>
      </c>
      <c r="BF144" s="155" t="str">
        <f t="shared" si="56"/>
        <v>-</v>
      </c>
      <c r="BG144" s="155" t="str">
        <f t="shared" si="56"/>
        <v>-</v>
      </c>
      <c r="BH144" s="155" t="str">
        <f t="shared" si="56"/>
        <v>-</v>
      </c>
      <c r="BI144" s="155" t="str">
        <f t="shared" si="56"/>
        <v>-</v>
      </c>
      <c r="BJ144" s="155" t="str">
        <f t="shared" si="56"/>
        <v>-</v>
      </c>
      <c r="BK144" s="155" t="str">
        <f t="shared" si="56"/>
        <v>-</v>
      </c>
      <c r="BL144" s="155" t="str">
        <f t="shared" si="56"/>
        <v>-</v>
      </c>
      <c r="BM144" s="155" t="str">
        <f t="shared" si="56"/>
        <v>-</v>
      </c>
      <c r="BN144" s="155" t="str">
        <f t="shared" si="56"/>
        <v>-</v>
      </c>
      <c r="BO144" s="155" t="str">
        <f t="shared" si="55"/>
        <v>-</v>
      </c>
      <c r="BP144" s="155" t="s">
        <v>73</v>
      </c>
      <c r="BQ144" s="155" t="s">
        <v>73</v>
      </c>
      <c r="BR144" s="155" t="s">
        <v>73</v>
      </c>
      <c r="BS144" s="155" t="s">
        <v>73</v>
      </c>
      <c r="BT144" s="155" t="str">
        <f t="shared" si="36"/>
        <v>-</v>
      </c>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row>
    <row r="145" spans="1:107" s="157" customFormat="1" ht="15" hidden="1" customHeight="1" outlineLevel="1" x14ac:dyDescent="0.3">
      <c r="A145" t="s">
        <v>73</v>
      </c>
      <c r="B145" s="134" t="s">
        <v>272</v>
      </c>
      <c r="C145" s="155" t="str">
        <f t="shared" si="56"/>
        <v>-</v>
      </c>
      <c r="D145" s="155" t="str">
        <f t="shared" si="56"/>
        <v>-</v>
      </c>
      <c r="E145" s="155" t="str">
        <f t="shared" si="56"/>
        <v>-</v>
      </c>
      <c r="F145" s="155" t="str">
        <f t="shared" si="56"/>
        <v>-</v>
      </c>
      <c r="G145" s="155" t="str">
        <f t="shared" si="56"/>
        <v>-</v>
      </c>
      <c r="H145" s="155" t="str">
        <f t="shared" si="56"/>
        <v>-</v>
      </c>
      <c r="I145" s="155" t="str">
        <f t="shared" si="56"/>
        <v>-</v>
      </c>
      <c r="J145" s="155" t="str">
        <f t="shared" si="56"/>
        <v>-</v>
      </c>
      <c r="K145" s="155" t="str">
        <f t="shared" si="56"/>
        <v>-</v>
      </c>
      <c r="L145" s="155" t="str">
        <f t="shared" si="56"/>
        <v>-</v>
      </c>
      <c r="M145" s="155" t="str">
        <f t="shared" si="56"/>
        <v>-</v>
      </c>
      <c r="N145" s="155" t="str">
        <f t="shared" si="56"/>
        <v>-</v>
      </c>
      <c r="O145" s="155" t="str">
        <f t="shared" si="56"/>
        <v>-</v>
      </c>
      <c r="P145" s="155" t="str">
        <f t="shared" si="56"/>
        <v>-</v>
      </c>
      <c r="Q145" s="155" t="str">
        <f t="shared" si="56"/>
        <v>-</v>
      </c>
      <c r="R145" s="155" t="str">
        <f t="shared" si="56"/>
        <v>-</v>
      </c>
      <c r="S145" s="155" t="str">
        <f t="shared" si="56"/>
        <v>-</v>
      </c>
      <c r="T145" s="155" t="str">
        <f t="shared" si="56"/>
        <v>-</v>
      </c>
      <c r="U145" s="155" t="str">
        <f t="shared" si="56"/>
        <v>-</v>
      </c>
      <c r="V145" s="155" t="str">
        <f t="shared" si="56"/>
        <v>-</v>
      </c>
      <c r="W145" s="155" t="str">
        <f t="shared" si="56"/>
        <v>-</v>
      </c>
      <c r="X145" s="155" t="str">
        <f t="shared" si="56"/>
        <v>-</v>
      </c>
      <c r="Y145" s="155" t="str">
        <f t="shared" si="56"/>
        <v>-</v>
      </c>
      <c r="Z145" s="155" t="str">
        <f t="shared" si="56"/>
        <v>-</v>
      </c>
      <c r="AA145" s="155" t="str">
        <f t="shared" si="56"/>
        <v>-</v>
      </c>
      <c r="AB145" s="155" t="str">
        <f t="shared" si="56"/>
        <v>-</v>
      </c>
      <c r="AC145" s="155" t="str">
        <f t="shared" si="56"/>
        <v>-</v>
      </c>
      <c r="AD145" s="155" t="str">
        <f t="shared" si="56"/>
        <v>-</v>
      </c>
      <c r="AE145" s="155" t="str">
        <f t="shared" si="56"/>
        <v>-</v>
      </c>
      <c r="AF145" s="155" t="str">
        <f t="shared" si="56"/>
        <v>-</v>
      </c>
      <c r="AG145" s="155" t="str">
        <f t="shared" si="56"/>
        <v>-</v>
      </c>
      <c r="AH145" s="155" t="str">
        <f t="shared" si="56"/>
        <v>-</v>
      </c>
      <c r="AI145" s="155" t="str">
        <f t="shared" si="56"/>
        <v>-</v>
      </c>
      <c r="AJ145" s="155">
        <f t="shared" si="56"/>
        <v>0.24000000000000002</v>
      </c>
      <c r="AK145" s="155">
        <f t="shared" si="56"/>
        <v>0.23999959787274683</v>
      </c>
      <c r="AL145" s="155" t="str">
        <f t="shared" si="56"/>
        <v>-</v>
      </c>
      <c r="AM145" s="155" t="str">
        <f t="shared" si="56"/>
        <v>-</v>
      </c>
      <c r="AN145" s="155" t="str">
        <f t="shared" si="56"/>
        <v>-</v>
      </c>
      <c r="AO145" s="155" t="str">
        <f t="shared" si="56"/>
        <v>-</v>
      </c>
      <c r="AP145" s="155" t="str">
        <f t="shared" si="56"/>
        <v>-</v>
      </c>
      <c r="AQ145" s="155" t="str">
        <f t="shared" si="56"/>
        <v>-</v>
      </c>
      <c r="AR145" s="155" t="str">
        <f t="shared" si="56"/>
        <v>-</v>
      </c>
      <c r="AS145" s="155" t="str">
        <f t="shared" si="56"/>
        <v>-</v>
      </c>
      <c r="AT145" s="155" t="str">
        <f t="shared" si="56"/>
        <v>-</v>
      </c>
      <c r="AU145" s="155" t="str">
        <f t="shared" si="56"/>
        <v>-</v>
      </c>
      <c r="AV145" s="155" t="str">
        <f t="shared" si="56"/>
        <v>-</v>
      </c>
      <c r="AW145" s="155" t="str">
        <f t="shared" si="56"/>
        <v>-</v>
      </c>
      <c r="AX145" s="155" t="str">
        <f t="shared" si="56"/>
        <v>-</v>
      </c>
      <c r="AY145" s="155" t="str">
        <f t="shared" si="56"/>
        <v>-</v>
      </c>
      <c r="AZ145" s="155" t="str">
        <f t="shared" si="56"/>
        <v>-</v>
      </c>
      <c r="BA145" s="155" t="str">
        <f t="shared" si="56"/>
        <v>-</v>
      </c>
      <c r="BB145" s="155" t="str">
        <f t="shared" si="56"/>
        <v>-</v>
      </c>
      <c r="BC145" s="155" t="str">
        <f t="shared" si="56"/>
        <v>-</v>
      </c>
      <c r="BD145" s="155" t="str">
        <f t="shared" si="56"/>
        <v>-</v>
      </c>
      <c r="BE145" s="155" t="str">
        <f t="shared" si="56"/>
        <v>-</v>
      </c>
      <c r="BF145" s="155" t="str">
        <f t="shared" si="56"/>
        <v>-</v>
      </c>
      <c r="BG145" s="155" t="str">
        <f t="shared" si="56"/>
        <v>-</v>
      </c>
      <c r="BH145" s="155" t="str">
        <f t="shared" si="56"/>
        <v>-</v>
      </c>
      <c r="BI145" s="155" t="str">
        <f t="shared" si="56"/>
        <v>-</v>
      </c>
      <c r="BJ145" s="155" t="str">
        <f t="shared" si="56"/>
        <v>-</v>
      </c>
      <c r="BK145" s="155" t="str">
        <f t="shared" si="56"/>
        <v>-</v>
      </c>
      <c r="BL145" s="155" t="str">
        <f t="shared" si="56"/>
        <v>-</v>
      </c>
      <c r="BM145" s="155" t="str">
        <f t="shared" si="56"/>
        <v>-</v>
      </c>
      <c r="BN145" s="155" t="str">
        <f t="shared" si="56"/>
        <v>-</v>
      </c>
      <c r="BO145" s="155" t="str">
        <f t="shared" si="55"/>
        <v>-</v>
      </c>
      <c r="BP145" s="155" t="s">
        <v>73</v>
      </c>
      <c r="BQ145" s="155" t="s">
        <v>73</v>
      </c>
      <c r="BR145" s="155" t="s">
        <v>73</v>
      </c>
      <c r="BS145" s="155" t="s">
        <v>73</v>
      </c>
      <c r="BT145" s="155" t="str">
        <f t="shared" si="36"/>
        <v>-</v>
      </c>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row>
    <row r="146" spans="1:107" s="163" customFormat="1" ht="15" customHeight="1" collapsed="1" thickBot="1" x14ac:dyDescent="0.35">
      <c r="A146" t="s">
        <v>73</v>
      </c>
      <c r="B146" s="161" t="str">
        <f>IF('Sumário | Summary'!P1=1,"Outros","Others")</f>
        <v>Outros</v>
      </c>
      <c r="C146" s="152" t="str">
        <f t="shared" si="56"/>
        <v>-</v>
      </c>
      <c r="D146" s="152" t="str">
        <f t="shared" si="56"/>
        <v>-</v>
      </c>
      <c r="E146" s="152" t="str">
        <f t="shared" si="56"/>
        <v>-</v>
      </c>
      <c r="F146" s="152" t="str">
        <f t="shared" si="56"/>
        <v>-</v>
      </c>
      <c r="G146" s="152" t="str">
        <f t="shared" si="56"/>
        <v>-</v>
      </c>
      <c r="H146" s="152" t="str">
        <f t="shared" si="56"/>
        <v>-</v>
      </c>
      <c r="I146" s="152" t="str">
        <f t="shared" si="56"/>
        <v>-</v>
      </c>
      <c r="J146" s="152" t="str">
        <f t="shared" si="56"/>
        <v>-</v>
      </c>
      <c r="K146" s="152" t="str">
        <f t="shared" si="56"/>
        <v>-</v>
      </c>
      <c r="L146" s="152" t="str">
        <f t="shared" si="56"/>
        <v>-</v>
      </c>
      <c r="M146" s="152" t="str">
        <f t="shared" si="56"/>
        <v>-</v>
      </c>
      <c r="N146" s="152" t="str">
        <f t="shared" si="56"/>
        <v>-</v>
      </c>
      <c r="O146" s="152" t="str">
        <f t="shared" si="56"/>
        <v>-</v>
      </c>
      <c r="P146" s="152" t="str">
        <f t="shared" si="56"/>
        <v>-</v>
      </c>
      <c r="Q146" s="152" t="str">
        <f t="shared" si="56"/>
        <v>-</v>
      </c>
      <c r="R146" s="152" t="str">
        <f t="shared" si="56"/>
        <v>-</v>
      </c>
      <c r="S146" s="152" t="str">
        <f t="shared" si="56"/>
        <v>-</v>
      </c>
      <c r="T146" s="152" t="str">
        <f t="shared" si="56"/>
        <v>-</v>
      </c>
      <c r="U146" s="152" t="str">
        <f t="shared" si="56"/>
        <v>-</v>
      </c>
      <c r="V146" s="152" t="str">
        <f t="shared" si="56"/>
        <v>-</v>
      </c>
      <c r="W146" s="152">
        <f t="shared" si="56"/>
        <v>0.5111</v>
      </c>
      <c r="X146" s="152">
        <f t="shared" si="56"/>
        <v>0.5111</v>
      </c>
      <c r="Y146" s="152">
        <f t="shared" si="56"/>
        <v>0.5111</v>
      </c>
      <c r="Z146" s="152">
        <f t="shared" si="56"/>
        <v>0.5111</v>
      </c>
      <c r="AA146" s="152">
        <f t="shared" si="56"/>
        <v>0.5111</v>
      </c>
      <c r="AB146" s="152">
        <f t="shared" si="56"/>
        <v>0.5111</v>
      </c>
      <c r="AC146" s="152">
        <f t="shared" si="56"/>
        <v>0.5111</v>
      </c>
      <c r="AD146" s="152">
        <f t="shared" si="56"/>
        <v>0.5111</v>
      </c>
      <c r="AE146" s="152">
        <f t="shared" si="56"/>
        <v>0.5111</v>
      </c>
      <c r="AF146" s="152">
        <f t="shared" si="56"/>
        <v>0.5111</v>
      </c>
      <c r="AG146" s="152">
        <f t="shared" si="56"/>
        <v>0.5111</v>
      </c>
      <c r="AH146" s="152">
        <f t="shared" si="56"/>
        <v>0.5111</v>
      </c>
      <c r="AI146" s="152">
        <f t="shared" si="56"/>
        <v>0.5111</v>
      </c>
      <c r="AJ146" s="152">
        <f t="shared" si="56"/>
        <v>0.5111</v>
      </c>
      <c r="AK146" s="152">
        <f t="shared" si="56"/>
        <v>0.5111</v>
      </c>
      <c r="AL146" s="152">
        <f t="shared" si="56"/>
        <v>0.5111</v>
      </c>
      <c r="AM146" s="152">
        <f t="shared" si="56"/>
        <v>0.5111</v>
      </c>
      <c r="AN146" s="152">
        <f t="shared" si="56"/>
        <v>0.5111</v>
      </c>
      <c r="AO146" s="152">
        <f t="shared" si="56"/>
        <v>0.5111</v>
      </c>
      <c r="AP146" s="152">
        <f t="shared" si="56"/>
        <v>0.5111</v>
      </c>
      <c r="AQ146" s="152">
        <f t="shared" si="56"/>
        <v>0.5111</v>
      </c>
      <c r="AR146" s="152">
        <f t="shared" si="56"/>
        <v>0.5111</v>
      </c>
      <c r="AS146" s="152">
        <f t="shared" si="56"/>
        <v>0.5111</v>
      </c>
      <c r="AT146" s="152">
        <f t="shared" si="56"/>
        <v>0.5111</v>
      </c>
      <c r="AU146" s="152">
        <f t="shared" si="56"/>
        <v>0.5111</v>
      </c>
      <c r="AV146" s="152">
        <f t="shared" si="56"/>
        <v>0.5111</v>
      </c>
      <c r="AW146" s="152">
        <f t="shared" si="56"/>
        <v>0.5111</v>
      </c>
      <c r="AX146" s="152">
        <f t="shared" si="56"/>
        <v>0.5111</v>
      </c>
      <c r="AY146" s="152">
        <f t="shared" si="56"/>
        <v>0.5111</v>
      </c>
      <c r="AZ146" s="152">
        <f t="shared" si="56"/>
        <v>0.5111</v>
      </c>
      <c r="BA146" s="152">
        <f t="shared" si="56"/>
        <v>0.5111</v>
      </c>
      <c r="BB146" s="152">
        <f t="shared" si="56"/>
        <v>0.5111</v>
      </c>
      <c r="BC146" s="152">
        <f t="shared" si="56"/>
        <v>0.5111</v>
      </c>
      <c r="BD146" s="152">
        <f t="shared" si="56"/>
        <v>0.5111</v>
      </c>
      <c r="BE146" s="152">
        <f t="shared" si="56"/>
        <v>0.5111</v>
      </c>
      <c r="BF146" s="152">
        <f t="shared" si="56"/>
        <v>0.5111</v>
      </c>
      <c r="BG146" s="152">
        <f t="shared" si="56"/>
        <v>0.5111</v>
      </c>
      <c r="BH146" s="152">
        <f t="shared" si="56"/>
        <v>0.5111</v>
      </c>
      <c r="BI146" s="152">
        <f t="shared" si="56"/>
        <v>0.55775300000000005</v>
      </c>
      <c r="BJ146" s="152">
        <f t="shared" si="56"/>
        <v>0.55775300000000005</v>
      </c>
      <c r="BK146" s="152">
        <f t="shared" si="56"/>
        <v>0.59311100000000005</v>
      </c>
      <c r="BL146" s="152">
        <f t="shared" si="56"/>
        <v>0.62326700000000002</v>
      </c>
      <c r="BM146" s="152">
        <f t="shared" si="56"/>
        <v>0.62326700000000002</v>
      </c>
      <c r="BN146" s="152">
        <f t="shared" ref="BN146:BO147" si="57">IFERROR(BN194/BN98,"-")</f>
        <v>0.62326700000000002</v>
      </c>
      <c r="BO146" s="152">
        <f t="shared" si="57"/>
        <v>0.66190000000000004</v>
      </c>
      <c r="BP146" s="152">
        <v>0.66181600000000007</v>
      </c>
      <c r="BQ146" s="152">
        <v>0.67242671940927745</v>
      </c>
      <c r="BR146" s="152">
        <v>0.672427</v>
      </c>
      <c r="BS146" s="152">
        <v>0.672427</v>
      </c>
      <c r="BT146" s="152">
        <f t="shared" si="36"/>
        <v>0.72155929063530311</v>
      </c>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c r="CQ146" s="162"/>
      <c r="CR146" s="162"/>
      <c r="CS146" s="162"/>
      <c r="CT146" s="162"/>
      <c r="CU146" s="162"/>
      <c r="CV146" s="162"/>
      <c r="CW146" s="162"/>
      <c r="CX146" s="162"/>
      <c r="CY146" s="162"/>
      <c r="CZ146" s="162"/>
      <c r="DA146" s="162"/>
      <c r="DB146" s="162"/>
      <c r="DC146" s="162"/>
    </row>
    <row r="147" spans="1:107" s="157" customFormat="1" ht="15" hidden="1" outlineLevel="1" thickBot="1" x14ac:dyDescent="0.35">
      <c r="A147" t="s">
        <v>309</v>
      </c>
      <c r="B147" s="154" t="s">
        <v>274</v>
      </c>
      <c r="C147" s="155" t="str">
        <f t="shared" ref="C147:BN147" si="58">IFERROR(C195/C99,"-")</f>
        <v>-</v>
      </c>
      <c r="D147" s="155" t="str">
        <f t="shared" si="58"/>
        <v>-</v>
      </c>
      <c r="E147" s="155" t="str">
        <f t="shared" si="58"/>
        <v>-</v>
      </c>
      <c r="F147" s="155" t="str">
        <f t="shared" si="58"/>
        <v>-</v>
      </c>
      <c r="G147" s="155" t="str">
        <f t="shared" si="58"/>
        <v>-</v>
      </c>
      <c r="H147" s="155" t="str">
        <f t="shared" si="58"/>
        <v>-</v>
      </c>
      <c r="I147" s="155" t="str">
        <f t="shared" si="58"/>
        <v>-</v>
      </c>
      <c r="J147" s="155" t="str">
        <f t="shared" si="58"/>
        <v>-</v>
      </c>
      <c r="K147" s="155" t="str">
        <f t="shared" si="58"/>
        <v>-</v>
      </c>
      <c r="L147" s="155" t="str">
        <f t="shared" si="58"/>
        <v>-</v>
      </c>
      <c r="M147" s="155" t="str">
        <f t="shared" si="58"/>
        <v>-</v>
      </c>
      <c r="N147" s="155" t="str">
        <f t="shared" si="58"/>
        <v>-</v>
      </c>
      <c r="O147" s="155" t="str">
        <f t="shared" si="58"/>
        <v>-</v>
      </c>
      <c r="P147" s="155" t="str">
        <f t="shared" si="58"/>
        <v>-</v>
      </c>
      <c r="Q147" s="155" t="str">
        <f t="shared" si="58"/>
        <v>-</v>
      </c>
      <c r="R147" s="155" t="str">
        <f t="shared" si="58"/>
        <v>-</v>
      </c>
      <c r="S147" s="155" t="str">
        <f t="shared" si="58"/>
        <v>-</v>
      </c>
      <c r="T147" s="155" t="str">
        <f t="shared" si="58"/>
        <v>-</v>
      </c>
      <c r="U147" s="155" t="str">
        <f t="shared" si="58"/>
        <v>-</v>
      </c>
      <c r="V147" s="155" t="str">
        <f t="shared" si="58"/>
        <v>-</v>
      </c>
      <c r="W147" s="155">
        <f t="shared" si="58"/>
        <v>0.5111</v>
      </c>
      <c r="X147" s="155">
        <f t="shared" si="58"/>
        <v>0.5111</v>
      </c>
      <c r="Y147" s="155">
        <f t="shared" si="58"/>
        <v>0.5111</v>
      </c>
      <c r="Z147" s="155">
        <f t="shared" si="58"/>
        <v>0.5111</v>
      </c>
      <c r="AA147" s="155">
        <f t="shared" si="58"/>
        <v>0.5111</v>
      </c>
      <c r="AB147" s="155">
        <f t="shared" si="58"/>
        <v>0.5111</v>
      </c>
      <c r="AC147" s="155">
        <f t="shared" si="58"/>
        <v>0.5111</v>
      </c>
      <c r="AD147" s="155">
        <f t="shared" si="58"/>
        <v>0.5111</v>
      </c>
      <c r="AE147" s="155">
        <f t="shared" si="58"/>
        <v>0.5111</v>
      </c>
      <c r="AF147" s="155">
        <f t="shared" si="58"/>
        <v>0.5111</v>
      </c>
      <c r="AG147" s="155">
        <f t="shared" si="58"/>
        <v>0.5111</v>
      </c>
      <c r="AH147" s="155">
        <f t="shared" si="58"/>
        <v>0.5111</v>
      </c>
      <c r="AI147" s="155">
        <f t="shared" si="58"/>
        <v>0.5111</v>
      </c>
      <c r="AJ147" s="155">
        <f t="shared" si="58"/>
        <v>0.5111</v>
      </c>
      <c r="AK147" s="155">
        <f t="shared" si="58"/>
        <v>0.5111</v>
      </c>
      <c r="AL147" s="155">
        <f t="shared" si="58"/>
        <v>0.5111</v>
      </c>
      <c r="AM147" s="155">
        <f t="shared" si="58"/>
        <v>0.5111</v>
      </c>
      <c r="AN147" s="155">
        <f t="shared" si="58"/>
        <v>0.5111</v>
      </c>
      <c r="AO147" s="155">
        <f t="shared" si="58"/>
        <v>0.5111</v>
      </c>
      <c r="AP147" s="155">
        <f t="shared" si="58"/>
        <v>0.5111</v>
      </c>
      <c r="AQ147" s="155">
        <f t="shared" si="58"/>
        <v>0.5111</v>
      </c>
      <c r="AR147" s="155">
        <f t="shared" si="58"/>
        <v>0.5111</v>
      </c>
      <c r="AS147" s="155">
        <f t="shared" si="58"/>
        <v>0.5111</v>
      </c>
      <c r="AT147" s="155">
        <f t="shared" si="58"/>
        <v>0.5111</v>
      </c>
      <c r="AU147" s="155">
        <f t="shared" si="58"/>
        <v>0.5111</v>
      </c>
      <c r="AV147" s="155">
        <f t="shared" si="58"/>
        <v>0.5111</v>
      </c>
      <c r="AW147" s="155">
        <f t="shared" si="58"/>
        <v>0.5111</v>
      </c>
      <c r="AX147" s="155">
        <f t="shared" si="58"/>
        <v>0.5111</v>
      </c>
      <c r="AY147" s="155">
        <f t="shared" si="58"/>
        <v>0.5111</v>
      </c>
      <c r="AZ147" s="155">
        <f t="shared" si="58"/>
        <v>0.5111</v>
      </c>
      <c r="BA147" s="155">
        <f t="shared" si="58"/>
        <v>0.5111</v>
      </c>
      <c r="BB147" s="155">
        <f t="shared" si="58"/>
        <v>0.5111</v>
      </c>
      <c r="BC147" s="155">
        <f t="shared" si="58"/>
        <v>0.5111</v>
      </c>
      <c r="BD147" s="155">
        <f t="shared" si="58"/>
        <v>0.5111</v>
      </c>
      <c r="BE147" s="155">
        <f t="shared" si="58"/>
        <v>0.5111</v>
      </c>
      <c r="BF147" s="155">
        <f t="shared" si="58"/>
        <v>0.5111</v>
      </c>
      <c r="BG147" s="155">
        <f t="shared" si="58"/>
        <v>0.5111</v>
      </c>
      <c r="BH147" s="155">
        <f t="shared" si="58"/>
        <v>0.5111</v>
      </c>
      <c r="BI147" s="155">
        <f t="shared" si="58"/>
        <v>0.55775300000000005</v>
      </c>
      <c r="BJ147" s="155">
        <f t="shared" si="58"/>
        <v>0.55775300000000005</v>
      </c>
      <c r="BK147" s="155">
        <f t="shared" si="58"/>
        <v>0.59311100000000005</v>
      </c>
      <c r="BL147" s="155">
        <f t="shared" si="58"/>
        <v>0.62326700000000002</v>
      </c>
      <c r="BM147" s="155">
        <f t="shared" si="58"/>
        <v>0.62326700000000002</v>
      </c>
      <c r="BN147" s="155">
        <f t="shared" si="58"/>
        <v>0.62326700000000002</v>
      </c>
      <c r="BO147" s="155">
        <f t="shared" si="57"/>
        <v>0.66190000000000004</v>
      </c>
      <c r="BP147" s="155">
        <v>0.66181600000000007</v>
      </c>
      <c r="BQ147" s="155">
        <v>0.67242671940927745</v>
      </c>
      <c r="BR147" s="155">
        <v>0.672427</v>
      </c>
      <c r="BS147" s="155">
        <v>0.672427</v>
      </c>
      <c r="BT147" s="155">
        <f t="shared" si="36"/>
        <v>0.72155929063530311</v>
      </c>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row>
    <row r="148" spans="1:107" s="150" customFormat="1" ht="15" customHeight="1" collapsed="1" thickTop="1" thickBot="1" x14ac:dyDescent="0.35">
      <c r="B148" s="164" t="s">
        <v>275</v>
      </c>
      <c r="C148" s="165">
        <f t="shared" ref="C148:BN148" si="59">C196/C100</f>
        <v>0.82897951387689262</v>
      </c>
      <c r="D148" s="165">
        <f t="shared" si="59"/>
        <v>0.84204569790402128</v>
      </c>
      <c r="E148" s="165">
        <f t="shared" si="59"/>
        <v>0.84204569790402128</v>
      </c>
      <c r="F148" s="165">
        <f t="shared" si="59"/>
        <v>0.84204569790402128</v>
      </c>
      <c r="G148" s="165">
        <f t="shared" si="59"/>
        <v>0.84770303258839796</v>
      </c>
      <c r="H148" s="165">
        <f t="shared" si="59"/>
        <v>0.84751240953243723</v>
      </c>
      <c r="I148" s="165">
        <f t="shared" si="59"/>
        <v>0.84393587569674444</v>
      </c>
      <c r="J148" s="165">
        <f t="shared" si="59"/>
        <v>0.84613494467184958</v>
      </c>
      <c r="K148" s="165">
        <f t="shared" si="59"/>
        <v>0.84478563595764311</v>
      </c>
      <c r="L148" s="165">
        <f t="shared" si="59"/>
        <v>0.84270388878141667</v>
      </c>
      <c r="M148" s="165">
        <f t="shared" si="59"/>
        <v>0.8433593005939497</v>
      </c>
      <c r="N148" s="165">
        <f t="shared" si="59"/>
        <v>0.8433593005939497</v>
      </c>
      <c r="O148" s="165">
        <f t="shared" si="59"/>
        <v>0.8433593005939497</v>
      </c>
      <c r="P148" s="165">
        <f t="shared" si="59"/>
        <v>0.84198653092385067</v>
      </c>
      <c r="Q148" s="165">
        <f t="shared" si="59"/>
        <v>0.72596530447111063</v>
      </c>
      <c r="R148" s="165">
        <f t="shared" si="59"/>
        <v>0.61341170614607576</v>
      </c>
      <c r="S148" s="165">
        <f t="shared" si="59"/>
        <v>0.5547740168094567</v>
      </c>
      <c r="T148" s="165">
        <f t="shared" si="59"/>
        <v>0.51426052421205493</v>
      </c>
      <c r="U148" s="165">
        <f t="shared" si="59"/>
        <v>0.51426052421205493</v>
      </c>
      <c r="V148" s="165">
        <f t="shared" si="59"/>
        <v>0.51730496784915747</v>
      </c>
      <c r="W148" s="165">
        <f t="shared" si="59"/>
        <v>0.44328009754536152</v>
      </c>
      <c r="X148" s="165">
        <f t="shared" si="59"/>
        <v>0.38526485989573117</v>
      </c>
      <c r="Y148" s="165">
        <f t="shared" si="59"/>
        <v>0.38288176663242118</v>
      </c>
      <c r="Z148" s="165">
        <f t="shared" si="59"/>
        <v>0.37273316473501689</v>
      </c>
      <c r="AA148" s="165">
        <f t="shared" si="59"/>
        <v>0.37273289032932239</v>
      </c>
      <c r="AB148" s="165">
        <f t="shared" si="59"/>
        <v>0.38003226291480507</v>
      </c>
      <c r="AC148" s="165">
        <f t="shared" si="59"/>
        <v>0.38392125941073185</v>
      </c>
      <c r="AD148" s="165">
        <f t="shared" si="59"/>
        <v>0.38392166972105074</v>
      </c>
      <c r="AE148" s="165">
        <f t="shared" si="59"/>
        <v>0.38392166972105074</v>
      </c>
      <c r="AF148" s="165">
        <f t="shared" si="59"/>
        <v>0.39293373080915089</v>
      </c>
      <c r="AG148" s="165">
        <f t="shared" si="59"/>
        <v>0.39293292643957412</v>
      </c>
      <c r="AH148" s="165">
        <f t="shared" si="59"/>
        <v>0.39233110272138</v>
      </c>
      <c r="AI148" s="165">
        <f t="shared" si="59"/>
        <v>0.36726287866164009</v>
      </c>
      <c r="AJ148" s="165">
        <f t="shared" si="59"/>
        <v>0.35939438410713015</v>
      </c>
      <c r="AK148" s="165">
        <f t="shared" si="59"/>
        <v>0.35295760195748116</v>
      </c>
      <c r="AL148" s="165">
        <f t="shared" si="59"/>
        <v>0.70968182210675657</v>
      </c>
      <c r="AM148" s="165">
        <f t="shared" si="59"/>
        <v>0.73175713145784482</v>
      </c>
      <c r="AN148" s="165">
        <f t="shared" si="59"/>
        <v>0.73598924965066015</v>
      </c>
      <c r="AO148" s="165">
        <f t="shared" si="59"/>
        <v>0.70822885159381677</v>
      </c>
      <c r="AP148" s="165">
        <f t="shared" si="59"/>
        <v>0.70745870087050355</v>
      </c>
      <c r="AQ148" s="165">
        <f t="shared" si="59"/>
        <v>0.68620354649978488</v>
      </c>
      <c r="AR148" s="165">
        <f t="shared" si="59"/>
        <v>0.67597956995111097</v>
      </c>
      <c r="AS148" s="165">
        <f t="shared" si="59"/>
        <v>0.67572302216121138</v>
      </c>
      <c r="AT148" s="165">
        <f t="shared" si="59"/>
        <v>0.67542234139225721</v>
      </c>
      <c r="AU148" s="165">
        <f t="shared" si="59"/>
        <v>0.56333283890976771</v>
      </c>
      <c r="AV148" s="165">
        <f t="shared" si="59"/>
        <v>0.68650957621642561</v>
      </c>
      <c r="AW148" s="165">
        <f t="shared" si="59"/>
        <v>0.60640559981870623</v>
      </c>
      <c r="AX148" s="165">
        <f t="shared" si="59"/>
        <v>0.58237872145717184</v>
      </c>
      <c r="AY148" s="165">
        <f t="shared" si="59"/>
        <v>0.58236246562113414</v>
      </c>
      <c r="AZ148" s="165">
        <f t="shared" si="59"/>
        <v>0.58216999445940509</v>
      </c>
      <c r="BA148" s="165">
        <f t="shared" si="59"/>
        <v>0.58184889429986697</v>
      </c>
      <c r="BB148" s="165">
        <f t="shared" si="59"/>
        <v>0.58120977420608144</v>
      </c>
      <c r="BC148" s="165">
        <f t="shared" si="59"/>
        <v>0.58127685509601312</v>
      </c>
      <c r="BD148" s="165">
        <f t="shared" si="59"/>
        <v>0.58307359898186351</v>
      </c>
      <c r="BE148" s="165">
        <f t="shared" si="59"/>
        <v>0.5834860240093388</v>
      </c>
      <c r="BF148" s="165">
        <f t="shared" si="59"/>
        <v>0.5833698748738162</v>
      </c>
      <c r="BG148" s="165">
        <f t="shared" si="59"/>
        <v>0.58204187963848408</v>
      </c>
      <c r="BH148" s="165">
        <f t="shared" si="59"/>
        <v>0.58209326554069174</v>
      </c>
      <c r="BI148" s="165">
        <f t="shared" si="59"/>
        <v>0.58696807693329478</v>
      </c>
      <c r="BJ148" s="165">
        <f t="shared" si="59"/>
        <v>0.63951375190039428</v>
      </c>
      <c r="BK148" s="165">
        <f t="shared" si="59"/>
        <v>0.64367371716572452</v>
      </c>
      <c r="BL148" s="165">
        <f t="shared" si="59"/>
        <v>0.64707458224025383</v>
      </c>
      <c r="BM148" s="165">
        <f t="shared" si="59"/>
        <v>0.64722074052936873</v>
      </c>
      <c r="BN148" s="165">
        <f t="shared" si="59"/>
        <v>0.59545284380519459</v>
      </c>
      <c r="BO148" s="165">
        <f t="shared" ref="BO148" si="60">BO196/BO100</f>
        <v>0.6155761015434128</v>
      </c>
      <c r="BP148" s="165">
        <v>0.37140313345474052</v>
      </c>
      <c r="BQ148" s="165">
        <v>0.37261453844053227</v>
      </c>
      <c r="BR148" s="165">
        <v>0.43080153888491363</v>
      </c>
      <c r="BS148" s="165">
        <v>0.43465207695332875</v>
      </c>
      <c r="BT148" s="165">
        <f>BT196/BT100</f>
        <v>0.4160774361759656</v>
      </c>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c r="CU148" s="153"/>
      <c r="CV148" s="153"/>
      <c r="CW148" s="153"/>
      <c r="CX148" s="153"/>
      <c r="CY148" s="153"/>
      <c r="CZ148" s="153"/>
      <c r="DA148" s="153"/>
      <c r="DB148" s="153"/>
      <c r="DC148" s="153"/>
    </row>
    <row r="149" spans="1:107" x14ac:dyDescent="0.3">
      <c r="AC149" s="144"/>
    </row>
    <row r="150" spans="1:107" s="7" customFormat="1" ht="18.75" customHeight="1" x14ac:dyDescent="0.3">
      <c r="B150" s="129" t="str">
        <f>IF('Sumário | Summary'!P1=1,"ABL Própria da SYN (m²)","SYN Total Area (sqm)")</f>
        <v>ABL Própria da SYN (m²)</v>
      </c>
      <c r="C150" s="130" t="str">
        <f t="shared" ref="C150:BM150" si="61">C6</f>
        <v>1T08</v>
      </c>
      <c r="D150" s="130" t="str">
        <f t="shared" si="61"/>
        <v>2T08</v>
      </c>
      <c r="E150" s="130" t="str">
        <f t="shared" si="61"/>
        <v>3T08</v>
      </c>
      <c r="F150" s="130" t="str">
        <f t="shared" si="61"/>
        <v>4T08</v>
      </c>
      <c r="G150" s="130" t="str">
        <f t="shared" si="61"/>
        <v>1T09</v>
      </c>
      <c r="H150" s="130" t="str">
        <f t="shared" si="61"/>
        <v>2T09</v>
      </c>
      <c r="I150" s="130" t="str">
        <f t="shared" si="61"/>
        <v>3T09</v>
      </c>
      <c r="J150" s="130" t="str">
        <f t="shared" si="61"/>
        <v>4T09</v>
      </c>
      <c r="K150" s="130" t="str">
        <f t="shared" si="61"/>
        <v>1T10</v>
      </c>
      <c r="L150" s="130" t="str">
        <f t="shared" si="61"/>
        <v>2T10</v>
      </c>
      <c r="M150" s="130" t="str">
        <f t="shared" si="61"/>
        <v>3T10</v>
      </c>
      <c r="N150" s="130" t="str">
        <f t="shared" si="61"/>
        <v>4T10</v>
      </c>
      <c r="O150" s="130" t="str">
        <f t="shared" si="61"/>
        <v>1T11</v>
      </c>
      <c r="P150" s="130" t="str">
        <f t="shared" si="61"/>
        <v>2T11</v>
      </c>
      <c r="Q150" s="130" t="str">
        <f t="shared" si="61"/>
        <v>3T11</v>
      </c>
      <c r="R150" s="130" t="str">
        <f t="shared" si="61"/>
        <v>4T11</v>
      </c>
      <c r="S150" s="130" t="str">
        <f t="shared" si="61"/>
        <v>1T12</v>
      </c>
      <c r="T150" s="130" t="str">
        <f t="shared" si="61"/>
        <v>2T12</v>
      </c>
      <c r="U150" s="130" t="str">
        <f t="shared" si="61"/>
        <v>3T12</v>
      </c>
      <c r="V150" s="130" t="str">
        <f t="shared" si="61"/>
        <v>4T12</v>
      </c>
      <c r="W150" s="130" t="str">
        <f t="shared" si="61"/>
        <v>1T13</v>
      </c>
      <c r="X150" s="130" t="str">
        <f t="shared" si="61"/>
        <v>2T13</v>
      </c>
      <c r="Y150" s="130" t="str">
        <f t="shared" si="61"/>
        <v>3T13</v>
      </c>
      <c r="Z150" s="130" t="str">
        <f t="shared" si="61"/>
        <v>4T13</v>
      </c>
      <c r="AA150" s="130" t="str">
        <f t="shared" si="61"/>
        <v>1T14</v>
      </c>
      <c r="AB150" s="130" t="str">
        <f t="shared" si="61"/>
        <v>2T14</v>
      </c>
      <c r="AC150" s="130" t="str">
        <f t="shared" si="61"/>
        <v>3T14</v>
      </c>
      <c r="AD150" s="130" t="str">
        <f t="shared" si="61"/>
        <v>4T14</v>
      </c>
      <c r="AE150" s="130" t="str">
        <f t="shared" si="61"/>
        <v>1T15</v>
      </c>
      <c r="AF150" s="130" t="str">
        <f t="shared" si="61"/>
        <v>2T15</v>
      </c>
      <c r="AG150" s="130" t="str">
        <f t="shared" si="61"/>
        <v>3T15</v>
      </c>
      <c r="AH150" s="130" t="str">
        <f t="shared" si="61"/>
        <v>4T15</v>
      </c>
      <c r="AI150" s="130" t="str">
        <f t="shared" si="61"/>
        <v>1T16</v>
      </c>
      <c r="AJ150" s="130" t="str">
        <f t="shared" si="61"/>
        <v>2T16</v>
      </c>
      <c r="AK150" s="130" t="str">
        <f t="shared" si="61"/>
        <v>3T16</v>
      </c>
      <c r="AL150" s="130" t="str">
        <f t="shared" si="61"/>
        <v>4T16</v>
      </c>
      <c r="AM150" s="130" t="str">
        <f t="shared" si="61"/>
        <v>1T17</v>
      </c>
      <c r="AN150" s="130" t="str">
        <f t="shared" si="61"/>
        <v>2T17</v>
      </c>
      <c r="AO150" s="130" t="str">
        <f t="shared" si="61"/>
        <v>3T17</v>
      </c>
      <c r="AP150" s="130" t="str">
        <f t="shared" si="61"/>
        <v>4T17</v>
      </c>
      <c r="AQ150" s="130" t="str">
        <f t="shared" si="61"/>
        <v>1T18</v>
      </c>
      <c r="AR150" s="130" t="str">
        <f t="shared" si="61"/>
        <v>2T18</v>
      </c>
      <c r="AS150" s="130" t="str">
        <f t="shared" si="61"/>
        <v>3T18</v>
      </c>
      <c r="AT150" s="130" t="str">
        <f t="shared" si="61"/>
        <v>4T18</v>
      </c>
      <c r="AU150" s="130" t="str">
        <f t="shared" si="61"/>
        <v>1T19</v>
      </c>
      <c r="AV150" s="130" t="str">
        <f t="shared" si="61"/>
        <v>2T19</v>
      </c>
      <c r="AW150" s="130" t="str">
        <f t="shared" si="61"/>
        <v>3T19</v>
      </c>
      <c r="AX150" s="130" t="str">
        <f t="shared" si="61"/>
        <v>4T19</v>
      </c>
      <c r="AY150" s="130" t="str">
        <f t="shared" si="61"/>
        <v>1T20</v>
      </c>
      <c r="AZ150" s="130" t="str">
        <f t="shared" si="61"/>
        <v>2T20</v>
      </c>
      <c r="BA150" s="130" t="str">
        <f t="shared" si="61"/>
        <v>3T20</v>
      </c>
      <c r="BB150" s="130" t="str">
        <f t="shared" si="61"/>
        <v>4T20</v>
      </c>
      <c r="BC150" s="130" t="str">
        <f t="shared" si="61"/>
        <v>1T21</v>
      </c>
      <c r="BD150" s="130" t="str">
        <f t="shared" si="61"/>
        <v>2T21</v>
      </c>
      <c r="BE150" s="130" t="str">
        <f t="shared" si="61"/>
        <v>3T21</v>
      </c>
      <c r="BF150" s="130" t="str">
        <f t="shared" si="61"/>
        <v>4T21</v>
      </c>
      <c r="BG150" s="130" t="str">
        <f t="shared" si="61"/>
        <v>1T22</v>
      </c>
      <c r="BH150" s="130" t="str">
        <f t="shared" si="61"/>
        <v>2T22</v>
      </c>
      <c r="BI150" s="130" t="str">
        <f t="shared" si="61"/>
        <v>3T22</v>
      </c>
      <c r="BJ150" s="130" t="str">
        <f t="shared" si="61"/>
        <v>4T22</v>
      </c>
      <c r="BK150" s="130" t="str">
        <f t="shared" si="61"/>
        <v>1T23</v>
      </c>
      <c r="BL150" s="130" t="str">
        <f t="shared" si="61"/>
        <v>2T23</v>
      </c>
      <c r="BM150" s="130" t="str">
        <f t="shared" si="61"/>
        <v>3T23</v>
      </c>
      <c r="BN150" s="130" t="s">
        <v>50</v>
      </c>
      <c r="BO150" s="130" t="s">
        <v>52</v>
      </c>
      <c r="BP150" s="130" t="s">
        <v>53</v>
      </c>
      <c r="BQ150" s="130" t="s">
        <v>54</v>
      </c>
      <c r="BR150" s="130" t="s">
        <v>55</v>
      </c>
      <c r="BS150" s="130" t="s">
        <v>56</v>
      </c>
      <c r="BT150" s="130" t="str">
        <f>BT6</f>
        <v>2T25</v>
      </c>
    </row>
    <row r="151" spans="1:107" s="131" customFormat="1" ht="15" customHeight="1" x14ac:dyDescent="0.3">
      <c r="B151" s="24" t="str">
        <f>IF('Sumário | Summary'!P1=1,"Escritórios","Offices")</f>
        <v>Escritórios</v>
      </c>
      <c r="C151" s="132">
        <f t="shared" ref="C151:BN151" si="62">C152+C164</f>
        <v>71594.546000000002</v>
      </c>
      <c r="D151" s="132">
        <f t="shared" si="62"/>
        <v>86621.109999999986</v>
      </c>
      <c r="E151" s="132">
        <f t="shared" si="62"/>
        <v>86621.109999999986</v>
      </c>
      <c r="F151" s="132">
        <f t="shared" si="62"/>
        <v>86621.109999999986</v>
      </c>
      <c r="G151" s="132">
        <f t="shared" si="62"/>
        <v>93927.109999999986</v>
      </c>
      <c r="H151" s="132">
        <f t="shared" si="62"/>
        <v>93672.109999999986</v>
      </c>
      <c r="I151" s="132">
        <f t="shared" si="62"/>
        <v>93672.109999999986</v>
      </c>
      <c r="J151" s="132">
        <f t="shared" si="62"/>
        <v>92901.109999999986</v>
      </c>
      <c r="K151" s="132">
        <f t="shared" si="62"/>
        <v>91102.109999999986</v>
      </c>
      <c r="L151" s="132">
        <f t="shared" si="62"/>
        <v>88387.109999999986</v>
      </c>
      <c r="M151" s="132">
        <f t="shared" si="62"/>
        <v>88387.109999999986</v>
      </c>
      <c r="N151" s="132">
        <f t="shared" si="62"/>
        <v>88387.109999999986</v>
      </c>
      <c r="O151" s="132">
        <f t="shared" si="62"/>
        <v>88387.109999999986</v>
      </c>
      <c r="P151" s="132">
        <f t="shared" si="62"/>
        <v>86621.109999999986</v>
      </c>
      <c r="Q151" s="132">
        <f t="shared" si="62"/>
        <v>86621.109999999986</v>
      </c>
      <c r="R151" s="132">
        <f t="shared" si="62"/>
        <v>86621.109999999986</v>
      </c>
      <c r="S151" s="132">
        <f t="shared" si="62"/>
        <v>86621.109999999986</v>
      </c>
      <c r="T151" s="132">
        <f t="shared" si="62"/>
        <v>86621.109999999986</v>
      </c>
      <c r="U151" s="132">
        <f t="shared" si="62"/>
        <v>86621.109999999986</v>
      </c>
      <c r="V151" s="132">
        <f t="shared" si="62"/>
        <v>86621.109999999986</v>
      </c>
      <c r="W151" s="132">
        <f t="shared" si="62"/>
        <v>86621.109999999986</v>
      </c>
      <c r="X151" s="132">
        <f t="shared" si="62"/>
        <v>86621.16</v>
      </c>
      <c r="Y151" s="132">
        <f t="shared" si="62"/>
        <v>89342.56</v>
      </c>
      <c r="Z151" s="132">
        <f t="shared" si="62"/>
        <v>89342.56</v>
      </c>
      <c r="AA151" s="132">
        <f t="shared" si="62"/>
        <v>89342.56</v>
      </c>
      <c r="AB151" s="132">
        <f t="shared" si="62"/>
        <v>89342.56</v>
      </c>
      <c r="AC151" s="132">
        <f t="shared" si="62"/>
        <v>108344.82490869999</v>
      </c>
      <c r="AD151" s="132">
        <f t="shared" si="62"/>
        <v>108344.7749087</v>
      </c>
      <c r="AE151" s="132">
        <f t="shared" si="62"/>
        <v>108344.7749087</v>
      </c>
      <c r="AF151" s="132">
        <f t="shared" si="62"/>
        <v>105501.13490869998</v>
      </c>
      <c r="AG151" s="132">
        <f t="shared" si="62"/>
        <v>105500.04999999999</v>
      </c>
      <c r="AH151" s="132">
        <f t="shared" si="62"/>
        <v>105500.04999999999</v>
      </c>
      <c r="AI151" s="132">
        <f t="shared" si="62"/>
        <v>86498.87</v>
      </c>
      <c r="AJ151" s="132">
        <f t="shared" si="62"/>
        <v>86498.87</v>
      </c>
      <c r="AK151" s="132">
        <f t="shared" si="62"/>
        <v>86498.665999999997</v>
      </c>
      <c r="AL151" s="132">
        <f t="shared" si="62"/>
        <v>86498.665999999997</v>
      </c>
      <c r="AM151" s="132">
        <f t="shared" si="62"/>
        <v>86498.794999999984</v>
      </c>
      <c r="AN151" s="132">
        <f t="shared" si="62"/>
        <v>101203.39099999999</v>
      </c>
      <c r="AO151" s="132">
        <f t="shared" si="62"/>
        <v>72276.859721200002</v>
      </c>
      <c r="AP151" s="132">
        <f t="shared" si="62"/>
        <v>72277.53003319999</v>
      </c>
      <c r="AQ151" s="132">
        <f t="shared" si="62"/>
        <v>72277.53003319999</v>
      </c>
      <c r="AR151" s="132">
        <f t="shared" si="62"/>
        <v>72277.53003319999</v>
      </c>
      <c r="AS151" s="132">
        <f t="shared" si="62"/>
        <v>72277.53003319999</v>
      </c>
      <c r="AT151" s="132">
        <f t="shared" si="62"/>
        <v>72691.207722199993</v>
      </c>
      <c r="AU151" s="132">
        <f t="shared" si="62"/>
        <v>72691.207722199993</v>
      </c>
      <c r="AV151" s="132">
        <f t="shared" si="62"/>
        <v>84563.677722199995</v>
      </c>
      <c r="AW151" s="132">
        <f t="shared" si="62"/>
        <v>84563.677722199995</v>
      </c>
      <c r="AX151" s="132">
        <f t="shared" si="62"/>
        <v>92023.535302200005</v>
      </c>
      <c r="AY151" s="132">
        <f t="shared" si="62"/>
        <v>92023.535302200005</v>
      </c>
      <c r="AZ151" s="132">
        <f t="shared" si="62"/>
        <v>92884.241970200004</v>
      </c>
      <c r="BA151" s="132">
        <f t="shared" si="62"/>
        <v>91829.62005920001</v>
      </c>
      <c r="BB151" s="132">
        <f t="shared" si="62"/>
        <v>92728.083391199994</v>
      </c>
      <c r="BC151" s="132">
        <f t="shared" si="62"/>
        <v>92728.083391199994</v>
      </c>
      <c r="BD151" s="132">
        <f t="shared" si="62"/>
        <v>92728.083391199994</v>
      </c>
      <c r="BE151" s="132">
        <f t="shared" si="62"/>
        <v>92728.059391200004</v>
      </c>
      <c r="BF151" s="132">
        <f t="shared" si="62"/>
        <v>45542.377604712245</v>
      </c>
      <c r="BG151" s="132">
        <f t="shared" si="62"/>
        <v>46019.179604712248</v>
      </c>
      <c r="BH151" s="132">
        <f t="shared" si="62"/>
        <v>46019.129604712245</v>
      </c>
      <c r="BI151" s="132">
        <f t="shared" si="62"/>
        <v>46019.129604712245</v>
      </c>
      <c r="BJ151" s="132">
        <f t="shared" si="62"/>
        <v>46019.129604712245</v>
      </c>
      <c r="BK151" s="132">
        <f t="shared" si="62"/>
        <v>46019.129604712245</v>
      </c>
      <c r="BL151" s="132">
        <f t="shared" si="62"/>
        <v>46019.129604712245</v>
      </c>
      <c r="BM151" s="132">
        <f t="shared" si="62"/>
        <v>46019.204634712238</v>
      </c>
      <c r="BN151" s="132">
        <f t="shared" si="62"/>
        <v>43456.259634712245</v>
      </c>
      <c r="BO151" s="132">
        <f t="shared" ref="BO151" si="63">BO152+BO164</f>
        <v>43456.259634712245</v>
      </c>
      <c r="BP151" s="132">
        <v>37159.839772237414</v>
      </c>
      <c r="BQ151" s="132">
        <v>37159.764772237417</v>
      </c>
      <c r="BR151" s="132">
        <v>37177.052772237417</v>
      </c>
      <c r="BS151" s="132">
        <v>34868.192772237417</v>
      </c>
      <c r="BT151" s="132">
        <f>BT152+BT164</f>
        <v>34081.284772237414</v>
      </c>
    </row>
    <row r="152" spans="1:107" s="131" customFormat="1" ht="15" customHeight="1" x14ac:dyDescent="0.3">
      <c r="B152" s="133" t="str">
        <f>IF('Sumário | Summary'!P1=1,"Escritórios AAA","Triple A Offices")</f>
        <v>Escritórios AAA</v>
      </c>
      <c r="C152" s="132">
        <f t="shared" ref="C152:BN152" si="64">SUM(C153:C163)</f>
        <v>39315.885999999999</v>
      </c>
      <c r="D152" s="132">
        <f t="shared" si="64"/>
        <v>50492.45</v>
      </c>
      <c r="E152" s="132">
        <f t="shared" si="64"/>
        <v>50492.45</v>
      </c>
      <c r="F152" s="132">
        <f t="shared" si="64"/>
        <v>50492.45</v>
      </c>
      <c r="G152" s="132">
        <f t="shared" si="64"/>
        <v>57798.45</v>
      </c>
      <c r="H152" s="132">
        <f t="shared" si="64"/>
        <v>57543.45</v>
      </c>
      <c r="I152" s="132">
        <f t="shared" si="64"/>
        <v>57543.45</v>
      </c>
      <c r="J152" s="132">
        <f t="shared" si="64"/>
        <v>56772.45</v>
      </c>
      <c r="K152" s="132">
        <f t="shared" si="64"/>
        <v>54973.45</v>
      </c>
      <c r="L152" s="132">
        <f t="shared" si="64"/>
        <v>52258.45</v>
      </c>
      <c r="M152" s="132">
        <f t="shared" si="64"/>
        <v>52258.45</v>
      </c>
      <c r="N152" s="132">
        <f t="shared" si="64"/>
        <v>52258.45</v>
      </c>
      <c r="O152" s="132">
        <f t="shared" si="64"/>
        <v>52258.45</v>
      </c>
      <c r="P152" s="132">
        <f t="shared" si="64"/>
        <v>50492.45</v>
      </c>
      <c r="Q152" s="132">
        <f t="shared" si="64"/>
        <v>50492.45</v>
      </c>
      <c r="R152" s="132">
        <f t="shared" si="64"/>
        <v>50492.45</v>
      </c>
      <c r="S152" s="132">
        <f t="shared" si="64"/>
        <v>50492.45</v>
      </c>
      <c r="T152" s="132">
        <f t="shared" si="64"/>
        <v>50492.45</v>
      </c>
      <c r="U152" s="132">
        <f t="shared" si="64"/>
        <v>50492.45</v>
      </c>
      <c r="V152" s="132">
        <f t="shared" si="64"/>
        <v>50492.45</v>
      </c>
      <c r="W152" s="132">
        <f t="shared" si="64"/>
        <v>50492.45</v>
      </c>
      <c r="X152" s="132">
        <f t="shared" si="64"/>
        <v>50492.45</v>
      </c>
      <c r="Y152" s="132">
        <f t="shared" si="64"/>
        <v>53213.85</v>
      </c>
      <c r="Z152" s="132">
        <f t="shared" si="64"/>
        <v>53213.85</v>
      </c>
      <c r="AA152" s="132">
        <f t="shared" si="64"/>
        <v>53213.85</v>
      </c>
      <c r="AB152" s="132">
        <f t="shared" si="64"/>
        <v>53213.85</v>
      </c>
      <c r="AC152" s="132">
        <f t="shared" si="64"/>
        <v>72216.114908699994</v>
      </c>
      <c r="AD152" s="132">
        <f t="shared" si="64"/>
        <v>72216.114908699994</v>
      </c>
      <c r="AE152" s="132">
        <f t="shared" si="64"/>
        <v>72216.114908699994</v>
      </c>
      <c r="AF152" s="132">
        <f t="shared" si="64"/>
        <v>72216.114908699994</v>
      </c>
      <c r="AG152" s="132">
        <f t="shared" si="64"/>
        <v>72215.45</v>
      </c>
      <c r="AH152" s="132">
        <f t="shared" si="64"/>
        <v>72215.45</v>
      </c>
      <c r="AI152" s="132">
        <f t="shared" si="64"/>
        <v>53213.85</v>
      </c>
      <c r="AJ152" s="132">
        <f t="shared" si="64"/>
        <v>53213.85</v>
      </c>
      <c r="AK152" s="132">
        <f t="shared" si="64"/>
        <v>53213.885999999999</v>
      </c>
      <c r="AL152" s="132">
        <f t="shared" si="64"/>
        <v>53213.885999999999</v>
      </c>
      <c r="AM152" s="132">
        <f t="shared" si="64"/>
        <v>53213.774999999994</v>
      </c>
      <c r="AN152" s="132">
        <f t="shared" si="64"/>
        <v>67918.320999999996</v>
      </c>
      <c r="AO152" s="132">
        <f t="shared" si="64"/>
        <v>48349.859721200002</v>
      </c>
      <c r="AP152" s="132">
        <f t="shared" si="64"/>
        <v>48350.399440199995</v>
      </c>
      <c r="AQ152" s="132">
        <f t="shared" si="64"/>
        <v>48350.399440199995</v>
      </c>
      <c r="AR152" s="132">
        <f t="shared" si="64"/>
        <v>48350.399440199995</v>
      </c>
      <c r="AS152" s="132">
        <f t="shared" si="64"/>
        <v>48350.399440199995</v>
      </c>
      <c r="AT152" s="132">
        <f t="shared" si="64"/>
        <v>48764.077129199999</v>
      </c>
      <c r="AU152" s="132">
        <f t="shared" si="64"/>
        <v>48764.077129199999</v>
      </c>
      <c r="AV152" s="132">
        <f t="shared" si="64"/>
        <v>48764.077129199999</v>
      </c>
      <c r="AW152" s="132">
        <f t="shared" si="64"/>
        <v>48764.077129199999</v>
      </c>
      <c r="AX152" s="132">
        <f t="shared" si="64"/>
        <v>58170.485461199998</v>
      </c>
      <c r="AY152" s="132">
        <f t="shared" si="64"/>
        <v>58170.485461199998</v>
      </c>
      <c r="AZ152" s="132">
        <f t="shared" si="64"/>
        <v>59031.192129199997</v>
      </c>
      <c r="BA152" s="132">
        <f t="shared" si="64"/>
        <v>57976.570218200002</v>
      </c>
      <c r="BB152" s="132">
        <f t="shared" si="64"/>
        <v>58875.033550200002</v>
      </c>
      <c r="BC152" s="132">
        <f t="shared" si="64"/>
        <v>58875.033550200002</v>
      </c>
      <c r="BD152" s="132">
        <f t="shared" si="64"/>
        <v>58875.033550200002</v>
      </c>
      <c r="BE152" s="132">
        <f t="shared" si="64"/>
        <v>58875.009550200004</v>
      </c>
      <c r="BF152" s="132">
        <f t="shared" si="64"/>
        <v>11689.327763712245</v>
      </c>
      <c r="BG152" s="132">
        <f t="shared" si="64"/>
        <v>12166.129763712244</v>
      </c>
      <c r="BH152" s="132">
        <f t="shared" si="64"/>
        <v>12166.029763712246</v>
      </c>
      <c r="BI152" s="132">
        <f t="shared" si="64"/>
        <v>12166.029763712246</v>
      </c>
      <c r="BJ152" s="132">
        <f t="shared" si="64"/>
        <v>12166.029763712246</v>
      </c>
      <c r="BK152" s="132">
        <f t="shared" si="64"/>
        <v>12166.029763712246</v>
      </c>
      <c r="BL152" s="132">
        <f t="shared" si="64"/>
        <v>12166.029763712246</v>
      </c>
      <c r="BM152" s="132">
        <f t="shared" si="64"/>
        <v>12166.104793712246</v>
      </c>
      <c r="BN152" s="132">
        <f t="shared" si="64"/>
        <v>12166.104793712246</v>
      </c>
      <c r="BO152" s="132">
        <f t="shared" ref="BO152" si="65">SUM(BO153:BO163)</f>
        <v>12166.104793712246</v>
      </c>
      <c r="BP152" s="132">
        <v>5869.6849312374161</v>
      </c>
      <c r="BQ152" s="132">
        <v>5869.6099312374163</v>
      </c>
      <c r="BR152" s="132">
        <v>5886.8979312374158</v>
      </c>
      <c r="BS152" s="132">
        <v>5886.8979312374158</v>
      </c>
      <c r="BT152" s="132">
        <f>SUM(BT153:BT163)</f>
        <v>5869.6099312374163</v>
      </c>
    </row>
    <row r="153" spans="1:107" ht="15" hidden="1" customHeight="1" outlineLevel="1" x14ac:dyDescent="0.3">
      <c r="A153" t="s">
        <v>73</v>
      </c>
      <c r="B153" s="134" t="s">
        <v>217</v>
      </c>
      <c r="C153" s="136">
        <v>4466.7</v>
      </c>
      <c r="D153" s="136">
        <v>4466.7</v>
      </c>
      <c r="E153" s="136">
        <v>4466.7</v>
      </c>
      <c r="F153" s="136">
        <v>4466.7</v>
      </c>
      <c r="G153" s="136">
        <v>4466.7</v>
      </c>
      <c r="H153" s="136">
        <v>4466.7</v>
      </c>
      <c r="I153" s="136">
        <v>4466.7</v>
      </c>
      <c r="J153" s="136">
        <v>4466.7</v>
      </c>
      <c r="K153" s="136">
        <v>4466.7</v>
      </c>
      <c r="L153" s="136">
        <v>4466.7</v>
      </c>
      <c r="M153" s="136">
        <v>4466.7</v>
      </c>
      <c r="N153" s="136">
        <v>4466.7</v>
      </c>
      <c r="O153" s="136">
        <v>4466.7</v>
      </c>
      <c r="P153" s="136">
        <v>4466.7</v>
      </c>
      <c r="Q153" s="136">
        <v>4466.7</v>
      </c>
      <c r="R153" s="136">
        <v>4466.7</v>
      </c>
      <c r="S153" s="136">
        <v>4466.7</v>
      </c>
      <c r="T153" s="136">
        <v>4466.7</v>
      </c>
      <c r="U153" s="136">
        <v>4466.7</v>
      </c>
      <c r="V153" s="136">
        <v>4466.7</v>
      </c>
      <c r="W153" s="136">
        <v>4466.7</v>
      </c>
      <c r="X153" s="136">
        <v>4466.7</v>
      </c>
      <c r="Y153" s="136">
        <v>4466.7</v>
      </c>
      <c r="Z153" s="136">
        <v>4466.7</v>
      </c>
      <c r="AA153" s="136">
        <v>4466.7</v>
      </c>
      <c r="AB153" s="136">
        <v>4466.7</v>
      </c>
      <c r="AC153" s="136">
        <v>4466.7</v>
      </c>
      <c r="AD153" s="136">
        <v>4466.7</v>
      </c>
      <c r="AE153" s="136">
        <v>4466.7</v>
      </c>
      <c r="AF153" s="136">
        <v>4466.7</v>
      </c>
      <c r="AG153" s="136">
        <v>4466.7</v>
      </c>
      <c r="AH153" s="136">
        <v>4466.7</v>
      </c>
      <c r="AI153" s="136">
        <v>4466.7</v>
      </c>
      <c r="AJ153" s="136">
        <v>4466.7</v>
      </c>
      <c r="AK153" s="136">
        <v>4466.7</v>
      </c>
      <c r="AL153" s="136">
        <v>4466.7</v>
      </c>
      <c r="AM153" s="136">
        <v>4466.7</v>
      </c>
      <c r="AN153" s="136">
        <v>4466.7</v>
      </c>
      <c r="AO153" s="136">
        <v>2973</v>
      </c>
      <c r="AP153" s="136">
        <v>2973.4821899999997</v>
      </c>
      <c r="AQ153" s="136">
        <v>2973.4821899999997</v>
      </c>
      <c r="AR153" s="136">
        <v>2973.4821899999997</v>
      </c>
      <c r="AS153" s="136">
        <v>2973.4821899999997</v>
      </c>
      <c r="AT153" s="136">
        <v>2973.4821899999997</v>
      </c>
      <c r="AU153" s="136">
        <v>2973.4821899999997</v>
      </c>
      <c r="AV153" s="136">
        <v>2973.4821899999997</v>
      </c>
      <c r="AW153" s="136">
        <v>2973.4821899999997</v>
      </c>
      <c r="AX153" s="137">
        <v>2973.4821899999997</v>
      </c>
      <c r="AY153" s="136">
        <v>2973.4821899999997</v>
      </c>
      <c r="AZ153" s="136">
        <v>2973.4821899999997</v>
      </c>
      <c r="BA153" s="136">
        <v>2973.4821899999997</v>
      </c>
      <c r="BB153" s="136">
        <v>2973.4821899999997</v>
      </c>
      <c r="BC153" s="136">
        <v>2973.4821899999997</v>
      </c>
      <c r="BD153" s="136">
        <v>2973.4821899999997</v>
      </c>
      <c r="BE153" s="136">
        <v>2973.4821899999997</v>
      </c>
      <c r="BF153" s="136">
        <v>0</v>
      </c>
      <c r="BG153" s="137">
        <v>0</v>
      </c>
      <c r="BH153" s="137">
        <v>0</v>
      </c>
      <c r="BI153" s="137">
        <v>0</v>
      </c>
      <c r="BJ153" s="137">
        <v>0</v>
      </c>
      <c r="BK153" s="137">
        <v>0</v>
      </c>
      <c r="BL153" s="137">
        <v>0</v>
      </c>
      <c r="BM153" s="137">
        <v>0</v>
      </c>
      <c r="BN153" s="137">
        <v>0</v>
      </c>
      <c r="BO153" s="137">
        <v>0</v>
      </c>
      <c r="BP153" s="137">
        <v>0</v>
      </c>
      <c r="BQ153" s="137">
        <v>0</v>
      </c>
      <c r="BR153" s="137">
        <v>0</v>
      </c>
      <c r="BS153" s="137">
        <v>0</v>
      </c>
      <c r="BT153" s="137">
        <v>0</v>
      </c>
    </row>
    <row r="154" spans="1:107" ht="15" hidden="1" customHeight="1" outlineLevel="1" x14ac:dyDescent="0.3">
      <c r="A154" t="s">
        <v>73</v>
      </c>
      <c r="B154" s="134" t="s">
        <v>218</v>
      </c>
      <c r="C154" s="136">
        <v>3168.46</v>
      </c>
      <c r="D154" s="136">
        <v>3168.46</v>
      </c>
      <c r="E154" s="136">
        <v>3168.46</v>
      </c>
      <c r="F154" s="136">
        <v>3168.46</v>
      </c>
      <c r="G154" s="136">
        <v>3168.46</v>
      </c>
      <c r="H154" s="136">
        <v>3168.46</v>
      </c>
      <c r="I154" s="136">
        <v>3168.46</v>
      </c>
      <c r="J154" s="136">
        <v>3168.46</v>
      </c>
      <c r="K154" s="136">
        <v>3168.46</v>
      </c>
      <c r="L154" s="136">
        <v>3168.46</v>
      </c>
      <c r="M154" s="136">
        <v>3168.46</v>
      </c>
      <c r="N154" s="136">
        <v>3168.46</v>
      </c>
      <c r="O154" s="136">
        <v>3168.46</v>
      </c>
      <c r="P154" s="136">
        <v>3168.46</v>
      </c>
      <c r="Q154" s="136">
        <v>3168.46</v>
      </c>
      <c r="R154" s="136">
        <v>3168.46</v>
      </c>
      <c r="S154" s="136">
        <v>3168.46</v>
      </c>
      <c r="T154" s="136">
        <v>3168.46</v>
      </c>
      <c r="U154" s="136">
        <v>3168.46</v>
      </c>
      <c r="V154" s="136">
        <v>3168.46</v>
      </c>
      <c r="W154" s="136">
        <v>3168.46</v>
      </c>
      <c r="X154" s="136">
        <v>3168.46</v>
      </c>
      <c r="Y154" s="136">
        <v>3168.46</v>
      </c>
      <c r="Z154" s="136">
        <v>3168.46</v>
      </c>
      <c r="AA154" s="136">
        <v>3168.46</v>
      </c>
      <c r="AB154" s="136">
        <v>3168.46</v>
      </c>
      <c r="AC154" s="136">
        <v>3168.46</v>
      </c>
      <c r="AD154" s="136">
        <v>3168.46</v>
      </c>
      <c r="AE154" s="136">
        <v>3168.46</v>
      </c>
      <c r="AF154" s="136">
        <v>3168.46</v>
      </c>
      <c r="AG154" s="136">
        <v>3168.46</v>
      </c>
      <c r="AH154" s="136">
        <v>3168.46</v>
      </c>
      <c r="AI154" s="136">
        <v>3168.46</v>
      </c>
      <c r="AJ154" s="136">
        <v>3168.46</v>
      </c>
      <c r="AK154" s="136">
        <v>3168.46</v>
      </c>
      <c r="AL154" s="136">
        <v>3168.46</v>
      </c>
      <c r="AM154" s="136">
        <v>3168.46</v>
      </c>
      <c r="AN154" s="136">
        <v>1584</v>
      </c>
      <c r="AO154" s="136">
        <v>1055</v>
      </c>
      <c r="AP154" s="136">
        <v>1054.621911</v>
      </c>
      <c r="AQ154" s="136">
        <v>1054.621911</v>
      </c>
      <c r="AR154" s="136">
        <v>1054.621911</v>
      </c>
      <c r="AS154" s="136">
        <v>1054.621911</v>
      </c>
      <c r="AT154" s="136">
        <v>1054.621911</v>
      </c>
      <c r="AU154" s="136">
        <v>1054.621911</v>
      </c>
      <c r="AV154" s="136">
        <v>1054.621911</v>
      </c>
      <c r="AW154" s="136">
        <v>1054.621911</v>
      </c>
      <c r="AX154" s="137">
        <v>1054.621911</v>
      </c>
      <c r="AY154" s="136">
        <v>1054.621911</v>
      </c>
      <c r="AZ154" s="136">
        <v>1054.621911</v>
      </c>
      <c r="BA154" s="136">
        <v>0</v>
      </c>
      <c r="BB154" s="136">
        <v>0</v>
      </c>
      <c r="BC154" s="136">
        <v>0</v>
      </c>
      <c r="BD154" s="136">
        <v>0</v>
      </c>
      <c r="BE154" s="136">
        <v>0</v>
      </c>
      <c r="BF154" s="136">
        <v>0</v>
      </c>
      <c r="BG154" s="137">
        <v>0</v>
      </c>
      <c r="BH154" s="137">
        <v>0</v>
      </c>
      <c r="BI154" s="137">
        <v>0</v>
      </c>
      <c r="BJ154" s="137">
        <v>0</v>
      </c>
      <c r="BK154" s="137">
        <v>0</v>
      </c>
      <c r="BL154" s="137">
        <v>0</v>
      </c>
      <c r="BM154" s="137">
        <v>0</v>
      </c>
      <c r="BN154" s="137">
        <v>0</v>
      </c>
      <c r="BO154" s="137">
        <v>0</v>
      </c>
      <c r="BP154" s="137">
        <v>0</v>
      </c>
      <c r="BQ154" s="137">
        <v>0</v>
      </c>
      <c r="BR154" s="137">
        <v>0</v>
      </c>
      <c r="BS154" s="137">
        <v>0</v>
      </c>
      <c r="BT154" s="137">
        <v>0</v>
      </c>
    </row>
    <row r="155" spans="1:107" ht="15" hidden="1" customHeight="1" outlineLevel="1" x14ac:dyDescent="0.3">
      <c r="A155" t="s">
        <v>73</v>
      </c>
      <c r="B155" s="134" t="s">
        <v>219</v>
      </c>
      <c r="C155" s="136">
        <v>18705.61</v>
      </c>
      <c r="D155" s="136">
        <v>18705.61</v>
      </c>
      <c r="E155" s="136">
        <v>18705.61</v>
      </c>
      <c r="F155" s="136">
        <v>18705.61</v>
      </c>
      <c r="G155" s="136">
        <v>18705.61</v>
      </c>
      <c r="H155" s="136">
        <v>18705.61</v>
      </c>
      <c r="I155" s="136">
        <v>18705.61</v>
      </c>
      <c r="J155" s="136">
        <v>18705.61</v>
      </c>
      <c r="K155" s="136">
        <v>18705.61</v>
      </c>
      <c r="L155" s="136">
        <v>18705.61</v>
      </c>
      <c r="M155" s="136">
        <v>18705.61</v>
      </c>
      <c r="N155" s="136">
        <v>18705.61</v>
      </c>
      <c r="O155" s="136">
        <v>18705.61</v>
      </c>
      <c r="P155" s="136">
        <v>18705.61</v>
      </c>
      <c r="Q155" s="136">
        <v>18705.61</v>
      </c>
      <c r="R155" s="136">
        <v>18705.61</v>
      </c>
      <c r="S155" s="136">
        <v>18705.61</v>
      </c>
      <c r="T155" s="136">
        <v>18705.61</v>
      </c>
      <c r="U155" s="136">
        <v>18705.61</v>
      </c>
      <c r="V155" s="136">
        <v>18705.61</v>
      </c>
      <c r="W155" s="136">
        <v>18705.61</v>
      </c>
      <c r="X155" s="136">
        <v>18705.61</v>
      </c>
      <c r="Y155" s="136">
        <v>18705.61</v>
      </c>
      <c r="Z155" s="136">
        <v>18705.61</v>
      </c>
      <c r="AA155" s="136">
        <v>18705.61</v>
      </c>
      <c r="AB155" s="136">
        <v>18705.61</v>
      </c>
      <c r="AC155" s="136">
        <v>18705.61</v>
      </c>
      <c r="AD155" s="136">
        <v>18705.61</v>
      </c>
      <c r="AE155" s="136">
        <v>18705.61</v>
      </c>
      <c r="AF155" s="136">
        <v>18705.61</v>
      </c>
      <c r="AG155" s="136">
        <v>18705.61</v>
      </c>
      <c r="AH155" s="136">
        <v>18705.61</v>
      </c>
      <c r="AI155" s="136">
        <v>18705.61</v>
      </c>
      <c r="AJ155" s="136">
        <v>18705.61</v>
      </c>
      <c r="AK155" s="136">
        <v>18705.61</v>
      </c>
      <c r="AL155" s="136">
        <v>18705.61</v>
      </c>
      <c r="AM155" s="136">
        <v>18705.61</v>
      </c>
      <c r="AN155" s="136">
        <v>18705.61</v>
      </c>
      <c r="AO155" s="136">
        <v>12452</v>
      </c>
      <c r="AP155" s="136">
        <v>12452.324576999999</v>
      </c>
      <c r="AQ155" s="136">
        <v>12452.324576999999</v>
      </c>
      <c r="AR155" s="136">
        <v>12452.324576999999</v>
      </c>
      <c r="AS155" s="136">
        <v>12452.324576999999</v>
      </c>
      <c r="AT155" s="136">
        <v>12452.324576999999</v>
      </c>
      <c r="AU155" s="136">
        <v>12452.324576999999</v>
      </c>
      <c r="AV155" s="136">
        <v>12452.324576999999</v>
      </c>
      <c r="AW155" s="136">
        <v>12452.324576999999</v>
      </c>
      <c r="AX155" s="137">
        <v>12890.657909000001</v>
      </c>
      <c r="AY155" s="136">
        <v>12890.657909000001</v>
      </c>
      <c r="AZ155" s="136">
        <v>13751.364577</v>
      </c>
      <c r="BA155" s="136">
        <v>13751.364577</v>
      </c>
      <c r="BB155" s="136">
        <v>14649.827909000001</v>
      </c>
      <c r="BC155" s="136">
        <v>14649.827909000001</v>
      </c>
      <c r="BD155" s="136">
        <v>14649.827909</v>
      </c>
      <c r="BE155" s="136">
        <v>14649.827909</v>
      </c>
      <c r="BF155" s="136">
        <v>0</v>
      </c>
      <c r="BG155" s="137">
        <v>0</v>
      </c>
      <c r="BH155" s="137">
        <v>0</v>
      </c>
      <c r="BI155" s="137">
        <v>0</v>
      </c>
      <c r="BJ155" s="137">
        <v>0</v>
      </c>
      <c r="BK155" s="137">
        <v>0</v>
      </c>
      <c r="BL155" s="137">
        <v>0</v>
      </c>
      <c r="BM155" s="137">
        <v>0</v>
      </c>
      <c r="BN155" s="137">
        <v>0</v>
      </c>
      <c r="BO155" s="137">
        <v>0</v>
      </c>
      <c r="BP155" s="137">
        <v>0</v>
      </c>
      <c r="BQ155" s="137">
        <v>0</v>
      </c>
      <c r="BR155" s="137">
        <v>0</v>
      </c>
      <c r="BS155" s="137">
        <v>0</v>
      </c>
      <c r="BT155" s="137">
        <v>0</v>
      </c>
    </row>
    <row r="156" spans="1:107" ht="15" hidden="1" customHeight="1" outlineLevel="1" x14ac:dyDescent="0.3">
      <c r="A156" t="s">
        <v>73</v>
      </c>
      <c r="B156" s="134" t="s">
        <v>220</v>
      </c>
      <c r="C156" s="136">
        <v>12975.116000000002</v>
      </c>
      <c r="D156" s="136">
        <v>12975.116000000002</v>
      </c>
      <c r="E156" s="136">
        <v>12975.116000000002</v>
      </c>
      <c r="F156" s="136">
        <v>12975.116000000002</v>
      </c>
      <c r="G156" s="136">
        <v>12975.116000000002</v>
      </c>
      <c r="H156" s="136">
        <v>12975.116000000002</v>
      </c>
      <c r="I156" s="136">
        <v>12975.116000000002</v>
      </c>
      <c r="J156" s="136">
        <v>12975.116000000002</v>
      </c>
      <c r="K156" s="136">
        <v>12975.116000000002</v>
      </c>
      <c r="L156" s="136">
        <v>12975.116000000002</v>
      </c>
      <c r="M156" s="136">
        <v>12975.116000000002</v>
      </c>
      <c r="N156" s="136">
        <v>12975.116000000002</v>
      </c>
      <c r="O156" s="136">
        <v>12975.116000000002</v>
      </c>
      <c r="P156" s="136">
        <v>12975.116000000002</v>
      </c>
      <c r="Q156" s="136">
        <v>12975.116000000002</v>
      </c>
      <c r="R156" s="136">
        <v>12975.116000000002</v>
      </c>
      <c r="S156" s="136">
        <v>12975.116000000002</v>
      </c>
      <c r="T156" s="136">
        <v>12975.116000000002</v>
      </c>
      <c r="U156" s="136">
        <v>12975.116000000002</v>
      </c>
      <c r="V156" s="136">
        <v>12975.116000000002</v>
      </c>
      <c r="W156" s="136">
        <v>12975.116000000002</v>
      </c>
      <c r="X156" s="136">
        <v>12975.116000000002</v>
      </c>
      <c r="Y156" s="136">
        <v>12975.116000000002</v>
      </c>
      <c r="Z156" s="136">
        <v>12975.116000000002</v>
      </c>
      <c r="AA156" s="136">
        <v>12975.116000000002</v>
      </c>
      <c r="AB156" s="136">
        <v>12975.116000000002</v>
      </c>
      <c r="AC156" s="136">
        <v>12975.116000000002</v>
      </c>
      <c r="AD156" s="136">
        <v>12975.116000000002</v>
      </c>
      <c r="AE156" s="136">
        <v>12975.116000000002</v>
      </c>
      <c r="AF156" s="136">
        <v>12975.116000000002</v>
      </c>
      <c r="AG156" s="136">
        <v>12975.116000000002</v>
      </c>
      <c r="AH156" s="136">
        <v>12975.116000000002</v>
      </c>
      <c r="AI156" s="136">
        <v>12975.116000000002</v>
      </c>
      <c r="AJ156" s="136">
        <v>12975.116000000002</v>
      </c>
      <c r="AK156" s="136">
        <v>12975.116000000002</v>
      </c>
      <c r="AL156" s="136">
        <v>12975.116000000002</v>
      </c>
      <c r="AM156" s="136">
        <v>12975.116000000002</v>
      </c>
      <c r="AN156" s="136">
        <v>12975.116000000002</v>
      </c>
      <c r="AO156" s="136">
        <v>8637.5347212000015</v>
      </c>
      <c r="AP156" s="136">
        <v>8637.5347212000015</v>
      </c>
      <c r="AQ156" s="136">
        <v>8637.5347212000015</v>
      </c>
      <c r="AR156" s="136">
        <v>8637.5347212000015</v>
      </c>
      <c r="AS156" s="136">
        <v>8637.5347212000015</v>
      </c>
      <c r="AT156" s="136">
        <v>8637.5347212000015</v>
      </c>
      <c r="AU156" s="136">
        <v>8637.5347212000015</v>
      </c>
      <c r="AV156" s="136">
        <v>8637.5347212000015</v>
      </c>
      <c r="AW156" s="136">
        <v>8637.5347212000015</v>
      </c>
      <c r="AX156" s="137">
        <v>8637.5347212000015</v>
      </c>
      <c r="AY156" s="136">
        <v>8637.5347212000015</v>
      </c>
      <c r="AZ156" s="136">
        <v>8637.5347212000015</v>
      </c>
      <c r="BA156" s="136">
        <v>8637.5347212000015</v>
      </c>
      <c r="BB156" s="136">
        <v>8637.5347212000015</v>
      </c>
      <c r="BC156" s="136">
        <v>8637.5347212000015</v>
      </c>
      <c r="BD156" s="136">
        <v>8637.5347212000015</v>
      </c>
      <c r="BE156" s="136">
        <v>8637.5347212000015</v>
      </c>
      <c r="BF156" s="136">
        <v>0</v>
      </c>
      <c r="BG156" s="137">
        <v>0</v>
      </c>
      <c r="BH156" s="137">
        <v>0</v>
      </c>
      <c r="BI156" s="137">
        <v>0</v>
      </c>
      <c r="BJ156" s="137">
        <v>0</v>
      </c>
      <c r="BK156" s="137">
        <v>0</v>
      </c>
      <c r="BL156" s="137">
        <v>0</v>
      </c>
      <c r="BM156" s="137">
        <v>0</v>
      </c>
      <c r="BN156" s="137">
        <v>0</v>
      </c>
      <c r="BO156" s="137">
        <v>0</v>
      </c>
      <c r="BP156" s="137">
        <v>0</v>
      </c>
      <c r="BQ156" s="137">
        <v>0</v>
      </c>
      <c r="BR156" s="137">
        <v>0</v>
      </c>
      <c r="BS156" s="137">
        <v>0</v>
      </c>
      <c r="BT156" s="137">
        <v>0</v>
      </c>
    </row>
    <row r="157" spans="1:107" ht="15" hidden="1" customHeight="1" outlineLevel="1" x14ac:dyDescent="0.3">
      <c r="A157" t="s">
        <v>73</v>
      </c>
      <c r="B157" s="134" t="s">
        <v>276</v>
      </c>
      <c r="C157" s="136">
        <v>0</v>
      </c>
      <c r="D157" s="136">
        <v>11176.564</v>
      </c>
      <c r="E157" s="136">
        <v>11176.564</v>
      </c>
      <c r="F157" s="136">
        <v>11176.564</v>
      </c>
      <c r="G157" s="136">
        <v>11176.564</v>
      </c>
      <c r="H157" s="136">
        <v>11176.564</v>
      </c>
      <c r="I157" s="136">
        <v>11176.564</v>
      </c>
      <c r="J157" s="136">
        <v>11176.564</v>
      </c>
      <c r="K157" s="136">
        <v>11176.564</v>
      </c>
      <c r="L157" s="136">
        <v>11176.564</v>
      </c>
      <c r="M157" s="136">
        <v>11176.564</v>
      </c>
      <c r="N157" s="136">
        <v>11176.564</v>
      </c>
      <c r="O157" s="136">
        <v>11176.564</v>
      </c>
      <c r="P157" s="136">
        <v>11176.564</v>
      </c>
      <c r="Q157" s="136">
        <v>11176.564</v>
      </c>
      <c r="R157" s="136">
        <v>11176.564</v>
      </c>
      <c r="S157" s="136">
        <v>11176.564</v>
      </c>
      <c r="T157" s="136">
        <v>11176.564</v>
      </c>
      <c r="U157" s="136">
        <v>11176.564</v>
      </c>
      <c r="V157" s="136">
        <v>11176.564</v>
      </c>
      <c r="W157" s="136">
        <v>11176.564</v>
      </c>
      <c r="X157" s="136">
        <v>11176.564</v>
      </c>
      <c r="Y157" s="136">
        <v>11176.564</v>
      </c>
      <c r="Z157" s="136">
        <v>11176.564</v>
      </c>
      <c r="AA157" s="136">
        <v>11176.564</v>
      </c>
      <c r="AB157" s="136">
        <v>11176.564</v>
      </c>
      <c r="AC157" s="136">
        <v>11176.564</v>
      </c>
      <c r="AD157" s="136">
        <v>11176.564</v>
      </c>
      <c r="AE157" s="136">
        <v>11176.564</v>
      </c>
      <c r="AF157" s="136">
        <v>11176.564</v>
      </c>
      <c r="AG157" s="136">
        <v>11176.564</v>
      </c>
      <c r="AH157" s="136">
        <v>11176.564</v>
      </c>
      <c r="AI157" s="136">
        <v>11176.564</v>
      </c>
      <c r="AJ157" s="136">
        <v>11176.564</v>
      </c>
      <c r="AK157" s="136">
        <v>11177</v>
      </c>
      <c r="AL157" s="136">
        <v>11177</v>
      </c>
      <c r="AM157" s="136">
        <v>11176.564</v>
      </c>
      <c r="AN157" s="136">
        <v>11176.57</v>
      </c>
      <c r="AO157" s="136">
        <v>6944</v>
      </c>
      <c r="AP157" s="136">
        <v>6944.0029409999997</v>
      </c>
      <c r="AQ157" s="136">
        <v>6944.0029409999997</v>
      </c>
      <c r="AR157" s="136">
        <v>6944.0029409999997</v>
      </c>
      <c r="AS157" s="136">
        <v>6944.0029409999997</v>
      </c>
      <c r="AT157" s="136">
        <v>7357.6806299999989</v>
      </c>
      <c r="AU157" s="136">
        <v>7357.6806299999989</v>
      </c>
      <c r="AV157" s="136">
        <v>7357.6806299999989</v>
      </c>
      <c r="AW157" s="136">
        <v>7357.6806299999989</v>
      </c>
      <c r="AX157" s="137">
        <v>7357.6806299999989</v>
      </c>
      <c r="AY157" s="136">
        <v>7357.6806299999989</v>
      </c>
      <c r="AZ157" s="136">
        <v>7357.6806299999989</v>
      </c>
      <c r="BA157" s="136">
        <v>7357.6806299999989</v>
      </c>
      <c r="BB157" s="136">
        <v>7357.6806299999989</v>
      </c>
      <c r="BC157" s="136">
        <v>7357.6806299999989</v>
      </c>
      <c r="BD157" s="136">
        <v>7357.6806299999989</v>
      </c>
      <c r="BE157" s="136">
        <v>7357.6806299999989</v>
      </c>
      <c r="BF157" s="136">
        <v>0</v>
      </c>
      <c r="BG157" s="137">
        <v>0</v>
      </c>
      <c r="BH157" s="137">
        <v>0</v>
      </c>
      <c r="BI157" s="137">
        <v>0</v>
      </c>
      <c r="BJ157" s="137">
        <v>0</v>
      </c>
      <c r="BK157" s="137">
        <v>0</v>
      </c>
      <c r="BL157" s="137">
        <v>0</v>
      </c>
      <c r="BM157" s="137">
        <v>0</v>
      </c>
      <c r="BN157" s="137">
        <v>0</v>
      </c>
      <c r="BO157" s="137">
        <v>0</v>
      </c>
      <c r="BP157" s="137">
        <v>0</v>
      </c>
      <c r="BQ157" s="137">
        <v>0</v>
      </c>
      <c r="BR157" s="137">
        <v>0</v>
      </c>
      <c r="BS157" s="137">
        <v>0</v>
      </c>
      <c r="BT157" s="137">
        <v>0</v>
      </c>
    </row>
    <row r="158" spans="1:107" ht="15" hidden="1" customHeight="1" outlineLevel="1" x14ac:dyDescent="0.3">
      <c r="A158" t="s">
        <v>310</v>
      </c>
      <c r="B158" s="134" t="s">
        <v>223</v>
      </c>
      <c r="C158" s="136">
        <v>0</v>
      </c>
      <c r="D158" s="136">
        <v>0</v>
      </c>
      <c r="E158" s="136">
        <v>0</v>
      </c>
      <c r="F158" s="136">
        <v>0</v>
      </c>
      <c r="G158" s="136">
        <v>0</v>
      </c>
      <c r="H158" s="136">
        <v>0</v>
      </c>
      <c r="I158" s="136">
        <v>0</v>
      </c>
      <c r="J158" s="136">
        <v>0</v>
      </c>
      <c r="K158" s="136">
        <v>0</v>
      </c>
      <c r="L158" s="136">
        <v>0</v>
      </c>
      <c r="M158" s="136">
        <v>0</v>
      </c>
      <c r="N158" s="136">
        <v>0</v>
      </c>
      <c r="O158" s="136">
        <v>0</v>
      </c>
      <c r="P158" s="136">
        <v>0</v>
      </c>
      <c r="Q158" s="136">
        <v>0</v>
      </c>
      <c r="R158" s="136">
        <v>0</v>
      </c>
      <c r="S158" s="136">
        <v>0</v>
      </c>
      <c r="T158" s="136">
        <v>0</v>
      </c>
      <c r="U158" s="136">
        <v>0</v>
      </c>
      <c r="V158" s="136">
        <v>0</v>
      </c>
      <c r="W158" s="136">
        <v>0</v>
      </c>
      <c r="X158" s="136">
        <v>0</v>
      </c>
      <c r="Y158" s="136">
        <v>2721.4</v>
      </c>
      <c r="Z158" s="136">
        <v>2721.4</v>
      </c>
      <c r="AA158" s="136">
        <v>2721.4</v>
      </c>
      <c r="AB158" s="136">
        <v>2721.4</v>
      </c>
      <c r="AC158" s="136">
        <v>2721.4</v>
      </c>
      <c r="AD158" s="136">
        <v>2721.4</v>
      </c>
      <c r="AE158" s="136">
        <v>2721.4</v>
      </c>
      <c r="AF158" s="136">
        <v>2721.4</v>
      </c>
      <c r="AG158" s="136">
        <v>2721</v>
      </c>
      <c r="AH158" s="136">
        <v>2721</v>
      </c>
      <c r="AI158" s="136">
        <v>2721.4</v>
      </c>
      <c r="AJ158" s="136">
        <v>2721.4</v>
      </c>
      <c r="AK158" s="136">
        <v>2721</v>
      </c>
      <c r="AL158" s="136">
        <v>2721</v>
      </c>
      <c r="AM158" s="136">
        <v>2721.3249999999998</v>
      </c>
      <c r="AN158" s="136">
        <v>2721.3249999999998</v>
      </c>
      <c r="AO158" s="136">
        <v>2721.3249999999998</v>
      </c>
      <c r="AP158" s="136">
        <v>2721.3249999999998</v>
      </c>
      <c r="AQ158" s="136">
        <v>2721.3249999999998</v>
      </c>
      <c r="AR158" s="136">
        <v>2721.3249999999998</v>
      </c>
      <c r="AS158" s="136">
        <v>2721.3249999999998</v>
      </c>
      <c r="AT158" s="136">
        <v>2721.3249999999998</v>
      </c>
      <c r="AU158" s="136">
        <v>2721.3249999999998</v>
      </c>
      <c r="AV158" s="136">
        <v>2721.3249999999998</v>
      </c>
      <c r="AW158" s="136">
        <v>2721.3249999999998</v>
      </c>
      <c r="AX158" s="137">
        <v>2721.5</v>
      </c>
      <c r="AY158" s="136">
        <v>2721.5</v>
      </c>
      <c r="AZ158" s="136">
        <v>2721.5</v>
      </c>
      <c r="BA158" s="136">
        <v>2721.5</v>
      </c>
      <c r="BB158" s="136">
        <v>2721.5</v>
      </c>
      <c r="BC158" s="136">
        <v>2721.5</v>
      </c>
      <c r="BD158" s="136">
        <v>2721.5</v>
      </c>
      <c r="BE158" s="136">
        <v>2721.5</v>
      </c>
      <c r="BF158" s="136">
        <v>2721.5</v>
      </c>
      <c r="BG158" s="137">
        <v>2721.5</v>
      </c>
      <c r="BH158" s="137">
        <v>2721.4000000000005</v>
      </c>
      <c r="BI158" s="137">
        <v>2721.4000000000005</v>
      </c>
      <c r="BJ158" s="137">
        <v>2721.4000000000005</v>
      </c>
      <c r="BK158" s="137">
        <v>2721.4000000000005</v>
      </c>
      <c r="BL158" s="137">
        <v>2721.4000000000005</v>
      </c>
      <c r="BM158" s="137">
        <v>2721.4750000000004</v>
      </c>
      <c r="BN158" s="137">
        <v>2721.4750000000004</v>
      </c>
      <c r="BO158" s="137">
        <v>2721.4750000000004</v>
      </c>
      <c r="BP158" s="137">
        <v>2721.4750000000004</v>
      </c>
      <c r="BQ158" s="137">
        <v>2721.4000000000005</v>
      </c>
      <c r="BR158" s="137">
        <v>2721.4000000000005</v>
      </c>
      <c r="BS158" s="137">
        <v>2721.4000000000005</v>
      </c>
      <c r="BT158" s="137">
        <v>2721.4000000000005</v>
      </c>
    </row>
    <row r="159" spans="1:107" ht="15" hidden="1" customHeight="1" outlineLevel="1" x14ac:dyDescent="0.3">
      <c r="A159" t="s">
        <v>73</v>
      </c>
      <c r="B159" s="134" t="s">
        <v>224</v>
      </c>
      <c r="C159" s="135">
        <v>0</v>
      </c>
      <c r="D159" s="135">
        <v>0</v>
      </c>
      <c r="E159" s="135">
        <v>0</v>
      </c>
      <c r="F159" s="135">
        <v>0</v>
      </c>
      <c r="G159" s="135">
        <v>0</v>
      </c>
      <c r="H159" s="135">
        <v>0</v>
      </c>
      <c r="I159" s="135">
        <v>0</v>
      </c>
      <c r="J159" s="135">
        <v>0</v>
      </c>
      <c r="K159" s="135">
        <v>0</v>
      </c>
      <c r="L159" s="135">
        <v>0</v>
      </c>
      <c r="M159" s="135">
        <v>0</v>
      </c>
      <c r="N159" s="135">
        <v>0</v>
      </c>
      <c r="O159" s="135">
        <v>0</v>
      </c>
      <c r="P159" s="135">
        <v>0</v>
      </c>
      <c r="Q159" s="135">
        <v>0</v>
      </c>
      <c r="R159" s="135">
        <v>0</v>
      </c>
      <c r="S159" s="135">
        <v>0</v>
      </c>
      <c r="T159" s="135">
        <v>0</v>
      </c>
      <c r="U159" s="135">
        <v>0</v>
      </c>
      <c r="V159" s="135">
        <v>0</v>
      </c>
      <c r="W159" s="135">
        <v>0</v>
      </c>
      <c r="X159" s="135">
        <v>0</v>
      </c>
      <c r="Y159" s="135">
        <v>0</v>
      </c>
      <c r="Z159" s="135">
        <v>0</v>
      </c>
      <c r="AA159" s="135">
        <v>0</v>
      </c>
      <c r="AB159" s="135">
        <v>0</v>
      </c>
      <c r="AC159" s="135">
        <v>0</v>
      </c>
      <c r="AD159" s="135">
        <v>0</v>
      </c>
      <c r="AE159" s="135">
        <v>0</v>
      </c>
      <c r="AF159" s="135">
        <v>0</v>
      </c>
      <c r="AG159" s="135">
        <v>0</v>
      </c>
      <c r="AH159" s="135">
        <v>0</v>
      </c>
      <c r="AI159" s="135">
        <v>0</v>
      </c>
      <c r="AJ159" s="135">
        <v>0</v>
      </c>
      <c r="AK159" s="135">
        <v>0</v>
      </c>
      <c r="AL159" s="135">
        <v>0</v>
      </c>
      <c r="AM159" s="135">
        <v>0</v>
      </c>
      <c r="AN159" s="136">
        <v>16289</v>
      </c>
      <c r="AO159" s="136">
        <v>13567</v>
      </c>
      <c r="AP159" s="136">
        <v>13567.108099999999</v>
      </c>
      <c r="AQ159" s="136">
        <v>13567.108099999999</v>
      </c>
      <c r="AR159" s="136">
        <v>13567.108099999999</v>
      </c>
      <c r="AS159" s="136">
        <v>13567.108099999999</v>
      </c>
      <c r="AT159" s="136">
        <v>13567.108099999999</v>
      </c>
      <c r="AU159" s="136">
        <v>13567.108099999999</v>
      </c>
      <c r="AV159" s="136">
        <v>13567.108099999999</v>
      </c>
      <c r="AW159" s="136">
        <v>13567.108099999999</v>
      </c>
      <c r="AX159" s="137">
        <v>13567.108099999999</v>
      </c>
      <c r="AY159" s="136">
        <v>13567.108099999999</v>
      </c>
      <c r="AZ159" s="136">
        <v>13567.108099999999</v>
      </c>
      <c r="BA159" s="136">
        <v>13567.108099999999</v>
      </c>
      <c r="BB159" s="136">
        <v>13567.108099999999</v>
      </c>
      <c r="BC159" s="136">
        <v>13567.108099999999</v>
      </c>
      <c r="BD159" s="136">
        <v>13567.108099999999</v>
      </c>
      <c r="BE159" s="136">
        <v>13567.108099999999</v>
      </c>
      <c r="BF159" s="136">
        <v>0</v>
      </c>
      <c r="BG159" s="137">
        <v>0</v>
      </c>
      <c r="BH159" s="137">
        <v>0</v>
      </c>
      <c r="BI159" s="137">
        <v>0</v>
      </c>
      <c r="BJ159" s="137">
        <v>0</v>
      </c>
      <c r="BK159" s="137">
        <v>0</v>
      </c>
      <c r="BL159" s="137">
        <v>0</v>
      </c>
      <c r="BM159" s="137">
        <v>0</v>
      </c>
      <c r="BN159" s="137">
        <v>0</v>
      </c>
      <c r="BO159" s="137">
        <v>0</v>
      </c>
      <c r="BP159" s="137">
        <v>0</v>
      </c>
      <c r="BQ159" s="137">
        <v>0</v>
      </c>
      <c r="BR159" s="137">
        <v>0</v>
      </c>
      <c r="BS159" s="137">
        <v>0</v>
      </c>
      <c r="BT159" s="137">
        <v>0</v>
      </c>
    </row>
    <row r="160" spans="1:107" ht="15" hidden="1" customHeight="1" outlineLevel="1" x14ac:dyDescent="0.3">
      <c r="A160" t="s">
        <v>73</v>
      </c>
      <c r="B160" s="134" t="s">
        <v>225</v>
      </c>
      <c r="C160" s="135">
        <v>0</v>
      </c>
      <c r="D160" s="135">
        <v>0</v>
      </c>
      <c r="E160" s="135">
        <v>0</v>
      </c>
      <c r="F160" s="135">
        <v>0</v>
      </c>
      <c r="G160" s="135">
        <v>0</v>
      </c>
      <c r="H160" s="135">
        <v>0</v>
      </c>
      <c r="I160" s="135">
        <v>0</v>
      </c>
      <c r="J160" s="135">
        <v>0</v>
      </c>
      <c r="K160" s="135">
        <v>0</v>
      </c>
      <c r="L160" s="135">
        <v>0</v>
      </c>
      <c r="M160" s="135">
        <v>0</v>
      </c>
      <c r="N160" s="135">
        <v>0</v>
      </c>
      <c r="O160" s="135">
        <v>0</v>
      </c>
      <c r="P160" s="135">
        <v>0</v>
      </c>
      <c r="Q160" s="135">
        <v>0</v>
      </c>
      <c r="R160" s="135">
        <v>0</v>
      </c>
      <c r="S160" s="135">
        <v>0</v>
      </c>
      <c r="T160" s="135">
        <v>0</v>
      </c>
      <c r="U160" s="135">
        <v>0</v>
      </c>
      <c r="V160" s="135">
        <v>0</v>
      </c>
      <c r="W160" s="135">
        <v>0</v>
      </c>
      <c r="X160" s="135">
        <v>0</v>
      </c>
      <c r="Y160" s="135">
        <v>0</v>
      </c>
      <c r="Z160" s="135">
        <v>0</v>
      </c>
      <c r="AA160" s="135">
        <v>0</v>
      </c>
      <c r="AB160" s="135">
        <v>0</v>
      </c>
      <c r="AC160" s="135">
        <v>19002.264908700003</v>
      </c>
      <c r="AD160" s="135">
        <v>19002.264908700003</v>
      </c>
      <c r="AE160" s="135">
        <v>19002.264908700003</v>
      </c>
      <c r="AF160" s="135">
        <v>19002.264908700003</v>
      </c>
      <c r="AG160" s="135">
        <v>19002</v>
      </c>
      <c r="AH160" s="135">
        <v>19002</v>
      </c>
      <c r="AI160" s="135">
        <v>0</v>
      </c>
      <c r="AJ160" s="135">
        <v>0</v>
      </c>
      <c r="AK160" s="135">
        <v>0</v>
      </c>
      <c r="AL160" s="135">
        <v>0</v>
      </c>
      <c r="AM160" s="135">
        <v>0</v>
      </c>
      <c r="AN160" s="136">
        <v>0</v>
      </c>
      <c r="AO160" s="136">
        <v>0</v>
      </c>
      <c r="AP160" s="136">
        <v>0</v>
      </c>
      <c r="AQ160" s="136">
        <v>0</v>
      </c>
      <c r="AR160" s="136">
        <v>0</v>
      </c>
      <c r="AS160" s="136">
        <v>0</v>
      </c>
      <c r="AT160" s="136">
        <v>0</v>
      </c>
      <c r="AU160" s="136">
        <v>0</v>
      </c>
      <c r="AV160" s="136">
        <v>0</v>
      </c>
      <c r="AW160" s="136">
        <v>0</v>
      </c>
      <c r="AX160" s="137">
        <v>0</v>
      </c>
      <c r="AY160" s="136">
        <v>0</v>
      </c>
      <c r="AZ160" s="136">
        <v>0</v>
      </c>
      <c r="BA160" s="136">
        <v>0</v>
      </c>
      <c r="BB160" s="136">
        <v>0</v>
      </c>
      <c r="BC160" s="136">
        <v>0</v>
      </c>
      <c r="BD160" s="136">
        <v>0</v>
      </c>
      <c r="BE160" s="136">
        <v>0</v>
      </c>
      <c r="BF160" s="136">
        <v>0</v>
      </c>
      <c r="BG160" s="137">
        <v>0</v>
      </c>
      <c r="BH160" s="137">
        <v>0</v>
      </c>
      <c r="BI160" s="137">
        <v>0</v>
      </c>
      <c r="BJ160" s="137">
        <v>0</v>
      </c>
      <c r="BK160" s="137">
        <v>0</v>
      </c>
      <c r="BL160" s="137">
        <v>0</v>
      </c>
      <c r="BM160" s="137">
        <v>0</v>
      </c>
      <c r="BN160" s="137">
        <v>0</v>
      </c>
      <c r="BO160" s="137">
        <v>0</v>
      </c>
      <c r="BP160" s="137">
        <v>0</v>
      </c>
      <c r="BQ160" s="137">
        <v>0</v>
      </c>
      <c r="BR160" s="137">
        <v>0</v>
      </c>
      <c r="BS160" s="137">
        <v>0</v>
      </c>
      <c r="BT160" s="137">
        <v>0</v>
      </c>
    </row>
    <row r="161" spans="1:72 16122:16122" ht="15" hidden="1" customHeight="1" outlineLevel="1" x14ac:dyDescent="0.3">
      <c r="A161" t="s">
        <v>73</v>
      </c>
      <c r="B161" s="134" t="s">
        <v>226</v>
      </c>
      <c r="C161" s="136">
        <v>0</v>
      </c>
      <c r="D161" s="136">
        <v>0</v>
      </c>
      <c r="E161" s="136">
        <v>0</v>
      </c>
      <c r="F161" s="136">
        <v>0</v>
      </c>
      <c r="G161" s="136">
        <v>7306</v>
      </c>
      <c r="H161" s="136">
        <v>7051</v>
      </c>
      <c r="I161" s="136">
        <v>7051</v>
      </c>
      <c r="J161" s="136">
        <v>6280</v>
      </c>
      <c r="K161" s="136">
        <v>4481</v>
      </c>
      <c r="L161" s="136">
        <v>1766</v>
      </c>
      <c r="M161" s="136">
        <v>1766</v>
      </c>
      <c r="N161" s="136">
        <v>1766</v>
      </c>
      <c r="O161" s="136">
        <v>1766</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c r="AQ161" s="136">
        <v>0</v>
      </c>
      <c r="AR161" s="136">
        <v>0</v>
      </c>
      <c r="AS161" s="136">
        <v>0</v>
      </c>
      <c r="AT161" s="136">
        <v>0</v>
      </c>
      <c r="AU161" s="136">
        <v>0</v>
      </c>
      <c r="AV161" s="136">
        <v>0</v>
      </c>
      <c r="AW161" s="136">
        <v>0</v>
      </c>
      <c r="AX161" s="137">
        <v>0</v>
      </c>
      <c r="AY161" s="136">
        <v>0</v>
      </c>
      <c r="AZ161" s="136">
        <v>0</v>
      </c>
      <c r="BA161" s="136">
        <v>0</v>
      </c>
      <c r="BB161" s="136">
        <v>0</v>
      </c>
      <c r="BC161" s="136">
        <v>0</v>
      </c>
      <c r="BD161" s="136">
        <v>0</v>
      </c>
      <c r="BE161" s="136">
        <v>0</v>
      </c>
      <c r="BF161" s="136">
        <v>0</v>
      </c>
      <c r="BG161" s="137">
        <v>0</v>
      </c>
      <c r="BH161" s="137">
        <v>0</v>
      </c>
      <c r="BI161" s="137">
        <v>0</v>
      </c>
      <c r="BJ161" s="137">
        <v>0</v>
      </c>
      <c r="BK161" s="137">
        <v>0</v>
      </c>
      <c r="BL161" s="137">
        <v>0</v>
      </c>
      <c r="BM161" s="137">
        <v>0</v>
      </c>
      <c r="BN161" s="137">
        <v>0</v>
      </c>
      <c r="BO161" s="137">
        <v>0</v>
      </c>
      <c r="BP161" s="137">
        <v>0</v>
      </c>
      <c r="BQ161" s="137">
        <v>0</v>
      </c>
      <c r="BR161" s="137">
        <v>0</v>
      </c>
      <c r="BS161" s="137">
        <v>0</v>
      </c>
      <c r="BT161" s="137">
        <v>0</v>
      </c>
    </row>
    <row r="162" spans="1:72 16122:16122" ht="15" hidden="1" customHeight="1" outlineLevel="1" x14ac:dyDescent="0.3">
      <c r="A162" t="s">
        <v>311</v>
      </c>
      <c r="B162" s="134" t="s">
        <v>228</v>
      </c>
      <c r="C162" s="136">
        <v>0</v>
      </c>
      <c r="D162" s="136">
        <v>0</v>
      </c>
      <c r="E162" s="136">
        <v>0</v>
      </c>
      <c r="F162" s="136">
        <v>0</v>
      </c>
      <c r="G162" s="136">
        <v>0</v>
      </c>
      <c r="H162" s="136">
        <v>0</v>
      </c>
      <c r="I162" s="136">
        <v>0</v>
      </c>
      <c r="J162" s="136">
        <v>0</v>
      </c>
      <c r="K162" s="136">
        <v>0</v>
      </c>
      <c r="L162" s="136">
        <v>0</v>
      </c>
      <c r="M162" s="136">
        <v>0</v>
      </c>
      <c r="N162" s="136">
        <v>0</v>
      </c>
      <c r="O162" s="136">
        <v>0</v>
      </c>
      <c r="P162" s="136">
        <v>0</v>
      </c>
      <c r="Q162" s="136">
        <v>0</v>
      </c>
      <c r="R162" s="136">
        <v>0</v>
      </c>
      <c r="S162" s="136">
        <v>0</v>
      </c>
      <c r="T162" s="136">
        <v>0</v>
      </c>
      <c r="U162" s="136">
        <v>0</v>
      </c>
      <c r="V162" s="136">
        <v>0</v>
      </c>
      <c r="W162" s="136">
        <v>0</v>
      </c>
      <c r="X162" s="136">
        <v>0</v>
      </c>
      <c r="Y162" s="136">
        <v>0</v>
      </c>
      <c r="Z162" s="136">
        <v>0</v>
      </c>
      <c r="AA162" s="136">
        <v>0</v>
      </c>
      <c r="AB162" s="136">
        <v>0</v>
      </c>
      <c r="AC162" s="136">
        <v>0</v>
      </c>
      <c r="AD162" s="136">
        <v>0</v>
      </c>
      <c r="AE162" s="136">
        <v>0</v>
      </c>
      <c r="AF162" s="136">
        <v>0</v>
      </c>
      <c r="AG162" s="136">
        <v>0</v>
      </c>
      <c r="AH162" s="136">
        <v>0</v>
      </c>
      <c r="AI162" s="136">
        <v>0</v>
      </c>
      <c r="AJ162" s="136">
        <v>0</v>
      </c>
      <c r="AK162" s="136">
        <v>0</v>
      </c>
      <c r="AL162" s="136">
        <v>0</v>
      </c>
      <c r="AM162" s="136">
        <v>0</v>
      </c>
      <c r="AN162" s="136">
        <v>0</v>
      </c>
      <c r="AO162" s="136">
        <v>0</v>
      </c>
      <c r="AP162" s="136">
        <v>0</v>
      </c>
      <c r="AQ162" s="136">
        <v>0</v>
      </c>
      <c r="AR162" s="136">
        <v>0</v>
      </c>
      <c r="AS162" s="136">
        <v>0</v>
      </c>
      <c r="AT162" s="136">
        <v>0</v>
      </c>
      <c r="AU162" s="136">
        <v>0</v>
      </c>
      <c r="AV162" s="136">
        <v>0</v>
      </c>
      <c r="AW162" s="136">
        <v>0</v>
      </c>
      <c r="AX162" s="137">
        <v>3142.5</v>
      </c>
      <c r="AY162" s="136">
        <v>3142.5</v>
      </c>
      <c r="AZ162" s="136">
        <v>3142.5</v>
      </c>
      <c r="BA162" s="136">
        <v>3142.5</v>
      </c>
      <c r="BB162" s="136">
        <v>3142.5</v>
      </c>
      <c r="BC162" s="136">
        <v>3142.5</v>
      </c>
      <c r="BD162" s="136">
        <v>3142.5</v>
      </c>
      <c r="BE162" s="136">
        <v>3142.4760000000015</v>
      </c>
      <c r="BF162" s="136">
        <v>3142.4760000000015</v>
      </c>
      <c r="BG162" s="137">
        <v>3619.2780000000021</v>
      </c>
      <c r="BH162" s="137">
        <v>3619.2780000000021</v>
      </c>
      <c r="BI162" s="137">
        <v>3619.2780000000021</v>
      </c>
      <c r="BJ162" s="137">
        <v>3619.2780000000021</v>
      </c>
      <c r="BK162" s="137">
        <v>3619.2780000000021</v>
      </c>
      <c r="BL162" s="137">
        <v>3619.2780000000021</v>
      </c>
      <c r="BM162" s="137">
        <v>3619.2780300000018</v>
      </c>
      <c r="BN162" s="137">
        <v>3619.2780300000018</v>
      </c>
      <c r="BO162" s="137">
        <v>3619.2780300000018</v>
      </c>
      <c r="BP162" s="137">
        <v>1206.4260100000008</v>
      </c>
      <c r="BQ162" s="137">
        <v>1206.4260100000008</v>
      </c>
      <c r="BR162" s="137">
        <v>1223.7140100000006</v>
      </c>
      <c r="BS162" s="137">
        <v>1223.7140100000006</v>
      </c>
      <c r="BT162" s="137">
        <v>1206.4260100000008</v>
      </c>
    </row>
    <row r="163" spans="1:72 16122:16122" ht="15" hidden="1" customHeight="1" outlineLevel="1" x14ac:dyDescent="0.3">
      <c r="A163" t="s">
        <v>312</v>
      </c>
      <c r="B163" s="134" t="s">
        <v>230</v>
      </c>
      <c r="C163" s="136">
        <v>0</v>
      </c>
      <c r="D163" s="136">
        <v>0</v>
      </c>
      <c r="E163" s="136">
        <v>0</v>
      </c>
      <c r="F163" s="136">
        <v>0</v>
      </c>
      <c r="G163" s="136">
        <v>0</v>
      </c>
      <c r="H163" s="136">
        <v>0</v>
      </c>
      <c r="I163" s="136">
        <v>0</v>
      </c>
      <c r="J163" s="136">
        <v>0</v>
      </c>
      <c r="K163" s="136">
        <v>0</v>
      </c>
      <c r="L163" s="136">
        <v>0</v>
      </c>
      <c r="M163" s="136">
        <v>0</v>
      </c>
      <c r="N163" s="136">
        <v>0</v>
      </c>
      <c r="O163" s="136">
        <v>0</v>
      </c>
      <c r="P163" s="136">
        <v>0</v>
      </c>
      <c r="Q163" s="136">
        <v>0</v>
      </c>
      <c r="R163" s="136">
        <v>0</v>
      </c>
      <c r="S163" s="136">
        <v>0</v>
      </c>
      <c r="T163" s="136">
        <v>0</v>
      </c>
      <c r="U163" s="136">
        <v>0</v>
      </c>
      <c r="V163" s="136">
        <v>0</v>
      </c>
      <c r="W163" s="136">
        <v>0</v>
      </c>
      <c r="X163" s="136">
        <v>0</v>
      </c>
      <c r="Y163" s="136">
        <v>0</v>
      </c>
      <c r="Z163" s="136">
        <v>0</v>
      </c>
      <c r="AA163" s="136">
        <v>0</v>
      </c>
      <c r="AB163" s="136">
        <v>0</v>
      </c>
      <c r="AC163" s="136">
        <v>0</v>
      </c>
      <c r="AD163" s="136">
        <v>0</v>
      </c>
      <c r="AE163" s="136">
        <v>0</v>
      </c>
      <c r="AF163" s="136">
        <v>0</v>
      </c>
      <c r="AG163" s="136">
        <v>0</v>
      </c>
      <c r="AH163" s="136">
        <v>0</v>
      </c>
      <c r="AI163" s="136">
        <v>0</v>
      </c>
      <c r="AJ163" s="136">
        <v>0</v>
      </c>
      <c r="AK163" s="136">
        <v>0</v>
      </c>
      <c r="AL163" s="136">
        <v>0</v>
      </c>
      <c r="AM163" s="136">
        <v>0</v>
      </c>
      <c r="AN163" s="136">
        <v>0</v>
      </c>
      <c r="AO163" s="136">
        <v>0</v>
      </c>
      <c r="AP163" s="136">
        <v>0</v>
      </c>
      <c r="AQ163" s="136">
        <v>0</v>
      </c>
      <c r="AR163" s="136">
        <v>0</v>
      </c>
      <c r="AS163" s="136">
        <v>0</v>
      </c>
      <c r="AT163" s="136">
        <v>0</v>
      </c>
      <c r="AU163" s="136">
        <v>0</v>
      </c>
      <c r="AV163" s="136">
        <v>0</v>
      </c>
      <c r="AW163" s="136">
        <v>0</v>
      </c>
      <c r="AX163" s="137">
        <v>5825.4</v>
      </c>
      <c r="AY163" s="136">
        <v>5825.4</v>
      </c>
      <c r="AZ163" s="136">
        <v>5825.4</v>
      </c>
      <c r="BA163" s="136">
        <v>5825.4</v>
      </c>
      <c r="BB163" s="136">
        <v>5825.4</v>
      </c>
      <c r="BC163" s="136">
        <v>5825.4</v>
      </c>
      <c r="BD163" s="136">
        <v>5825.4</v>
      </c>
      <c r="BE163" s="136">
        <v>5825.4</v>
      </c>
      <c r="BF163" s="136">
        <v>5825.3517637122432</v>
      </c>
      <c r="BG163" s="137">
        <v>5825.3517637122432</v>
      </c>
      <c r="BH163" s="137">
        <v>5825.3517637122432</v>
      </c>
      <c r="BI163" s="137">
        <v>5825.3517637122432</v>
      </c>
      <c r="BJ163" s="137">
        <v>5825.3517637122432</v>
      </c>
      <c r="BK163" s="137">
        <v>5825.3517637122432</v>
      </c>
      <c r="BL163" s="137">
        <v>5825.3517637122432</v>
      </c>
      <c r="BM163" s="137">
        <v>5825.3517637122432</v>
      </c>
      <c r="BN163" s="137">
        <v>5825.3517637122432</v>
      </c>
      <c r="BO163" s="137">
        <v>5825.3517637122432</v>
      </c>
      <c r="BP163" s="137">
        <v>1941.7839212374145</v>
      </c>
      <c r="BQ163" s="137">
        <v>1941.7839212374145</v>
      </c>
      <c r="BR163" s="137">
        <v>1941.7839212374145</v>
      </c>
      <c r="BS163" s="137">
        <v>1941.7839212374145</v>
      </c>
      <c r="BT163" s="137">
        <v>1941.7839212374145</v>
      </c>
    </row>
    <row r="164" spans="1:72 16122:16122" ht="15" customHeight="1" collapsed="1" x14ac:dyDescent="0.3">
      <c r="A164" s="123"/>
      <c r="B164" s="133" t="str">
        <f>IF('Sumário | Summary'!P1=1,"Escritórios Classe A","Class A Offices")</f>
        <v>Escritórios Classe A</v>
      </c>
      <c r="C164" s="138">
        <f t="shared" ref="C164:BN164" si="66">SUM(C165:C172)</f>
        <v>32278.659999999996</v>
      </c>
      <c r="D164" s="138">
        <f t="shared" si="66"/>
        <v>36128.659999999996</v>
      </c>
      <c r="E164" s="138">
        <f t="shared" si="66"/>
        <v>36128.659999999996</v>
      </c>
      <c r="F164" s="138">
        <f t="shared" si="66"/>
        <v>36128.659999999996</v>
      </c>
      <c r="G164" s="138">
        <f t="shared" si="66"/>
        <v>36128.659999999996</v>
      </c>
      <c r="H164" s="138">
        <f t="shared" si="66"/>
        <v>36128.659999999996</v>
      </c>
      <c r="I164" s="138">
        <f t="shared" si="66"/>
        <v>36128.659999999996</v>
      </c>
      <c r="J164" s="138">
        <f t="shared" si="66"/>
        <v>36128.659999999996</v>
      </c>
      <c r="K164" s="138">
        <f t="shared" si="66"/>
        <v>36128.659999999996</v>
      </c>
      <c r="L164" s="138">
        <f t="shared" si="66"/>
        <v>36128.659999999996</v>
      </c>
      <c r="M164" s="138">
        <f t="shared" si="66"/>
        <v>36128.659999999996</v>
      </c>
      <c r="N164" s="138">
        <f t="shared" si="66"/>
        <v>36128.659999999996</v>
      </c>
      <c r="O164" s="138">
        <f t="shared" si="66"/>
        <v>36128.659999999996</v>
      </c>
      <c r="P164" s="138">
        <f t="shared" si="66"/>
        <v>36128.659999999996</v>
      </c>
      <c r="Q164" s="138">
        <f t="shared" si="66"/>
        <v>36128.659999999996</v>
      </c>
      <c r="R164" s="138">
        <f t="shared" si="66"/>
        <v>36128.659999999996</v>
      </c>
      <c r="S164" s="138">
        <f t="shared" si="66"/>
        <v>36128.659999999996</v>
      </c>
      <c r="T164" s="138">
        <f t="shared" si="66"/>
        <v>36128.659999999996</v>
      </c>
      <c r="U164" s="138">
        <f t="shared" si="66"/>
        <v>36128.659999999996</v>
      </c>
      <c r="V164" s="138">
        <f t="shared" si="66"/>
        <v>36128.659999999996</v>
      </c>
      <c r="W164" s="138">
        <f t="shared" si="66"/>
        <v>36128.659999999996</v>
      </c>
      <c r="X164" s="138">
        <f t="shared" si="66"/>
        <v>36128.71</v>
      </c>
      <c r="Y164" s="138">
        <f t="shared" si="66"/>
        <v>36128.71</v>
      </c>
      <c r="Z164" s="138">
        <f t="shared" si="66"/>
        <v>36128.71</v>
      </c>
      <c r="AA164" s="138">
        <f t="shared" si="66"/>
        <v>36128.71</v>
      </c>
      <c r="AB164" s="138">
        <f t="shared" si="66"/>
        <v>36128.71</v>
      </c>
      <c r="AC164" s="138">
        <f t="shared" si="66"/>
        <v>36128.71</v>
      </c>
      <c r="AD164" s="138">
        <f t="shared" si="66"/>
        <v>36128.659999999996</v>
      </c>
      <c r="AE164" s="138">
        <f t="shared" si="66"/>
        <v>36128.659999999996</v>
      </c>
      <c r="AF164" s="138">
        <f t="shared" si="66"/>
        <v>33285.019999999997</v>
      </c>
      <c r="AG164" s="138">
        <f t="shared" si="66"/>
        <v>33284.599999999991</v>
      </c>
      <c r="AH164" s="138">
        <f t="shared" si="66"/>
        <v>33284.599999999991</v>
      </c>
      <c r="AI164" s="138">
        <f t="shared" si="66"/>
        <v>33285.019999999997</v>
      </c>
      <c r="AJ164" s="138">
        <f t="shared" si="66"/>
        <v>33285.019999999997</v>
      </c>
      <c r="AK164" s="138">
        <f t="shared" si="66"/>
        <v>33284.78</v>
      </c>
      <c r="AL164" s="138">
        <f t="shared" si="66"/>
        <v>33284.78</v>
      </c>
      <c r="AM164" s="138">
        <f t="shared" si="66"/>
        <v>33285.019999999997</v>
      </c>
      <c r="AN164" s="138">
        <f t="shared" si="66"/>
        <v>33285.069999999992</v>
      </c>
      <c r="AO164" s="138">
        <f t="shared" si="66"/>
        <v>23927</v>
      </c>
      <c r="AP164" s="138">
        <f t="shared" si="66"/>
        <v>23927.130592999994</v>
      </c>
      <c r="AQ164" s="138">
        <f t="shared" si="66"/>
        <v>23927.130592999994</v>
      </c>
      <c r="AR164" s="138">
        <f t="shared" si="66"/>
        <v>23927.130592999994</v>
      </c>
      <c r="AS164" s="138">
        <f t="shared" si="66"/>
        <v>23927.130592999994</v>
      </c>
      <c r="AT164" s="138">
        <f t="shared" si="66"/>
        <v>23927.130592999994</v>
      </c>
      <c r="AU164" s="138">
        <f t="shared" si="66"/>
        <v>23927.130592999994</v>
      </c>
      <c r="AV164" s="138">
        <f t="shared" si="66"/>
        <v>35799.600592999996</v>
      </c>
      <c r="AW164" s="138">
        <f t="shared" si="66"/>
        <v>35799.600592999996</v>
      </c>
      <c r="AX164" s="138">
        <f t="shared" si="66"/>
        <v>33853.049841</v>
      </c>
      <c r="AY164" s="138">
        <f t="shared" si="66"/>
        <v>33853.049841</v>
      </c>
      <c r="AZ164" s="138">
        <f t="shared" si="66"/>
        <v>33853.049841</v>
      </c>
      <c r="BA164" s="138">
        <f t="shared" si="66"/>
        <v>33853.049841</v>
      </c>
      <c r="BB164" s="138">
        <f t="shared" si="66"/>
        <v>33853.049841</v>
      </c>
      <c r="BC164" s="138">
        <f t="shared" si="66"/>
        <v>33853.049841</v>
      </c>
      <c r="BD164" s="138">
        <f t="shared" si="66"/>
        <v>33853.049841</v>
      </c>
      <c r="BE164" s="138">
        <f t="shared" si="66"/>
        <v>33853.049841</v>
      </c>
      <c r="BF164" s="138">
        <f t="shared" si="66"/>
        <v>33853.049841</v>
      </c>
      <c r="BG164" s="138">
        <f t="shared" si="66"/>
        <v>33853.049841</v>
      </c>
      <c r="BH164" s="138">
        <f t="shared" si="66"/>
        <v>33853.099840999996</v>
      </c>
      <c r="BI164" s="138">
        <f t="shared" si="66"/>
        <v>33853.099840999996</v>
      </c>
      <c r="BJ164" s="138">
        <f t="shared" si="66"/>
        <v>33853.099840999996</v>
      </c>
      <c r="BK164" s="138">
        <f t="shared" si="66"/>
        <v>33853.099840999996</v>
      </c>
      <c r="BL164" s="138">
        <f t="shared" si="66"/>
        <v>33853.099840999996</v>
      </c>
      <c r="BM164" s="138">
        <f t="shared" si="66"/>
        <v>33853.099840999996</v>
      </c>
      <c r="BN164" s="138">
        <f t="shared" si="66"/>
        <v>31290.154840999996</v>
      </c>
      <c r="BO164" s="138">
        <f t="shared" ref="BO164" si="67">SUM(BO165:BO172)</f>
        <v>31290.154840999996</v>
      </c>
      <c r="BP164" s="138">
        <v>31290.154840999996</v>
      </c>
      <c r="BQ164" s="138">
        <v>31290.154841</v>
      </c>
      <c r="BR164" s="138">
        <v>31290.154841</v>
      </c>
      <c r="BS164" s="138">
        <v>28981.294840999999</v>
      </c>
      <c r="BT164" s="138">
        <f>SUM(BT165:BT172)</f>
        <v>28211.674841</v>
      </c>
      <c r="WVB164" s="132"/>
    </row>
    <row r="165" spans="1:72 16122:16122" ht="15" hidden="1" customHeight="1" outlineLevel="1" x14ac:dyDescent="0.3">
      <c r="A165" t="s">
        <v>313</v>
      </c>
      <c r="B165" s="134" t="s">
        <v>232</v>
      </c>
      <c r="C165" s="136">
        <v>11987.249999999996</v>
      </c>
      <c r="D165" s="136">
        <v>11987.249999999996</v>
      </c>
      <c r="E165" s="136">
        <v>11987.249999999996</v>
      </c>
      <c r="F165" s="136">
        <v>11987.249999999996</v>
      </c>
      <c r="G165" s="136">
        <v>11987.249999999996</v>
      </c>
      <c r="H165" s="136">
        <v>11987.249999999996</v>
      </c>
      <c r="I165" s="136">
        <v>11987.249999999996</v>
      </c>
      <c r="J165" s="136">
        <v>11987.249999999996</v>
      </c>
      <c r="K165" s="136">
        <v>11987.249999999996</v>
      </c>
      <c r="L165" s="136">
        <v>11987.249999999996</v>
      </c>
      <c r="M165" s="136">
        <v>11987.249999999996</v>
      </c>
      <c r="N165" s="136">
        <v>11987.249999999996</v>
      </c>
      <c r="O165" s="136">
        <v>11987.249999999996</v>
      </c>
      <c r="P165" s="136">
        <v>11987.249999999996</v>
      </c>
      <c r="Q165" s="136">
        <v>11987.249999999996</v>
      </c>
      <c r="R165" s="136">
        <v>11987.249999999996</v>
      </c>
      <c r="S165" s="136">
        <v>11987.249999999996</v>
      </c>
      <c r="T165" s="136">
        <v>11987.249999999996</v>
      </c>
      <c r="U165" s="136">
        <v>11987.249999999996</v>
      </c>
      <c r="V165" s="136">
        <v>11987.249999999996</v>
      </c>
      <c r="W165" s="136">
        <v>11987.249999999996</v>
      </c>
      <c r="X165" s="136">
        <v>11987.249999999996</v>
      </c>
      <c r="Y165" s="136">
        <v>11987.249999999996</v>
      </c>
      <c r="Z165" s="136">
        <v>11987.249999999996</v>
      </c>
      <c r="AA165" s="136">
        <v>11987.249999999996</v>
      </c>
      <c r="AB165" s="136">
        <v>11987.249999999996</v>
      </c>
      <c r="AC165" s="136">
        <v>11987.249999999996</v>
      </c>
      <c r="AD165" s="136">
        <v>11987.249999999996</v>
      </c>
      <c r="AE165" s="136">
        <v>11987.249999999996</v>
      </c>
      <c r="AF165" s="136">
        <v>11987.249999999996</v>
      </c>
      <c r="AG165" s="136">
        <v>11987.249999999996</v>
      </c>
      <c r="AH165" s="136">
        <v>11987.249999999996</v>
      </c>
      <c r="AI165" s="136">
        <v>11987.249999999996</v>
      </c>
      <c r="AJ165" s="136">
        <v>11987.249999999996</v>
      </c>
      <c r="AK165" s="136">
        <v>11987.249999999996</v>
      </c>
      <c r="AL165" s="136">
        <v>11987.249999999996</v>
      </c>
      <c r="AM165" s="136">
        <v>11987.249999999996</v>
      </c>
      <c r="AN165" s="136">
        <v>11987.249999999996</v>
      </c>
      <c r="AO165" s="136">
        <v>7980</v>
      </c>
      <c r="AP165" s="136">
        <v>7979.9123249999975</v>
      </c>
      <c r="AQ165" s="136">
        <v>7979.9123249999975</v>
      </c>
      <c r="AR165" s="136">
        <v>7979.9123249999975</v>
      </c>
      <c r="AS165" s="136">
        <v>7979.9123249999975</v>
      </c>
      <c r="AT165" s="136">
        <v>7979.9123249999975</v>
      </c>
      <c r="AU165" s="136">
        <v>7979.9123249999975</v>
      </c>
      <c r="AV165" s="136">
        <v>7979.9123249999975</v>
      </c>
      <c r="AW165" s="136">
        <v>7979.9123249999975</v>
      </c>
      <c r="AX165" s="137">
        <v>7979.9123249999975</v>
      </c>
      <c r="AY165" s="136">
        <v>7979.9123249999975</v>
      </c>
      <c r="AZ165" s="136">
        <v>7979.9123249999975</v>
      </c>
      <c r="BA165" s="136">
        <v>7979.9123249999975</v>
      </c>
      <c r="BB165" s="136">
        <v>7979.9123249999975</v>
      </c>
      <c r="BC165" s="136">
        <v>7979.9123249999975</v>
      </c>
      <c r="BD165" s="136">
        <v>7979.9123249999975</v>
      </c>
      <c r="BE165" s="136">
        <v>7979.9123249999975</v>
      </c>
      <c r="BF165" s="136">
        <v>7979.9123249999975</v>
      </c>
      <c r="BG165" s="137">
        <v>7979.9123249999975</v>
      </c>
      <c r="BH165" s="137">
        <v>7979.9123249999975</v>
      </c>
      <c r="BI165" s="137">
        <v>7979.9123249999975</v>
      </c>
      <c r="BJ165" s="137">
        <v>7979.9123249999975</v>
      </c>
      <c r="BK165" s="137">
        <v>7979.9123249999975</v>
      </c>
      <c r="BL165" s="137">
        <v>7979.9123249999975</v>
      </c>
      <c r="BM165" s="137">
        <v>7979.9123249999975</v>
      </c>
      <c r="BN165" s="137">
        <v>7979.9123249999975</v>
      </c>
      <c r="BO165" s="137">
        <v>7979.9123249999975</v>
      </c>
      <c r="BP165" s="137">
        <v>7979.9123249999975</v>
      </c>
      <c r="BQ165" s="137">
        <v>7979.9123249999975</v>
      </c>
      <c r="BR165" s="137">
        <v>7979.9123249999975</v>
      </c>
      <c r="BS165" s="137">
        <v>7979.9123249999975</v>
      </c>
      <c r="BT165" s="137">
        <v>7979.9123249999975</v>
      </c>
    </row>
    <row r="166" spans="1:72 16122:16122" ht="15" hidden="1" customHeight="1" outlineLevel="1" x14ac:dyDescent="0.3">
      <c r="A166" t="s">
        <v>314</v>
      </c>
      <c r="B166" s="134" t="s">
        <v>234</v>
      </c>
      <c r="C166" s="136">
        <v>8385.82</v>
      </c>
      <c r="D166" s="136">
        <v>8385.82</v>
      </c>
      <c r="E166" s="136">
        <v>8385.82</v>
      </c>
      <c r="F166" s="136">
        <v>8385.82</v>
      </c>
      <c r="G166" s="136">
        <v>8385.82</v>
      </c>
      <c r="H166" s="136">
        <v>8385.82</v>
      </c>
      <c r="I166" s="136">
        <v>8385.82</v>
      </c>
      <c r="J166" s="136">
        <v>8385.82</v>
      </c>
      <c r="K166" s="136">
        <v>8385.82</v>
      </c>
      <c r="L166" s="136">
        <v>8385.82</v>
      </c>
      <c r="M166" s="136">
        <v>8385.82</v>
      </c>
      <c r="N166" s="136">
        <v>8385.82</v>
      </c>
      <c r="O166" s="136">
        <v>8385.82</v>
      </c>
      <c r="P166" s="136">
        <v>8385.82</v>
      </c>
      <c r="Q166" s="136">
        <v>8385.82</v>
      </c>
      <c r="R166" s="136">
        <v>8385.82</v>
      </c>
      <c r="S166" s="136">
        <v>8385.82</v>
      </c>
      <c r="T166" s="136">
        <v>8385.82</v>
      </c>
      <c r="U166" s="136">
        <v>8385.82</v>
      </c>
      <c r="V166" s="136">
        <v>8385.82</v>
      </c>
      <c r="W166" s="136">
        <v>8385.82</v>
      </c>
      <c r="X166" s="136">
        <v>8385.82</v>
      </c>
      <c r="Y166" s="136">
        <v>8385.82</v>
      </c>
      <c r="Z166" s="136">
        <v>8385.82</v>
      </c>
      <c r="AA166" s="136">
        <v>8385.82</v>
      </c>
      <c r="AB166" s="136">
        <v>8385.82</v>
      </c>
      <c r="AC166" s="136">
        <v>8385.82</v>
      </c>
      <c r="AD166" s="136">
        <v>8385.82</v>
      </c>
      <c r="AE166" s="136">
        <v>8385.82</v>
      </c>
      <c r="AF166" s="136">
        <v>8385.82</v>
      </c>
      <c r="AG166" s="136">
        <v>8385.82</v>
      </c>
      <c r="AH166" s="136">
        <v>8385.82</v>
      </c>
      <c r="AI166" s="136">
        <v>8385.82</v>
      </c>
      <c r="AJ166" s="136">
        <v>8385.82</v>
      </c>
      <c r="AK166" s="136">
        <v>8386</v>
      </c>
      <c r="AL166" s="136">
        <v>8386</v>
      </c>
      <c r="AM166" s="136">
        <v>8385.82</v>
      </c>
      <c r="AN166" s="136">
        <v>8385.82</v>
      </c>
      <c r="AO166" s="136">
        <v>5582</v>
      </c>
      <c r="AP166" s="136">
        <v>5582.4403739999998</v>
      </c>
      <c r="AQ166" s="136">
        <v>5582.4403739999998</v>
      </c>
      <c r="AR166" s="136">
        <v>5582.4403739999998</v>
      </c>
      <c r="AS166" s="136">
        <v>5582.4403739999998</v>
      </c>
      <c r="AT166" s="136">
        <v>5582.4403739999998</v>
      </c>
      <c r="AU166" s="136">
        <v>5582.4403739999998</v>
      </c>
      <c r="AV166" s="136">
        <v>5582.4403739999998</v>
      </c>
      <c r="AW166" s="136">
        <v>5582.4403739999998</v>
      </c>
      <c r="AX166" s="137">
        <v>5582.4403739999998</v>
      </c>
      <c r="AY166" s="136">
        <v>5582.4403739999998</v>
      </c>
      <c r="AZ166" s="136">
        <v>5582.4403739999998</v>
      </c>
      <c r="BA166" s="136">
        <v>5582.4403739999998</v>
      </c>
      <c r="BB166" s="136">
        <v>5582.4403739999998</v>
      </c>
      <c r="BC166" s="136">
        <v>5582.4403739999998</v>
      </c>
      <c r="BD166" s="136">
        <v>5582.4403739999998</v>
      </c>
      <c r="BE166" s="136">
        <v>5582.4403739999998</v>
      </c>
      <c r="BF166" s="136">
        <v>5582.4403739999998</v>
      </c>
      <c r="BG166" s="137">
        <v>5582.4403739999998</v>
      </c>
      <c r="BH166" s="137">
        <v>5582.4403739999998</v>
      </c>
      <c r="BI166" s="137">
        <v>5582.4403739999998</v>
      </c>
      <c r="BJ166" s="137">
        <v>5582.4403739999998</v>
      </c>
      <c r="BK166" s="137">
        <v>5582.4403739999998</v>
      </c>
      <c r="BL166" s="137">
        <v>5582.4403739999998</v>
      </c>
      <c r="BM166" s="137">
        <v>5582.4403739999998</v>
      </c>
      <c r="BN166" s="137">
        <v>5582.4403739999998</v>
      </c>
      <c r="BO166" s="137">
        <v>5582.4403739999998</v>
      </c>
      <c r="BP166" s="137">
        <v>5582.4403739999998</v>
      </c>
      <c r="BQ166" s="137">
        <v>5582.4403739999998</v>
      </c>
      <c r="BR166" s="137">
        <v>5582.4403739999998</v>
      </c>
      <c r="BS166" s="137">
        <v>5582.4403739999998</v>
      </c>
      <c r="BT166" s="137">
        <v>5582.4403739999998</v>
      </c>
    </row>
    <row r="167" spans="1:72 16122:16122" ht="15" hidden="1" customHeight="1" outlineLevel="1" x14ac:dyDescent="0.3">
      <c r="A167" t="s">
        <v>73</v>
      </c>
      <c r="B167" s="134" t="s">
        <v>235</v>
      </c>
      <c r="C167" s="135">
        <v>2923</v>
      </c>
      <c r="D167" s="135">
        <v>2923</v>
      </c>
      <c r="E167" s="135">
        <v>2923</v>
      </c>
      <c r="F167" s="135">
        <v>2923</v>
      </c>
      <c r="G167" s="135">
        <v>2923</v>
      </c>
      <c r="H167" s="135">
        <v>2923</v>
      </c>
      <c r="I167" s="135">
        <v>2923</v>
      </c>
      <c r="J167" s="135">
        <v>2923</v>
      </c>
      <c r="K167" s="135">
        <v>2923</v>
      </c>
      <c r="L167" s="135">
        <v>2923</v>
      </c>
      <c r="M167" s="135">
        <v>2923</v>
      </c>
      <c r="N167" s="135">
        <v>2923</v>
      </c>
      <c r="O167" s="135">
        <v>2923</v>
      </c>
      <c r="P167" s="135">
        <v>2923</v>
      </c>
      <c r="Q167" s="135">
        <v>2923</v>
      </c>
      <c r="R167" s="135">
        <v>2923</v>
      </c>
      <c r="S167" s="135">
        <v>2923</v>
      </c>
      <c r="T167" s="135">
        <v>2923</v>
      </c>
      <c r="U167" s="135">
        <v>2923</v>
      </c>
      <c r="V167" s="135">
        <v>2923</v>
      </c>
      <c r="W167" s="135">
        <v>2923</v>
      </c>
      <c r="X167" s="135">
        <v>2923</v>
      </c>
      <c r="Y167" s="135">
        <v>2923</v>
      </c>
      <c r="Z167" s="135">
        <v>2923</v>
      </c>
      <c r="AA167" s="135">
        <v>2923</v>
      </c>
      <c r="AB167" s="135">
        <v>2923</v>
      </c>
      <c r="AC167" s="135">
        <v>2923</v>
      </c>
      <c r="AD167" s="135">
        <v>2923</v>
      </c>
      <c r="AE167" s="135">
        <v>2923</v>
      </c>
      <c r="AF167" s="135">
        <v>2923.36</v>
      </c>
      <c r="AG167" s="135">
        <v>2923</v>
      </c>
      <c r="AH167" s="135">
        <v>2923</v>
      </c>
      <c r="AI167" s="135">
        <v>2923.36</v>
      </c>
      <c r="AJ167" s="136">
        <v>2923.36</v>
      </c>
      <c r="AK167" s="136">
        <v>2923</v>
      </c>
      <c r="AL167" s="136">
        <v>2923</v>
      </c>
      <c r="AM167" s="136">
        <v>2923.36</v>
      </c>
      <c r="AN167" s="136">
        <v>2923</v>
      </c>
      <c r="AO167" s="136">
        <v>1946</v>
      </c>
      <c r="AP167" s="136">
        <v>1946.0807520000001</v>
      </c>
      <c r="AQ167" s="136">
        <v>1946.0807520000001</v>
      </c>
      <c r="AR167" s="136">
        <v>1946.0807520000001</v>
      </c>
      <c r="AS167" s="136">
        <v>1946.0807520000001</v>
      </c>
      <c r="AT167" s="136">
        <v>1946.0807520000001</v>
      </c>
      <c r="AU167" s="136">
        <v>1946.0807520000001</v>
      </c>
      <c r="AV167" s="136">
        <v>1946.0807520000001</v>
      </c>
      <c r="AW167" s="136">
        <v>1946.0807520000001</v>
      </c>
      <c r="AX167" s="137">
        <v>0</v>
      </c>
      <c r="AY167" s="136">
        <v>0</v>
      </c>
      <c r="AZ167" s="136">
        <v>0</v>
      </c>
      <c r="BA167" s="136">
        <v>0</v>
      </c>
      <c r="BB167" s="136">
        <v>0</v>
      </c>
      <c r="BC167" s="136">
        <v>0</v>
      </c>
      <c r="BD167" s="136">
        <v>0</v>
      </c>
      <c r="BE167" s="136">
        <v>0</v>
      </c>
      <c r="BF167" s="136">
        <v>0</v>
      </c>
      <c r="BG167" s="137">
        <v>0</v>
      </c>
      <c r="BH167" s="137">
        <v>0</v>
      </c>
      <c r="BI167" s="137">
        <v>0</v>
      </c>
      <c r="BJ167" s="137">
        <v>0</v>
      </c>
      <c r="BK167" s="137">
        <v>0</v>
      </c>
      <c r="BL167" s="137">
        <v>0</v>
      </c>
      <c r="BM167" s="137">
        <v>0</v>
      </c>
      <c r="BN167" s="137">
        <v>0</v>
      </c>
      <c r="BO167" s="137">
        <v>0</v>
      </c>
      <c r="BP167" s="137">
        <v>0</v>
      </c>
      <c r="BQ167" s="137">
        <v>0</v>
      </c>
      <c r="BR167" s="137">
        <v>0</v>
      </c>
      <c r="BS167" s="137">
        <v>0</v>
      </c>
      <c r="BT167" s="137">
        <v>0</v>
      </c>
    </row>
    <row r="168" spans="1:72 16122:16122" ht="15" hidden="1" customHeight="1" outlineLevel="1" x14ac:dyDescent="0.3">
      <c r="A168" t="s">
        <v>315</v>
      </c>
      <c r="B168" s="134" t="s">
        <v>237</v>
      </c>
      <c r="C168" s="136">
        <v>5292.53</v>
      </c>
      <c r="D168" s="136">
        <v>5292.53</v>
      </c>
      <c r="E168" s="136">
        <v>5292.53</v>
      </c>
      <c r="F168" s="136">
        <v>5292.53</v>
      </c>
      <c r="G168" s="136">
        <v>5292.53</v>
      </c>
      <c r="H168" s="136">
        <v>5292.53</v>
      </c>
      <c r="I168" s="136">
        <v>5292.53</v>
      </c>
      <c r="J168" s="136">
        <v>5292.53</v>
      </c>
      <c r="K168" s="136">
        <v>5292.53</v>
      </c>
      <c r="L168" s="136">
        <v>5292.53</v>
      </c>
      <c r="M168" s="136">
        <v>5292.53</v>
      </c>
      <c r="N168" s="136">
        <v>5292.53</v>
      </c>
      <c r="O168" s="136">
        <v>5292.53</v>
      </c>
      <c r="P168" s="136">
        <v>5292.53</v>
      </c>
      <c r="Q168" s="136">
        <v>5292.53</v>
      </c>
      <c r="R168" s="136">
        <v>5292.53</v>
      </c>
      <c r="S168" s="136">
        <v>5292.53</v>
      </c>
      <c r="T168" s="136">
        <v>5292.53</v>
      </c>
      <c r="U168" s="136">
        <v>5292.53</v>
      </c>
      <c r="V168" s="136">
        <v>5292.53</v>
      </c>
      <c r="W168" s="136">
        <v>5292.53</v>
      </c>
      <c r="X168" s="136">
        <v>5292.53</v>
      </c>
      <c r="Y168" s="136">
        <v>5292.53</v>
      </c>
      <c r="Z168" s="136">
        <v>5292.53</v>
      </c>
      <c r="AA168" s="136">
        <v>5292.53</v>
      </c>
      <c r="AB168" s="136">
        <v>5292.53</v>
      </c>
      <c r="AC168" s="136">
        <v>5292.53</v>
      </c>
      <c r="AD168" s="136">
        <v>5292.53</v>
      </c>
      <c r="AE168" s="136">
        <v>5292.53</v>
      </c>
      <c r="AF168" s="136">
        <v>5292.53</v>
      </c>
      <c r="AG168" s="136">
        <v>5292.53</v>
      </c>
      <c r="AH168" s="136">
        <v>5292.53</v>
      </c>
      <c r="AI168" s="136">
        <v>5292.53</v>
      </c>
      <c r="AJ168" s="136">
        <v>5292.53</v>
      </c>
      <c r="AK168" s="136">
        <v>5292.53</v>
      </c>
      <c r="AL168" s="136">
        <v>5292.53</v>
      </c>
      <c r="AM168" s="136">
        <v>5292.53</v>
      </c>
      <c r="AN168" s="136">
        <v>5293</v>
      </c>
      <c r="AO168" s="136">
        <v>5293</v>
      </c>
      <c r="AP168" s="136">
        <v>5292.5300000000007</v>
      </c>
      <c r="AQ168" s="136">
        <v>5292.5300000000007</v>
      </c>
      <c r="AR168" s="136">
        <v>5292.5300000000007</v>
      </c>
      <c r="AS168" s="136">
        <v>5292.5300000000007</v>
      </c>
      <c r="AT168" s="136">
        <v>5292.5300000000007</v>
      </c>
      <c r="AU168" s="136">
        <v>5292.5300000000007</v>
      </c>
      <c r="AV168" s="136">
        <v>5003</v>
      </c>
      <c r="AW168" s="136">
        <v>5003</v>
      </c>
      <c r="AX168" s="137">
        <v>5002.53</v>
      </c>
      <c r="AY168" s="136">
        <v>5002.53</v>
      </c>
      <c r="AZ168" s="136">
        <v>5002.53</v>
      </c>
      <c r="BA168" s="136">
        <v>5002.53</v>
      </c>
      <c r="BB168" s="136">
        <v>5002.53</v>
      </c>
      <c r="BC168" s="136">
        <v>5002.53</v>
      </c>
      <c r="BD168" s="136">
        <v>5002.53</v>
      </c>
      <c r="BE168" s="136">
        <v>5002.53</v>
      </c>
      <c r="BF168" s="136">
        <v>5002.53</v>
      </c>
      <c r="BG168" s="137">
        <v>5002.53</v>
      </c>
      <c r="BH168" s="137">
        <v>5002.53</v>
      </c>
      <c r="BI168" s="137">
        <v>5002.53</v>
      </c>
      <c r="BJ168" s="137">
        <v>5002.53</v>
      </c>
      <c r="BK168" s="137">
        <v>5002.53</v>
      </c>
      <c r="BL168" s="137">
        <v>5002.53</v>
      </c>
      <c r="BM168" s="137">
        <v>5002.53</v>
      </c>
      <c r="BN168" s="137">
        <v>5002.53</v>
      </c>
      <c r="BO168" s="137">
        <v>5002.53</v>
      </c>
      <c r="BP168" s="137">
        <v>5002.53</v>
      </c>
      <c r="BQ168" s="137">
        <v>5002.5300000000007</v>
      </c>
      <c r="BR168" s="137">
        <v>5002.5300000000007</v>
      </c>
      <c r="BS168" s="137">
        <v>2693.6699999999996</v>
      </c>
      <c r="BT168" s="137">
        <v>1924.0499999999997</v>
      </c>
    </row>
    <row r="169" spans="1:72 16122:16122" ht="15" hidden="1" customHeight="1" outlineLevel="1" x14ac:dyDescent="0.3">
      <c r="A169" t="s">
        <v>316</v>
      </c>
      <c r="B169" s="134" t="s">
        <v>239</v>
      </c>
      <c r="C169" s="135">
        <v>846.06</v>
      </c>
      <c r="D169" s="135">
        <v>846.06</v>
      </c>
      <c r="E169" s="135">
        <v>846.06</v>
      </c>
      <c r="F169" s="135">
        <v>846.06</v>
      </c>
      <c r="G169" s="135">
        <v>846.06</v>
      </c>
      <c r="H169" s="135">
        <v>846.06</v>
      </c>
      <c r="I169" s="135">
        <v>846.06</v>
      </c>
      <c r="J169" s="135">
        <v>846.06</v>
      </c>
      <c r="K169" s="135">
        <v>846.06</v>
      </c>
      <c r="L169" s="135">
        <v>846.06</v>
      </c>
      <c r="M169" s="135">
        <v>846.06</v>
      </c>
      <c r="N169" s="135">
        <v>846.06</v>
      </c>
      <c r="O169" s="135">
        <v>846.06</v>
      </c>
      <c r="P169" s="135">
        <v>846.06</v>
      </c>
      <c r="Q169" s="135">
        <v>846.06</v>
      </c>
      <c r="R169" s="135">
        <v>846.06</v>
      </c>
      <c r="S169" s="135">
        <v>846.06</v>
      </c>
      <c r="T169" s="135">
        <v>846.06</v>
      </c>
      <c r="U169" s="135">
        <v>846.06</v>
      </c>
      <c r="V169" s="135">
        <v>846.06</v>
      </c>
      <c r="W169" s="135">
        <v>846.06</v>
      </c>
      <c r="X169" s="135">
        <v>846.06</v>
      </c>
      <c r="Y169" s="135">
        <v>846.06</v>
      </c>
      <c r="Z169" s="135">
        <v>846.06</v>
      </c>
      <c r="AA169" s="135">
        <v>846.06</v>
      </c>
      <c r="AB169" s="135">
        <v>846.06</v>
      </c>
      <c r="AC169" s="135">
        <v>846.06</v>
      </c>
      <c r="AD169" s="135">
        <v>846.06</v>
      </c>
      <c r="AE169" s="135">
        <v>846.06</v>
      </c>
      <c r="AF169" s="135">
        <v>846.06</v>
      </c>
      <c r="AG169" s="135">
        <v>846</v>
      </c>
      <c r="AH169" s="135">
        <v>846</v>
      </c>
      <c r="AI169" s="135">
        <v>846.06</v>
      </c>
      <c r="AJ169" s="136">
        <v>846.06</v>
      </c>
      <c r="AK169" s="136">
        <v>846</v>
      </c>
      <c r="AL169" s="136">
        <v>846</v>
      </c>
      <c r="AM169" s="136">
        <v>846.06</v>
      </c>
      <c r="AN169" s="136">
        <v>846</v>
      </c>
      <c r="AO169" s="136">
        <v>563</v>
      </c>
      <c r="AP169" s="136">
        <v>563.22214199999996</v>
      </c>
      <c r="AQ169" s="136">
        <v>563.22214199999996</v>
      </c>
      <c r="AR169" s="136">
        <v>563.22214199999996</v>
      </c>
      <c r="AS169" s="136">
        <v>563.22214199999996</v>
      </c>
      <c r="AT169" s="136">
        <v>563.22214199999996</v>
      </c>
      <c r="AU169" s="136">
        <v>563.22214199999996</v>
      </c>
      <c r="AV169" s="136">
        <v>563.22214199999996</v>
      </c>
      <c r="AW169" s="136">
        <v>563.22214199999996</v>
      </c>
      <c r="AX169" s="137">
        <v>563.22214199999996</v>
      </c>
      <c r="AY169" s="136">
        <v>563.22214199999996</v>
      </c>
      <c r="AZ169" s="136">
        <v>563.22214199999996</v>
      </c>
      <c r="BA169" s="136">
        <v>563.22214199999996</v>
      </c>
      <c r="BB169" s="136">
        <v>563.22214199999996</v>
      </c>
      <c r="BC169" s="136">
        <v>563.22214199999996</v>
      </c>
      <c r="BD169" s="136">
        <v>563.22214199999996</v>
      </c>
      <c r="BE169" s="136">
        <v>563.22214199999996</v>
      </c>
      <c r="BF169" s="136">
        <v>563.22214199999996</v>
      </c>
      <c r="BG169" s="137">
        <v>563.22214199999996</v>
      </c>
      <c r="BH169" s="137">
        <v>563.22214199999996</v>
      </c>
      <c r="BI169" s="137">
        <v>563.22214199999996</v>
      </c>
      <c r="BJ169" s="137">
        <v>563.22214199999996</v>
      </c>
      <c r="BK169" s="137">
        <v>563.22214199999996</v>
      </c>
      <c r="BL169" s="137">
        <v>563.22214199999996</v>
      </c>
      <c r="BM169" s="137">
        <v>563.22214199999996</v>
      </c>
      <c r="BN169" s="137">
        <v>563.22214199999996</v>
      </c>
      <c r="BO169" s="137">
        <v>563.22214199999996</v>
      </c>
      <c r="BP169" s="137">
        <v>563.22214199999996</v>
      </c>
      <c r="BQ169" s="137">
        <v>563.22214199999996</v>
      </c>
      <c r="BR169" s="137">
        <v>563.22214199999996</v>
      </c>
      <c r="BS169" s="137">
        <v>563.22214199999996</v>
      </c>
      <c r="BT169" s="137">
        <v>563.22214199999996</v>
      </c>
    </row>
    <row r="170" spans="1:72 16122:16122" ht="15" hidden="1" customHeight="1" outlineLevel="1" x14ac:dyDescent="0.3">
      <c r="A170" t="s">
        <v>317</v>
      </c>
      <c r="B170" s="134" t="s">
        <v>241</v>
      </c>
      <c r="C170" s="135">
        <v>0</v>
      </c>
      <c r="D170" s="135">
        <v>3850</v>
      </c>
      <c r="E170" s="135">
        <v>3850</v>
      </c>
      <c r="F170" s="135">
        <v>3850</v>
      </c>
      <c r="G170" s="135">
        <v>3850</v>
      </c>
      <c r="H170" s="135">
        <v>3850</v>
      </c>
      <c r="I170" s="135">
        <v>3850</v>
      </c>
      <c r="J170" s="135">
        <v>3850</v>
      </c>
      <c r="K170" s="135">
        <v>3850</v>
      </c>
      <c r="L170" s="135">
        <v>3850</v>
      </c>
      <c r="M170" s="135">
        <v>3850</v>
      </c>
      <c r="N170" s="135">
        <v>3850</v>
      </c>
      <c r="O170" s="135">
        <v>3850</v>
      </c>
      <c r="P170" s="135">
        <v>3850</v>
      </c>
      <c r="Q170" s="135">
        <v>3850</v>
      </c>
      <c r="R170" s="135">
        <v>3850</v>
      </c>
      <c r="S170" s="135">
        <v>3850</v>
      </c>
      <c r="T170" s="135">
        <v>3850</v>
      </c>
      <c r="U170" s="135">
        <v>3850</v>
      </c>
      <c r="V170" s="135">
        <v>3850</v>
      </c>
      <c r="W170" s="135">
        <v>3850</v>
      </c>
      <c r="X170" s="135">
        <v>3850</v>
      </c>
      <c r="Y170" s="135">
        <v>3850</v>
      </c>
      <c r="Z170" s="135">
        <v>3850</v>
      </c>
      <c r="AA170" s="135">
        <v>3850</v>
      </c>
      <c r="AB170" s="135">
        <v>3850</v>
      </c>
      <c r="AC170" s="135">
        <v>3850</v>
      </c>
      <c r="AD170" s="135">
        <v>3850</v>
      </c>
      <c r="AE170" s="135">
        <v>3850</v>
      </c>
      <c r="AF170" s="135">
        <v>3850</v>
      </c>
      <c r="AG170" s="135">
        <v>3850</v>
      </c>
      <c r="AH170" s="135">
        <v>3850</v>
      </c>
      <c r="AI170" s="135">
        <v>3850</v>
      </c>
      <c r="AJ170" s="136">
        <v>3850</v>
      </c>
      <c r="AK170" s="136">
        <v>3850</v>
      </c>
      <c r="AL170" s="136">
        <v>3850</v>
      </c>
      <c r="AM170" s="136">
        <v>3850</v>
      </c>
      <c r="AN170" s="136">
        <v>3850</v>
      </c>
      <c r="AO170" s="136">
        <v>2563</v>
      </c>
      <c r="AP170" s="136">
        <v>2562.9449999999997</v>
      </c>
      <c r="AQ170" s="136">
        <v>2562.9449999999997</v>
      </c>
      <c r="AR170" s="136">
        <v>2562.9449999999997</v>
      </c>
      <c r="AS170" s="136">
        <v>2562.9449999999997</v>
      </c>
      <c r="AT170" s="136">
        <v>2562.9449999999997</v>
      </c>
      <c r="AU170" s="136">
        <v>2562.9449999999997</v>
      </c>
      <c r="AV170" s="136">
        <v>2562.9449999999997</v>
      </c>
      <c r="AW170" s="136">
        <v>2562.9449999999997</v>
      </c>
      <c r="AX170" s="137">
        <v>2562.9449999999997</v>
      </c>
      <c r="AY170" s="136">
        <v>2562.9449999999997</v>
      </c>
      <c r="AZ170" s="136">
        <v>2562.9449999999997</v>
      </c>
      <c r="BA170" s="136">
        <v>2562.9449999999997</v>
      </c>
      <c r="BB170" s="136">
        <v>2562.9449999999997</v>
      </c>
      <c r="BC170" s="136">
        <v>2562.9449999999997</v>
      </c>
      <c r="BD170" s="136">
        <v>2562.9449999999997</v>
      </c>
      <c r="BE170" s="136">
        <v>2562.9449999999997</v>
      </c>
      <c r="BF170" s="136">
        <v>2562.9449999999997</v>
      </c>
      <c r="BG170" s="137">
        <v>2562.9449999999997</v>
      </c>
      <c r="BH170" s="137">
        <v>2562.9449999999997</v>
      </c>
      <c r="BI170" s="137">
        <v>2562.9449999999997</v>
      </c>
      <c r="BJ170" s="137">
        <v>2562.9449999999997</v>
      </c>
      <c r="BK170" s="137">
        <v>2562.9449999999997</v>
      </c>
      <c r="BL170" s="137">
        <v>2562.9449999999997</v>
      </c>
      <c r="BM170" s="137">
        <v>2562.9449999999997</v>
      </c>
      <c r="BN170" s="137">
        <v>0</v>
      </c>
      <c r="BO170" s="137">
        <v>0</v>
      </c>
      <c r="BP170" s="137">
        <v>0</v>
      </c>
      <c r="BQ170" s="137">
        <v>0</v>
      </c>
      <c r="BR170" s="137">
        <v>0</v>
      </c>
      <c r="BS170" s="137">
        <v>0</v>
      </c>
      <c r="BT170" s="137">
        <v>0</v>
      </c>
    </row>
    <row r="171" spans="1:72 16122:16122" ht="15" hidden="1" customHeight="1" outlineLevel="1" x14ac:dyDescent="0.3">
      <c r="A171" t="s">
        <v>73</v>
      </c>
      <c r="B171" s="134" t="s">
        <v>243</v>
      </c>
      <c r="C171" s="135">
        <v>2844</v>
      </c>
      <c r="D171" s="135">
        <v>2844</v>
      </c>
      <c r="E171" s="135">
        <v>2844</v>
      </c>
      <c r="F171" s="135">
        <v>2844</v>
      </c>
      <c r="G171" s="135">
        <v>2844</v>
      </c>
      <c r="H171" s="135">
        <v>2844</v>
      </c>
      <c r="I171" s="135">
        <v>2844</v>
      </c>
      <c r="J171" s="135">
        <v>2844</v>
      </c>
      <c r="K171" s="135">
        <v>2844</v>
      </c>
      <c r="L171" s="135">
        <v>2844</v>
      </c>
      <c r="M171" s="135">
        <v>2844</v>
      </c>
      <c r="N171" s="135">
        <v>2844</v>
      </c>
      <c r="O171" s="135">
        <v>2844</v>
      </c>
      <c r="P171" s="135">
        <v>2844</v>
      </c>
      <c r="Q171" s="135">
        <v>2844</v>
      </c>
      <c r="R171" s="135">
        <v>2844</v>
      </c>
      <c r="S171" s="135">
        <v>2844</v>
      </c>
      <c r="T171" s="135">
        <v>2844</v>
      </c>
      <c r="U171" s="135">
        <v>2844</v>
      </c>
      <c r="V171" s="135">
        <v>2844</v>
      </c>
      <c r="W171" s="135">
        <v>2844</v>
      </c>
      <c r="X171" s="135">
        <v>2844.05</v>
      </c>
      <c r="Y171" s="135">
        <v>2844.05</v>
      </c>
      <c r="Z171" s="135">
        <v>2844.05</v>
      </c>
      <c r="AA171" s="135">
        <v>2844.05</v>
      </c>
      <c r="AB171" s="135">
        <v>2844.05</v>
      </c>
      <c r="AC171" s="135">
        <v>2844.05</v>
      </c>
      <c r="AD171" s="135">
        <v>2844</v>
      </c>
      <c r="AE171" s="135">
        <v>2844</v>
      </c>
      <c r="AF171" s="135">
        <v>0</v>
      </c>
      <c r="AG171" s="135">
        <v>0</v>
      </c>
      <c r="AH171" s="135">
        <v>0</v>
      </c>
      <c r="AI171" s="135">
        <v>0</v>
      </c>
      <c r="AJ171" s="135">
        <v>0</v>
      </c>
      <c r="AK171" s="135">
        <v>0</v>
      </c>
      <c r="AL171" s="135">
        <v>0</v>
      </c>
      <c r="AM171" s="135">
        <v>0</v>
      </c>
      <c r="AN171" s="136">
        <v>0</v>
      </c>
      <c r="AO171" s="136">
        <v>0</v>
      </c>
      <c r="AP171" s="136">
        <v>0</v>
      </c>
      <c r="AQ171" s="136">
        <v>0</v>
      </c>
      <c r="AR171" s="136">
        <v>0</v>
      </c>
      <c r="AS171" s="136">
        <v>0</v>
      </c>
      <c r="AT171" s="136">
        <v>0</v>
      </c>
      <c r="AU171" s="136">
        <v>0</v>
      </c>
      <c r="AV171" s="136">
        <v>0</v>
      </c>
      <c r="AW171" s="136">
        <v>0</v>
      </c>
      <c r="AX171" s="137">
        <v>0</v>
      </c>
      <c r="AY171" s="136">
        <v>0</v>
      </c>
      <c r="AZ171" s="136">
        <v>0</v>
      </c>
      <c r="BA171" s="136">
        <v>0</v>
      </c>
      <c r="BB171" s="136">
        <v>0</v>
      </c>
      <c r="BC171" s="136">
        <v>0</v>
      </c>
      <c r="BD171" s="136">
        <v>0</v>
      </c>
      <c r="BE171" s="136">
        <v>0</v>
      </c>
      <c r="BF171" s="136">
        <v>0</v>
      </c>
      <c r="BG171" s="137">
        <v>0</v>
      </c>
      <c r="BH171" s="137">
        <v>0</v>
      </c>
      <c r="BI171" s="137">
        <v>0</v>
      </c>
      <c r="BJ171" s="137">
        <v>0</v>
      </c>
      <c r="BK171" s="137">
        <v>0</v>
      </c>
      <c r="BL171" s="137">
        <v>0</v>
      </c>
      <c r="BM171" s="137">
        <v>0</v>
      </c>
      <c r="BN171" s="137">
        <v>0</v>
      </c>
      <c r="BO171" s="137">
        <v>0</v>
      </c>
      <c r="BP171" s="137">
        <v>0</v>
      </c>
      <c r="BQ171" s="137">
        <v>0</v>
      </c>
      <c r="BR171" s="137">
        <v>0</v>
      </c>
      <c r="BS171" s="137">
        <v>0</v>
      </c>
      <c r="BT171" s="137">
        <v>0</v>
      </c>
    </row>
    <row r="172" spans="1:72 16122:16122" ht="15" hidden="1" customHeight="1" outlineLevel="1" x14ac:dyDescent="0.3">
      <c r="A172" t="s">
        <v>318</v>
      </c>
      <c r="B172" s="134" t="s">
        <v>245</v>
      </c>
      <c r="C172" s="135">
        <v>0</v>
      </c>
      <c r="D172" s="135">
        <v>0</v>
      </c>
      <c r="E172" s="135">
        <v>0</v>
      </c>
      <c r="F172" s="135">
        <v>0</v>
      </c>
      <c r="G172" s="135">
        <v>0</v>
      </c>
      <c r="H172" s="135">
        <v>0</v>
      </c>
      <c r="I172" s="135">
        <v>0</v>
      </c>
      <c r="J172" s="135">
        <v>0</v>
      </c>
      <c r="K172" s="135">
        <v>0</v>
      </c>
      <c r="L172" s="135">
        <v>0</v>
      </c>
      <c r="M172" s="135">
        <v>0</v>
      </c>
      <c r="N172" s="135">
        <v>0</v>
      </c>
      <c r="O172" s="135">
        <v>0</v>
      </c>
      <c r="P172" s="135">
        <v>0</v>
      </c>
      <c r="Q172" s="135">
        <v>0</v>
      </c>
      <c r="R172" s="135">
        <v>0</v>
      </c>
      <c r="S172" s="135">
        <v>0</v>
      </c>
      <c r="T172" s="135">
        <v>0</v>
      </c>
      <c r="U172" s="135">
        <v>0</v>
      </c>
      <c r="V172" s="135">
        <v>0</v>
      </c>
      <c r="W172" s="135">
        <v>0</v>
      </c>
      <c r="X172" s="135">
        <v>0</v>
      </c>
      <c r="Y172" s="135">
        <v>0</v>
      </c>
      <c r="Z172" s="135">
        <v>0</v>
      </c>
      <c r="AA172" s="135">
        <v>0</v>
      </c>
      <c r="AB172" s="135">
        <v>0</v>
      </c>
      <c r="AC172" s="135">
        <v>0</v>
      </c>
      <c r="AD172" s="135">
        <v>0</v>
      </c>
      <c r="AE172" s="135">
        <v>0</v>
      </c>
      <c r="AF172" s="135">
        <v>0</v>
      </c>
      <c r="AG172" s="135">
        <v>0</v>
      </c>
      <c r="AH172" s="135">
        <v>0</v>
      </c>
      <c r="AI172" s="135">
        <v>0</v>
      </c>
      <c r="AJ172" s="135">
        <v>0</v>
      </c>
      <c r="AK172" s="135">
        <v>0</v>
      </c>
      <c r="AL172" s="135">
        <v>0</v>
      </c>
      <c r="AM172" s="135">
        <v>0</v>
      </c>
      <c r="AN172" s="135">
        <v>0</v>
      </c>
      <c r="AO172" s="135">
        <v>0</v>
      </c>
      <c r="AP172" s="135">
        <v>0</v>
      </c>
      <c r="AQ172" s="135">
        <v>0</v>
      </c>
      <c r="AR172" s="135">
        <v>0</v>
      </c>
      <c r="AS172" s="135">
        <v>0</v>
      </c>
      <c r="AT172" s="135">
        <v>0</v>
      </c>
      <c r="AU172" s="135">
        <v>0</v>
      </c>
      <c r="AV172" s="136">
        <v>12162</v>
      </c>
      <c r="AW172" s="136">
        <v>12162</v>
      </c>
      <c r="AX172" s="137">
        <v>12162</v>
      </c>
      <c r="AY172" s="136">
        <v>12162</v>
      </c>
      <c r="AZ172" s="136">
        <v>12162</v>
      </c>
      <c r="BA172" s="136">
        <v>12162</v>
      </c>
      <c r="BB172" s="136">
        <v>12162</v>
      </c>
      <c r="BC172" s="136">
        <v>12162</v>
      </c>
      <c r="BD172" s="136">
        <v>12162</v>
      </c>
      <c r="BE172" s="136">
        <v>12162</v>
      </c>
      <c r="BF172" s="136">
        <v>12162</v>
      </c>
      <c r="BG172" s="137">
        <v>12162</v>
      </c>
      <c r="BH172" s="137">
        <v>12162.05</v>
      </c>
      <c r="BI172" s="137">
        <v>12162.05</v>
      </c>
      <c r="BJ172" s="137">
        <v>12162.05</v>
      </c>
      <c r="BK172" s="137">
        <v>12162.05</v>
      </c>
      <c r="BL172" s="137">
        <v>12162.05</v>
      </c>
      <c r="BM172" s="137">
        <v>12162.05</v>
      </c>
      <c r="BN172" s="137">
        <v>12162.05</v>
      </c>
      <c r="BO172" s="137">
        <v>12162.05</v>
      </c>
      <c r="BP172" s="137">
        <v>12162.05</v>
      </c>
      <c r="BQ172" s="137">
        <v>12162.050000000003</v>
      </c>
      <c r="BR172" s="137">
        <v>12162.050000000003</v>
      </c>
      <c r="BS172" s="137">
        <v>12162.050000000003</v>
      </c>
      <c r="BT172" s="137">
        <v>12162.050000000003</v>
      </c>
    </row>
    <row r="173" spans="1:72 16122:16122" s="131" customFormat="1" ht="15" customHeight="1" collapsed="1" x14ac:dyDescent="0.3">
      <c r="B173" s="140" t="s">
        <v>246</v>
      </c>
      <c r="C173" s="132">
        <f t="shared" ref="C173:BN173" si="68">SUM(C174:C181)</f>
        <v>38642</v>
      </c>
      <c r="D173" s="132">
        <f t="shared" si="68"/>
        <v>38642</v>
      </c>
      <c r="E173" s="132">
        <f t="shared" si="68"/>
        <v>38642</v>
      </c>
      <c r="F173" s="132">
        <f t="shared" si="68"/>
        <v>38642</v>
      </c>
      <c r="G173" s="132">
        <f t="shared" si="68"/>
        <v>38642</v>
      </c>
      <c r="H173" s="132">
        <f t="shared" si="68"/>
        <v>38642</v>
      </c>
      <c r="I173" s="132">
        <f t="shared" si="68"/>
        <v>38164</v>
      </c>
      <c r="J173" s="132">
        <f t="shared" si="68"/>
        <v>41851</v>
      </c>
      <c r="K173" s="132">
        <f t="shared" si="68"/>
        <v>41851</v>
      </c>
      <c r="L173" s="132">
        <f t="shared" si="68"/>
        <v>41851</v>
      </c>
      <c r="M173" s="132">
        <f t="shared" si="68"/>
        <v>42698</v>
      </c>
      <c r="N173" s="132">
        <f t="shared" si="68"/>
        <v>42698</v>
      </c>
      <c r="O173" s="132">
        <f t="shared" si="68"/>
        <v>42698</v>
      </c>
      <c r="P173" s="132">
        <f t="shared" si="68"/>
        <v>42698</v>
      </c>
      <c r="Q173" s="132">
        <f t="shared" si="68"/>
        <v>45781</v>
      </c>
      <c r="R173" s="132">
        <f t="shared" si="68"/>
        <v>45781</v>
      </c>
      <c r="S173" s="132">
        <f t="shared" si="68"/>
        <v>45781</v>
      </c>
      <c r="T173" s="132">
        <f t="shared" si="68"/>
        <v>66517</v>
      </c>
      <c r="U173" s="132">
        <f t="shared" si="68"/>
        <v>66517</v>
      </c>
      <c r="V173" s="132">
        <f t="shared" si="68"/>
        <v>75198</v>
      </c>
      <c r="W173" s="132">
        <f t="shared" si="68"/>
        <v>75198</v>
      </c>
      <c r="X173" s="132">
        <f t="shared" si="68"/>
        <v>73680</v>
      </c>
      <c r="Y173" s="132">
        <f t="shared" si="68"/>
        <v>73680.061155999996</v>
      </c>
      <c r="Z173" s="132">
        <f t="shared" si="68"/>
        <v>117315.061156</v>
      </c>
      <c r="AA173" s="132">
        <f t="shared" si="68"/>
        <v>117315.061156</v>
      </c>
      <c r="AB173" s="132">
        <f t="shared" si="68"/>
        <v>117315.061156</v>
      </c>
      <c r="AC173" s="132">
        <f t="shared" si="68"/>
        <v>118006.34216500001</v>
      </c>
      <c r="AD173" s="132">
        <f t="shared" si="68"/>
        <v>118006</v>
      </c>
      <c r="AE173" s="132">
        <f t="shared" si="68"/>
        <v>118006</v>
      </c>
      <c r="AF173" s="132">
        <f t="shared" si="68"/>
        <v>135839.62227015995</v>
      </c>
      <c r="AG173" s="132">
        <f t="shared" si="68"/>
        <v>135839.62227015995</v>
      </c>
      <c r="AH173" s="132">
        <f t="shared" si="68"/>
        <v>134884.80077015999</v>
      </c>
      <c r="AI173" s="132">
        <f t="shared" si="68"/>
        <v>134857.59803200001</v>
      </c>
      <c r="AJ173" s="132">
        <f t="shared" si="68"/>
        <v>149128.715861</v>
      </c>
      <c r="AK173" s="132">
        <f t="shared" si="68"/>
        <v>149073</v>
      </c>
      <c r="AL173" s="132">
        <f t="shared" si="68"/>
        <v>149070</v>
      </c>
      <c r="AM173" s="132">
        <f t="shared" si="68"/>
        <v>148603.1259675</v>
      </c>
      <c r="AN173" s="132">
        <f t="shared" si="68"/>
        <v>148643</v>
      </c>
      <c r="AO173" s="132">
        <f t="shared" si="68"/>
        <v>148505</v>
      </c>
      <c r="AP173" s="132">
        <f t="shared" si="68"/>
        <v>149328.54668699999</v>
      </c>
      <c r="AQ173" s="132">
        <f t="shared" si="68"/>
        <v>140821.66738699996</v>
      </c>
      <c r="AR173" s="132">
        <f t="shared" si="68"/>
        <v>141533.10520799999</v>
      </c>
      <c r="AS173" s="132">
        <f t="shared" si="68"/>
        <v>141464.08938549997</v>
      </c>
      <c r="AT173" s="132">
        <f t="shared" si="68"/>
        <v>141515.80938549998</v>
      </c>
      <c r="AU173" s="132">
        <f t="shared" si="68"/>
        <v>141165.607304</v>
      </c>
      <c r="AV173" s="132">
        <f t="shared" si="68"/>
        <v>141292.51684733335</v>
      </c>
      <c r="AW173" s="132">
        <f t="shared" si="68"/>
        <v>141564</v>
      </c>
      <c r="AX173" s="132">
        <f t="shared" si="68"/>
        <v>141557</v>
      </c>
      <c r="AY173" s="132">
        <f t="shared" si="68"/>
        <v>141574.514024</v>
      </c>
      <c r="AZ173" s="132">
        <f t="shared" si="68"/>
        <v>141580.88878466666</v>
      </c>
      <c r="BA173" s="132">
        <f t="shared" si="68"/>
        <v>141592.60481633333</v>
      </c>
      <c r="BB173" s="132">
        <f t="shared" si="68"/>
        <v>141667</v>
      </c>
      <c r="BC173" s="132">
        <f t="shared" si="68"/>
        <v>141586.607613</v>
      </c>
      <c r="BD173" s="132">
        <f t="shared" si="68"/>
        <v>141586.607613</v>
      </c>
      <c r="BE173" s="132">
        <f t="shared" si="68"/>
        <v>141453.137613</v>
      </c>
      <c r="BF173" s="132">
        <f t="shared" si="68"/>
        <v>126767.26058133334</v>
      </c>
      <c r="BG173" s="132">
        <f t="shared" si="68"/>
        <v>126805.71719433332</v>
      </c>
      <c r="BH173" s="132">
        <f t="shared" si="68"/>
        <v>126825.55571099999</v>
      </c>
      <c r="BI173" s="132">
        <f t="shared" si="68"/>
        <v>126835.752788</v>
      </c>
      <c r="BJ173" s="132">
        <f t="shared" si="68"/>
        <v>126858.04119166666</v>
      </c>
      <c r="BK173" s="132">
        <f t="shared" si="68"/>
        <v>126954.64776600001</v>
      </c>
      <c r="BL173" s="132">
        <f t="shared" si="68"/>
        <v>127038.572241</v>
      </c>
      <c r="BM173" s="132">
        <f t="shared" si="68"/>
        <v>127163.324609</v>
      </c>
      <c r="BN173" s="132">
        <f t="shared" si="68"/>
        <v>127166.87001300001</v>
      </c>
      <c r="BO173" s="132">
        <f t="shared" ref="BO173" si="69">SUM(BO174:BO181)</f>
        <v>127173.64967700001</v>
      </c>
      <c r="BP173" s="132">
        <v>29270.962478000001</v>
      </c>
      <c r="BQ173" s="132">
        <v>29308.965119287903</v>
      </c>
      <c r="BR173" s="132">
        <v>29380.791875000006</v>
      </c>
      <c r="BS173" s="132">
        <v>29373.827489000003</v>
      </c>
      <c r="BT173" s="132">
        <f>SUM(BT174:BT181)</f>
        <v>29371.553945000003</v>
      </c>
    </row>
    <row r="174" spans="1:72 16122:16122" ht="15" hidden="1" customHeight="1" outlineLevel="1" x14ac:dyDescent="0.3">
      <c r="A174" t="s">
        <v>319</v>
      </c>
      <c r="B174" s="134" t="s">
        <v>248</v>
      </c>
      <c r="C174" s="135">
        <v>4443</v>
      </c>
      <c r="D174" s="135">
        <v>4443</v>
      </c>
      <c r="E174" s="135">
        <v>4443</v>
      </c>
      <c r="F174" s="135">
        <v>4443</v>
      </c>
      <c r="G174" s="135">
        <v>4443</v>
      </c>
      <c r="H174" s="135">
        <v>4443</v>
      </c>
      <c r="I174" s="135">
        <v>4759</v>
      </c>
      <c r="J174" s="135">
        <v>8446</v>
      </c>
      <c r="K174" s="135">
        <v>8446</v>
      </c>
      <c r="L174" s="135">
        <v>8446</v>
      </c>
      <c r="M174" s="135">
        <v>9293</v>
      </c>
      <c r="N174" s="135">
        <v>9293</v>
      </c>
      <c r="O174" s="135">
        <v>9293</v>
      </c>
      <c r="P174" s="135">
        <v>9293</v>
      </c>
      <c r="Q174" s="135">
        <v>9293</v>
      </c>
      <c r="R174" s="135">
        <v>9293</v>
      </c>
      <c r="S174" s="135">
        <v>9293</v>
      </c>
      <c r="T174" s="135">
        <v>9293</v>
      </c>
      <c r="U174" s="135">
        <v>9293</v>
      </c>
      <c r="V174" s="135">
        <v>9293</v>
      </c>
      <c r="W174" s="135">
        <v>9293</v>
      </c>
      <c r="X174" s="135">
        <v>9293</v>
      </c>
      <c r="Y174" s="135">
        <v>9292.8302999999996</v>
      </c>
      <c r="Z174" s="135">
        <v>9292.8302999999996</v>
      </c>
      <c r="AA174" s="135">
        <v>9292.8302999999996</v>
      </c>
      <c r="AB174" s="135">
        <v>9292.8302999999996</v>
      </c>
      <c r="AC174" s="135">
        <v>9294.7257000000009</v>
      </c>
      <c r="AD174" s="135">
        <v>9295</v>
      </c>
      <c r="AE174" s="135">
        <v>9295</v>
      </c>
      <c r="AF174" s="135">
        <v>9294.7699260000009</v>
      </c>
      <c r="AG174" s="135">
        <v>9294.7699260000009</v>
      </c>
      <c r="AH174" s="135">
        <v>9294.7699260000009</v>
      </c>
      <c r="AI174" s="135">
        <v>9294.7193820000011</v>
      </c>
      <c r="AJ174" s="135">
        <v>9383.1777000000002</v>
      </c>
      <c r="AK174" s="135">
        <v>9383</v>
      </c>
      <c r="AL174" s="135">
        <v>9383</v>
      </c>
      <c r="AM174" s="135">
        <v>8915.2318709999981</v>
      </c>
      <c r="AN174" s="136">
        <v>8915</v>
      </c>
      <c r="AO174" s="136">
        <v>8915</v>
      </c>
      <c r="AP174" s="136">
        <v>8915.2318709999981</v>
      </c>
      <c r="AQ174" s="136">
        <v>8915.231871</v>
      </c>
      <c r="AR174" s="136">
        <v>9174.9616919999989</v>
      </c>
      <c r="AS174" s="136">
        <v>9086.4623069999998</v>
      </c>
      <c r="AT174" s="136">
        <v>9086.4623069999998</v>
      </c>
      <c r="AU174" s="136">
        <v>9086.4623069999998</v>
      </c>
      <c r="AV174" s="136">
        <v>9150</v>
      </c>
      <c r="AW174" s="137">
        <v>9413</v>
      </c>
      <c r="AX174" s="137">
        <v>9413</v>
      </c>
      <c r="AY174" s="136">
        <v>9414.4486410000009</v>
      </c>
      <c r="AZ174" s="136">
        <v>9414.4486410000009</v>
      </c>
      <c r="BA174" s="136">
        <v>9414.1380060000029</v>
      </c>
      <c r="BB174" s="137">
        <v>9414</v>
      </c>
      <c r="BC174" s="136">
        <v>9413.5167360000014</v>
      </c>
      <c r="BD174" s="136">
        <v>9413.5167360000014</v>
      </c>
      <c r="BE174" s="136">
        <v>9413.5167360000014</v>
      </c>
      <c r="BF174" s="136">
        <v>9371.3988420000005</v>
      </c>
      <c r="BG174" s="137">
        <v>9409.8554550000008</v>
      </c>
      <c r="BH174" s="137">
        <v>9409.8554550000008</v>
      </c>
      <c r="BI174" s="137">
        <v>9412.8133320000015</v>
      </c>
      <c r="BJ174" s="137">
        <v>9418.7290859999994</v>
      </c>
      <c r="BK174" s="137">
        <v>9481.9059269999998</v>
      </c>
      <c r="BL174" s="137">
        <v>9481.9059269999998</v>
      </c>
      <c r="BM174" s="137">
        <v>9481.9059269999998</v>
      </c>
      <c r="BN174" s="137">
        <v>9481.9059270000016</v>
      </c>
      <c r="BO174" s="137">
        <v>9481.9059270000016</v>
      </c>
      <c r="BP174" s="137">
        <v>3862.9987110000002</v>
      </c>
      <c r="BQ174" s="137">
        <v>3864.1221922879013</v>
      </c>
      <c r="BR174" s="137">
        <v>3868.2565350000009</v>
      </c>
      <c r="BS174" s="137">
        <v>3861.2921490000008</v>
      </c>
      <c r="BT174" s="137">
        <v>3861.2921490000012</v>
      </c>
    </row>
    <row r="175" spans="1:72 16122:16122" ht="15" hidden="1" customHeight="1" outlineLevel="1" x14ac:dyDescent="0.3">
      <c r="A175" t="s">
        <v>320</v>
      </c>
      <c r="B175" s="134" t="s">
        <v>250</v>
      </c>
      <c r="C175" s="135">
        <v>34199</v>
      </c>
      <c r="D175" s="135">
        <v>34199</v>
      </c>
      <c r="E175" s="135">
        <v>34199</v>
      </c>
      <c r="F175" s="135">
        <v>34199</v>
      </c>
      <c r="G175" s="135">
        <v>34199</v>
      </c>
      <c r="H175" s="135">
        <v>34199</v>
      </c>
      <c r="I175" s="135">
        <v>33405</v>
      </c>
      <c r="J175" s="135">
        <v>33405</v>
      </c>
      <c r="K175" s="135">
        <v>33405</v>
      </c>
      <c r="L175" s="135">
        <v>33405</v>
      </c>
      <c r="M175" s="135">
        <v>33405</v>
      </c>
      <c r="N175" s="135">
        <v>33405</v>
      </c>
      <c r="O175" s="135">
        <v>33405</v>
      </c>
      <c r="P175" s="135">
        <v>33405</v>
      </c>
      <c r="Q175" s="135">
        <v>36488</v>
      </c>
      <c r="R175" s="135">
        <v>36488</v>
      </c>
      <c r="S175" s="135">
        <v>36488</v>
      </c>
      <c r="T175" s="135">
        <v>35811</v>
      </c>
      <c r="U175" s="135">
        <v>35811</v>
      </c>
      <c r="V175" s="135">
        <v>44492</v>
      </c>
      <c r="W175" s="135">
        <v>44492</v>
      </c>
      <c r="X175" s="135">
        <v>42974</v>
      </c>
      <c r="Y175" s="135">
        <v>42974.430855999999</v>
      </c>
      <c r="Z175" s="135">
        <v>42974.430855999999</v>
      </c>
      <c r="AA175" s="135">
        <v>42974.430855999999</v>
      </c>
      <c r="AB175" s="135">
        <v>42974.430855999999</v>
      </c>
      <c r="AC175" s="135">
        <v>42691.316464999996</v>
      </c>
      <c r="AD175" s="135">
        <v>42691</v>
      </c>
      <c r="AE175" s="135">
        <v>42691</v>
      </c>
      <c r="AF175" s="135">
        <v>42772.602844159992</v>
      </c>
      <c r="AG175" s="135">
        <v>42772.602844159992</v>
      </c>
      <c r="AH175" s="135">
        <v>42772.602844159999</v>
      </c>
      <c r="AI175" s="135">
        <v>42774.224150000002</v>
      </c>
      <c r="AJ175" s="135">
        <v>42762.555660999999</v>
      </c>
      <c r="AK175" s="135">
        <v>42753</v>
      </c>
      <c r="AL175" s="135">
        <v>42750</v>
      </c>
      <c r="AM175" s="135">
        <v>42750.104784000003</v>
      </c>
      <c r="AN175" s="136">
        <v>42686</v>
      </c>
      <c r="AO175" s="136">
        <v>42686</v>
      </c>
      <c r="AP175" s="136">
        <v>42681.798440999992</v>
      </c>
      <c r="AQ175" s="136">
        <v>42681.798440999992</v>
      </c>
      <c r="AR175" s="136">
        <v>42681.798440999992</v>
      </c>
      <c r="AS175" s="136">
        <v>42681.798440999992</v>
      </c>
      <c r="AT175" s="136">
        <v>42681.798440999992</v>
      </c>
      <c r="AU175" s="136">
        <v>42701.445547000003</v>
      </c>
      <c r="AV175" s="136">
        <v>42710.679563999998</v>
      </c>
      <c r="AW175" s="137">
        <v>42700</v>
      </c>
      <c r="AX175" s="137">
        <v>42533</v>
      </c>
      <c r="AY175" s="136">
        <v>42533.157583</v>
      </c>
      <c r="AZ175" s="136">
        <v>42533.161676999996</v>
      </c>
      <c r="BA175" s="136">
        <v>42533.161676999996</v>
      </c>
      <c r="BB175" s="137">
        <v>42533</v>
      </c>
      <c r="BC175" s="136">
        <v>42533.161676999989</v>
      </c>
      <c r="BD175" s="136">
        <v>42533.161676999989</v>
      </c>
      <c r="BE175" s="136">
        <v>42533.161676999989</v>
      </c>
      <c r="BF175" s="136">
        <v>42753.433206000002</v>
      </c>
      <c r="BG175" s="137">
        <v>42753.433205999994</v>
      </c>
      <c r="BH175" s="137">
        <v>42753.535555999995</v>
      </c>
      <c r="BI175" s="137">
        <v>42753.74025599999</v>
      </c>
      <c r="BJ175" s="137">
        <v>42753.513038999998</v>
      </c>
      <c r="BK175" s="137">
        <v>42753.513038999998</v>
      </c>
      <c r="BL175" s="137">
        <v>42760.268138999993</v>
      </c>
      <c r="BM175" s="137">
        <v>42885.020506999994</v>
      </c>
      <c r="BN175" s="137">
        <v>42888.565911000005</v>
      </c>
      <c r="BO175" s="137">
        <v>42895.345574999999</v>
      </c>
      <c r="BP175" s="137">
        <v>7169.6657670000004</v>
      </c>
      <c r="BQ175" s="137">
        <v>7206.5449269999999</v>
      </c>
      <c r="BR175" s="137">
        <v>7274.2373400000006</v>
      </c>
      <c r="BS175" s="137">
        <v>7274.2373399999997</v>
      </c>
      <c r="BT175" s="137">
        <v>7271.963796</v>
      </c>
    </row>
    <row r="176" spans="1:72 16122:16122" ht="15" hidden="1" customHeight="1" outlineLevel="1" x14ac:dyDescent="0.3">
      <c r="A176" t="s">
        <v>73</v>
      </c>
      <c r="B176" s="134" t="s">
        <v>251</v>
      </c>
      <c r="C176" s="135">
        <v>0</v>
      </c>
      <c r="D176" s="135">
        <v>0</v>
      </c>
      <c r="E176" s="135">
        <v>0</v>
      </c>
      <c r="F176" s="135">
        <v>0</v>
      </c>
      <c r="G176" s="135">
        <v>0</v>
      </c>
      <c r="H176" s="135">
        <v>0</v>
      </c>
      <c r="I176" s="135">
        <v>0</v>
      </c>
      <c r="J176" s="135">
        <v>0</v>
      </c>
      <c r="K176" s="135">
        <v>0</v>
      </c>
      <c r="L176" s="135">
        <v>0</v>
      </c>
      <c r="M176" s="135">
        <v>0</v>
      </c>
      <c r="N176" s="135">
        <v>0</v>
      </c>
      <c r="O176" s="135">
        <v>0</v>
      </c>
      <c r="P176" s="135">
        <v>0</v>
      </c>
      <c r="Q176" s="135">
        <v>0</v>
      </c>
      <c r="R176" s="135">
        <v>0</v>
      </c>
      <c r="S176" s="135">
        <v>0</v>
      </c>
      <c r="T176" s="135">
        <v>13593</v>
      </c>
      <c r="U176" s="135">
        <v>13593</v>
      </c>
      <c r="V176" s="135">
        <v>13593</v>
      </c>
      <c r="W176" s="135">
        <v>13593</v>
      </c>
      <c r="X176" s="135">
        <v>13593</v>
      </c>
      <c r="Y176" s="135">
        <v>13592.800000000001</v>
      </c>
      <c r="Z176" s="135">
        <v>13592.800000000001</v>
      </c>
      <c r="AA176" s="135">
        <v>13592.800000000001</v>
      </c>
      <c r="AB176" s="135">
        <v>13592.800000000001</v>
      </c>
      <c r="AC176" s="135">
        <v>14119</v>
      </c>
      <c r="AD176" s="135">
        <v>14119</v>
      </c>
      <c r="AE176" s="135">
        <v>14119</v>
      </c>
      <c r="AF176" s="135">
        <v>14118.084000000001</v>
      </c>
      <c r="AG176" s="135">
        <v>14118.084000000001</v>
      </c>
      <c r="AH176" s="135">
        <v>14214.560000000001</v>
      </c>
      <c r="AI176" s="135">
        <v>14214.560000000001</v>
      </c>
      <c r="AJ176" s="135">
        <v>14214.560000000001</v>
      </c>
      <c r="AK176" s="135">
        <v>14215</v>
      </c>
      <c r="AL176" s="135">
        <v>14215</v>
      </c>
      <c r="AM176" s="135">
        <v>14214.560000000001</v>
      </c>
      <c r="AN176" s="136">
        <v>14215</v>
      </c>
      <c r="AO176" s="136">
        <v>14215</v>
      </c>
      <c r="AP176" s="136">
        <v>14214.560000000001</v>
      </c>
      <c r="AQ176" s="136">
        <v>14209.124</v>
      </c>
      <c r="AR176" s="136">
        <v>14660.832000000002</v>
      </c>
      <c r="AS176" s="136">
        <v>14618.664000000002</v>
      </c>
      <c r="AT176" s="136">
        <v>14659.736000000003</v>
      </c>
      <c r="AU176" s="136">
        <v>14778.889333333334</v>
      </c>
      <c r="AV176" s="136">
        <v>14804.504000000004</v>
      </c>
      <c r="AW176" s="137">
        <v>14805</v>
      </c>
      <c r="AX176" s="137">
        <v>14940</v>
      </c>
      <c r="AY176" s="136">
        <v>14956.292000000005</v>
      </c>
      <c r="AZ176" s="136">
        <v>14962.662666666671</v>
      </c>
      <c r="BA176" s="136">
        <v>14974.689333333336</v>
      </c>
      <c r="BB176" s="137">
        <v>14982</v>
      </c>
      <c r="BC176" s="136">
        <v>14985.004000000001</v>
      </c>
      <c r="BD176" s="136">
        <v>14985.004000000001</v>
      </c>
      <c r="BE176" s="136">
        <v>14985.004000000001</v>
      </c>
      <c r="BF176" s="136">
        <v>0</v>
      </c>
      <c r="BG176" s="137">
        <v>0</v>
      </c>
      <c r="BH176" s="137">
        <v>0</v>
      </c>
      <c r="BI176" s="137">
        <v>0</v>
      </c>
      <c r="BJ176" s="137">
        <v>0</v>
      </c>
      <c r="BK176" s="137">
        <v>0</v>
      </c>
      <c r="BL176" s="137">
        <v>0</v>
      </c>
      <c r="BM176" s="137">
        <v>0</v>
      </c>
      <c r="BN176" s="137">
        <v>0</v>
      </c>
      <c r="BO176" s="137">
        <v>0</v>
      </c>
      <c r="BP176" s="137">
        <v>0</v>
      </c>
      <c r="BQ176" s="137">
        <v>0</v>
      </c>
      <c r="BR176" s="137">
        <v>0</v>
      </c>
      <c r="BS176" s="137">
        <v>0</v>
      </c>
      <c r="BT176" s="137">
        <v>0</v>
      </c>
    </row>
    <row r="177" spans="1:72" ht="15" hidden="1" customHeight="1" outlineLevel="1" x14ac:dyDescent="0.3">
      <c r="A177" t="s">
        <v>321</v>
      </c>
      <c r="B177" s="134" t="s">
        <v>253</v>
      </c>
      <c r="C177" s="135">
        <v>0</v>
      </c>
      <c r="D177" s="135">
        <v>0</v>
      </c>
      <c r="E177" s="135">
        <v>0</v>
      </c>
      <c r="F177" s="135">
        <v>0</v>
      </c>
      <c r="G177" s="135">
        <v>0</v>
      </c>
      <c r="H177" s="135">
        <v>0</v>
      </c>
      <c r="I177" s="135">
        <v>0</v>
      </c>
      <c r="J177" s="135">
        <v>0</v>
      </c>
      <c r="K177" s="135">
        <v>0</v>
      </c>
      <c r="L177" s="135">
        <v>0</v>
      </c>
      <c r="M177" s="135">
        <v>0</v>
      </c>
      <c r="N177" s="135">
        <v>0</v>
      </c>
      <c r="O177" s="135">
        <v>0</v>
      </c>
      <c r="P177" s="135">
        <v>0</v>
      </c>
      <c r="Q177" s="135">
        <v>0</v>
      </c>
      <c r="R177" s="135">
        <v>0</v>
      </c>
      <c r="S177" s="135">
        <v>0</v>
      </c>
      <c r="T177" s="135">
        <v>0</v>
      </c>
      <c r="U177" s="135">
        <v>0</v>
      </c>
      <c r="V177" s="135">
        <v>0</v>
      </c>
      <c r="W177" s="135">
        <v>0</v>
      </c>
      <c r="X177" s="135">
        <v>0</v>
      </c>
      <c r="Y177" s="135">
        <v>0</v>
      </c>
      <c r="Z177" s="135">
        <v>34620</v>
      </c>
      <c r="AA177" s="135">
        <v>34620</v>
      </c>
      <c r="AB177" s="135">
        <v>34620</v>
      </c>
      <c r="AC177" s="135">
        <v>35291.200000000004</v>
      </c>
      <c r="AD177" s="135">
        <v>35291</v>
      </c>
      <c r="AE177" s="135">
        <v>35291</v>
      </c>
      <c r="AF177" s="135">
        <v>35291.567999999992</v>
      </c>
      <c r="AG177" s="135">
        <v>35291.567999999992</v>
      </c>
      <c r="AH177" s="135">
        <v>35291.567999999992</v>
      </c>
      <c r="AI177" s="135">
        <v>35290.912000000004</v>
      </c>
      <c r="AJ177" s="135">
        <v>35324.800000000003</v>
      </c>
      <c r="AK177" s="135">
        <v>35291</v>
      </c>
      <c r="AL177" s="135">
        <v>35291</v>
      </c>
      <c r="AM177" s="135">
        <v>35291.384000000005</v>
      </c>
      <c r="AN177" s="136">
        <v>35308</v>
      </c>
      <c r="AO177" s="136">
        <v>35308</v>
      </c>
      <c r="AP177" s="136">
        <v>35308.352000000006</v>
      </c>
      <c r="AQ177" s="136">
        <v>35297.703999999998</v>
      </c>
      <c r="AR177" s="136">
        <v>35297.703999999998</v>
      </c>
      <c r="AS177" s="136">
        <v>35297.704000000005</v>
      </c>
      <c r="AT177" s="136">
        <v>35308.352000000006</v>
      </c>
      <c r="AU177" s="136">
        <v>35295.386666666673</v>
      </c>
      <c r="AV177" s="136">
        <v>35288.904000000002</v>
      </c>
      <c r="AW177" s="137">
        <v>35290</v>
      </c>
      <c r="AX177" s="137">
        <v>35293</v>
      </c>
      <c r="AY177" s="136">
        <v>35292.944000000003</v>
      </c>
      <c r="AZ177" s="136">
        <v>35292.944000000003</v>
      </c>
      <c r="BA177" s="136">
        <v>35292.944000000003</v>
      </c>
      <c r="BB177" s="137">
        <v>35287</v>
      </c>
      <c r="BC177" s="136">
        <v>35228.008000000002</v>
      </c>
      <c r="BD177" s="136">
        <v>35228.008000000002</v>
      </c>
      <c r="BE177" s="136">
        <v>35228.008000000002</v>
      </c>
      <c r="BF177" s="136">
        <v>35201.229333333329</v>
      </c>
      <c r="BG177" s="137">
        <v>35201.229333333329</v>
      </c>
      <c r="BH177" s="137">
        <v>35228.008000000009</v>
      </c>
      <c r="BI177" s="137">
        <v>35228</v>
      </c>
      <c r="BJ177" s="137">
        <v>35228</v>
      </c>
      <c r="BK177" s="137">
        <v>35228</v>
      </c>
      <c r="BL177" s="137">
        <v>35228</v>
      </c>
      <c r="BM177" s="137">
        <v>35228</v>
      </c>
      <c r="BN177" s="137">
        <v>35228</v>
      </c>
      <c r="BO177" s="137">
        <v>35228</v>
      </c>
      <c r="BP177" s="137">
        <v>4403.5</v>
      </c>
      <c r="BQ177" s="137">
        <v>4403.5</v>
      </c>
      <c r="BR177" s="137">
        <v>4403.5000000000009</v>
      </c>
      <c r="BS177" s="137">
        <v>4403.5000000000009</v>
      </c>
      <c r="BT177" s="137">
        <v>4403.5000000000027</v>
      </c>
    </row>
    <row r="178" spans="1:72" ht="15" hidden="1" customHeight="1" outlineLevel="1" x14ac:dyDescent="0.3">
      <c r="A178" t="s">
        <v>322</v>
      </c>
      <c r="B178" s="134" t="s">
        <v>255</v>
      </c>
      <c r="C178" s="135">
        <v>0</v>
      </c>
      <c r="D178" s="135">
        <v>0</v>
      </c>
      <c r="E178" s="135">
        <v>0</v>
      </c>
      <c r="F178" s="135">
        <v>0</v>
      </c>
      <c r="G178" s="135">
        <v>0</v>
      </c>
      <c r="H178" s="135">
        <v>0</v>
      </c>
      <c r="I178" s="135">
        <v>0</v>
      </c>
      <c r="J178" s="135">
        <v>0</v>
      </c>
      <c r="K178" s="135">
        <v>0</v>
      </c>
      <c r="L178" s="135">
        <v>0</v>
      </c>
      <c r="M178" s="135">
        <v>0</v>
      </c>
      <c r="N178" s="135">
        <v>0</v>
      </c>
      <c r="O178" s="135">
        <v>0</v>
      </c>
      <c r="P178" s="135">
        <v>0</v>
      </c>
      <c r="Q178" s="135">
        <v>0</v>
      </c>
      <c r="R178" s="135">
        <v>0</v>
      </c>
      <c r="S178" s="135">
        <v>0</v>
      </c>
      <c r="T178" s="135">
        <v>0</v>
      </c>
      <c r="U178" s="135">
        <v>0</v>
      </c>
      <c r="V178" s="135">
        <v>0</v>
      </c>
      <c r="W178" s="135">
        <v>0</v>
      </c>
      <c r="X178" s="135">
        <v>0</v>
      </c>
      <c r="Y178" s="135">
        <v>0</v>
      </c>
      <c r="Z178" s="135">
        <v>9015</v>
      </c>
      <c r="AA178" s="135">
        <v>9015</v>
      </c>
      <c r="AB178" s="135">
        <v>9015</v>
      </c>
      <c r="AC178" s="135">
        <v>9165.25</v>
      </c>
      <c r="AD178" s="135">
        <v>9165</v>
      </c>
      <c r="AE178" s="135">
        <v>9165</v>
      </c>
      <c r="AF178" s="135">
        <v>9178.5474999999988</v>
      </c>
      <c r="AG178" s="135">
        <v>9178.5474999999988</v>
      </c>
      <c r="AH178" s="135">
        <v>9164.25</v>
      </c>
      <c r="AI178" s="135">
        <v>9164.75</v>
      </c>
      <c r="AJ178" s="135">
        <v>9164.25</v>
      </c>
      <c r="AK178" s="135">
        <v>9164</v>
      </c>
      <c r="AL178" s="135">
        <v>9164</v>
      </c>
      <c r="AM178" s="135">
        <v>9164.0949999999957</v>
      </c>
      <c r="AN178" s="136">
        <v>9164</v>
      </c>
      <c r="AO178" s="136">
        <v>9349</v>
      </c>
      <c r="AP178" s="136">
        <v>9348.75</v>
      </c>
      <c r="AQ178" s="136">
        <v>9340.0099999999984</v>
      </c>
      <c r="AR178" s="136">
        <v>9340.0099999999984</v>
      </c>
      <c r="AS178" s="136">
        <v>9340.0099999999966</v>
      </c>
      <c r="AT178" s="136">
        <v>9340.0099999999984</v>
      </c>
      <c r="AU178" s="136">
        <v>9340.0099999999984</v>
      </c>
      <c r="AV178" s="136">
        <v>9340.0099999999984</v>
      </c>
      <c r="AW178" s="137">
        <v>9340</v>
      </c>
      <c r="AX178" s="137">
        <v>9340</v>
      </c>
      <c r="AY178" s="136">
        <v>9340.0099999999966</v>
      </c>
      <c r="AZ178" s="136">
        <v>9340.0099999999984</v>
      </c>
      <c r="BA178" s="136">
        <v>9340.0099999999984</v>
      </c>
      <c r="BB178" s="137">
        <v>9395</v>
      </c>
      <c r="BC178" s="136">
        <v>9362.0049999999992</v>
      </c>
      <c r="BD178" s="136">
        <v>9362.0049999999992</v>
      </c>
      <c r="BE178" s="136">
        <v>9228.5349999999999</v>
      </c>
      <c r="BF178" s="136">
        <v>9228.5349999999999</v>
      </c>
      <c r="BG178" s="137">
        <v>9228.5349999999999</v>
      </c>
      <c r="BH178" s="137">
        <v>9221.4925000000003</v>
      </c>
      <c r="BI178" s="137">
        <v>9228.5349999999999</v>
      </c>
      <c r="BJ178" s="137">
        <v>9228.5349999999999</v>
      </c>
      <c r="BK178" s="137">
        <v>9228.5349999999999</v>
      </c>
      <c r="BL178" s="137">
        <v>9228.5349999999999</v>
      </c>
      <c r="BM178" s="137">
        <v>9228.5349999999999</v>
      </c>
      <c r="BN178" s="137">
        <v>9228.534999999998</v>
      </c>
      <c r="BO178" s="137">
        <v>9228.534999999998</v>
      </c>
      <c r="BP178" s="137">
        <v>3691.4140000000002</v>
      </c>
      <c r="BQ178" s="137">
        <v>3691.4139999999993</v>
      </c>
      <c r="BR178" s="137">
        <v>3691.4140000000002</v>
      </c>
      <c r="BS178" s="137">
        <v>3691.4140000000002</v>
      </c>
      <c r="BT178" s="137">
        <v>3691.4140000000002</v>
      </c>
    </row>
    <row r="179" spans="1:72" ht="15" hidden="1" customHeight="1" outlineLevel="1" x14ac:dyDescent="0.3">
      <c r="A179" t="s">
        <v>323</v>
      </c>
      <c r="B179" s="134" t="s">
        <v>257</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17680.659999999993</v>
      </c>
      <c r="AG179" s="136">
        <v>17680.659999999993</v>
      </c>
      <c r="AH179" s="136">
        <v>16643.66</v>
      </c>
      <c r="AI179" s="136">
        <v>16626.469999999998</v>
      </c>
      <c r="AJ179" s="136">
        <v>16626</v>
      </c>
      <c r="AK179" s="136">
        <v>16626</v>
      </c>
      <c r="AL179" s="136">
        <v>16626</v>
      </c>
      <c r="AM179" s="136">
        <v>16626.469999999998</v>
      </c>
      <c r="AN179" s="136">
        <v>16619</v>
      </c>
      <c r="AO179" s="136">
        <v>16619</v>
      </c>
      <c r="AP179" s="136">
        <v>16619.41</v>
      </c>
      <c r="AQ179" s="136">
        <v>15306.4172</v>
      </c>
      <c r="AR179" s="136">
        <v>15306.4172</v>
      </c>
      <c r="AS179" s="136">
        <v>15306.417199999998</v>
      </c>
      <c r="AT179" s="136">
        <v>15306.4172</v>
      </c>
      <c r="AU179" s="136">
        <v>15306.4172</v>
      </c>
      <c r="AV179" s="136">
        <v>15306.4172</v>
      </c>
      <c r="AW179" s="137">
        <v>15306</v>
      </c>
      <c r="AX179" s="137">
        <v>15328</v>
      </c>
      <c r="AY179" s="136">
        <v>15328.156800000001</v>
      </c>
      <c r="AZ179" s="136">
        <v>15328.156800000001</v>
      </c>
      <c r="BA179" s="136">
        <v>15328.156800000001</v>
      </c>
      <c r="BB179" s="137">
        <v>15346</v>
      </c>
      <c r="BC179" s="136">
        <v>15355.4072</v>
      </c>
      <c r="BD179" s="136">
        <v>15355.4072</v>
      </c>
      <c r="BE179" s="136">
        <v>15355.4072</v>
      </c>
      <c r="BF179" s="136">
        <v>15503.1592</v>
      </c>
      <c r="BG179" s="137">
        <v>15503.1592</v>
      </c>
      <c r="BH179" s="137">
        <v>15503.1592</v>
      </c>
      <c r="BI179" s="137">
        <v>15503.1592</v>
      </c>
      <c r="BJ179" s="137">
        <v>15519.759066666667</v>
      </c>
      <c r="BK179" s="137">
        <v>15553.1888</v>
      </c>
      <c r="BL179" s="137">
        <v>15553.1888</v>
      </c>
      <c r="BM179" s="137">
        <v>15553.1888</v>
      </c>
      <c r="BN179" s="137">
        <v>15553.1888</v>
      </c>
      <c r="BO179" s="137">
        <v>15553.1888</v>
      </c>
      <c r="BP179" s="137">
        <v>10143.384000000002</v>
      </c>
      <c r="BQ179" s="137">
        <v>10143.384000000002</v>
      </c>
      <c r="BR179" s="137">
        <v>10143.384000000002</v>
      </c>
      <c r="BS179" s="137">
        <v>10143.384</v>
      </c>
      <c r="BT179" s="137">
        <v>10143.383999999998</v>
      </c>
    </row>
    <row r="180" spans="1:72" ht="15" hidden="1" customHeight="1" outlineLevel="1" x14ac:dyDescent="0.3">
      <c r="A180" t="s">
        <v>324</v>
      </c>
      <c r="B180" s="134" t="s">
        <v>259</v>
      </c>
      <c r="C180" s="135">
        <v>0</v>
      </c>
      <c r="D180" s="135">
        <v>0</v>
      </c>
      <c r="E180" s="135">
        <v>0</v>
      </c>
      <c r="F180" s="135">
        <v>0</v>
      </c>
      <c r="G180" s="135">
        <v>0</v>
      </c>
      <c r="H180" s="135">
        <v>0</v>
      </c>
      <c r="I180" s="135">
        <v>0</v>
      </c>
      <c r="J180" s="135">
        <v>0</v>
      </c>
      <c r="K180" s="135">
        <v>0</v>
      </c>
      <c r="L180" s="135">
        <v>0</v>
      </c>
      <c r="M180" s="135">
        <v>0</v>
      </c>
      <c r="N180" s="135">
        <v>0</v>
      </c>
      <c r="O180" s="135">
        <v>0</v>
      </c>
      <c r="P180" s="135">
        <v>0</v>
      </c>
      <c r="Q180" s="135">
        <v>0</v>
      </c>
      <c r="R180" s="135">
        <v>0</v>
      </c>
      <c r="S180" s="135">
        <v>0</v>
      </c>
      <c r="T180" s="135">
        <v>0</v>
      </c>
      <c r="U180" s="135">
        <v>0</v>
      </c>
      <c r="V180" s="135">
        <v>0</v>
      </c>
      <c r="W180" s="135">
        <v>0</v>
      </c>
      <c r="X180" s="135">
        <v>0</v>
      </c>
      <c r="Y180" s="135">
        <v>0</v>
      </c>
      <c r="Z180" s="135">
        <v>0</v>
      </c>
      <c r="AA180" s="135">
        <v>0</v>
      </c>
      <c r="AB180" s="135">
        <v>0</v>
      </c>
      <c r="AC180" s="135">
        <v>0</v>
      </c>
      <c r="AD180" s="135">
        <v>0</v>
      </c>
      <c r="AE180" s="135">
        <v>0</v>
      </c>
      <c r="AF180" s="135">
        <v>0</v>
      </c>
      <c r="AG180" s="135">
        <v>0</v>
      </c>
      <c r="AH180" s="135">
        <v>0</v>
      </c>
      <c r="AI180" s="135">
        <v>0</v>
      </c>
      <c r="AJ180" s="137">
        <v>14149.3125</v>
      </c>
      <c r="AK180" s="135">
        <v>14149</v>
      </c>
      <c r="AL180" s="135">
        <v>14149</v>
      </c>
      <c r="AM180" s="135">
        <v>14149.317812500003</v>
      </c>
      <c r="AN180" s="136">
        <v>14244</v>
      </c>
      <c r="AO180" s="136">
        <v>14244</v>
      </c>
      <c r="AP180" s="136">
        <v>15071.381874999999</v>
      </c>
      <c r="AQ180" s="136">
        <v>15071.381874999999</v>
      </c>
      <c r="AR180" s="136">
        <v>15071.381874999999</v>
      </c>
      <c r="AS180" s="136">
        <v>15133.033437500004</v>
      </c>
      <c r="AT180" s="136">
        <v>15133.0334375</v>
      </c>
      <c r="AU180" s="136">
        <v>14656.996250000002</v>
      </c>
      <c r="AV180" s="136">
        <v>14692.002083333335</v>
      </c>
      <c r="AW180" s="137">
        <v>14710</v>
      </c>
      <c r="AX180" s="137">
        <v>14710</v>
      </c>
      <c r="AY180" s="136">
        <v>14709.504999999999</v>
      </c>
      <c r="AZ180" s="136">
        <v>14709.504999999999</v>
      </c>
      <c r="BA180" s="136">
        <v>14709.504999999999</v>
      </c>
      <c r="BB180" s="137">
        <v>14710</v>
      </c>
      <c r="BC180" s="136">
        <v>14709.505000000001</v>
      </c>
      <c r="BD180" s="136">
        <v>14709.504999999999</v>
      </c>
      <c r="BE180" s="136">
        <v>14709.504999999999</v>
      </c>
      <c r="BF180" s="136">
        <v>14709.504999999999</v>
      </c>
      <c r="BG180" s="137">
        <v>14709.504999999999</v>
      </c>
      <c r="BH180" s="137">
        <v>14709.504999999999</v>
      </c>
      <c r="BI180" s="137">
        <v>14709.504999999999</v>
      </c>
      <c r="BJ180" s="137">
        <v>14709.504999999999</v>
      </c>
      <c r="BK180" s="137">
        <v>14709.504999999999</v>
      </c>
      <c r="BL180" s="137">
        <v>14786.674375000001</v>
      </c>
      <c r="BM180" s="137">
        <v>14786.674375000001</v>
      </c>
      <c r="BN180" s="137">
        <v>14786.674375000001</v>
      </c>
      <c r="BO180" s="137">
        <v>14786.674375000001</v>
      </c>
      <c r="BP180" s="137">
        <v>0</v>
      </c>
      <c r="BQ180" s="137">
        <v>0</v>
      </c>
      <c r="BR180" s="137">
        <v>0</v>
      </c>
      <c r="BS180" s="137">
        <v>0</v>
      </c>
      <c r="BT180" s="137">
        <v>0</v>
      </c>
    </row>
    <row r="181" spans="1:72" ht="15" hidden="1" customHeight="1" outlineLevel="1" x14ac:dyDescent="0.3">
      <c r="A181" t="s">
        <v>73</v>
      </c>
      <c r="B181" s="134" t="s">
        <v>260</v>
      </c>
      <c r="C181" s="135">
        <v>0</v>
      </c>
      <c r="D181" s="135">
        <v>0</v>
      </c>
      <c r="E181" s="135">
        <v>0</v>
      </c>
      <c r="F181" s="135">
        <v>0</v>
      </c>
      <c r="G181" s="135">
        <v>0</v>
      </c>
      <c r="H181" s="135">
        <v>0</v>
      </c>
      <c r="I181" s="135">
        <v>0</v>
      </c>
      <c r="J181" s="135">
        <v>0</v>
      </c>
      <c r="K181" s="135">
        <v>0</v>
      </c>
      <c r="L181" s="135">
        <v>0</v>
      </c>
      <c r="M181" s="135">
        <v>0</v>
      </c>
      <c r="N181" s="135">
        <v>0</v>
      </c>
      <c r="O181" s="135">
        <v>0</v>
      </c>
      <c r="P181" s="135">
        <v>0</v>
      </c>
      <c r="Q181" s="135">
        <v>0</v>
      </c>
      <c r="R181" s="135">
        <v>0</v>
      </c>
      <c r="S181" s="135">
        <v>0</v>
      </c>
      <c r="T181" s="135">
        <v>7820</v>
      </c>
      <c r="U181" s="135">
        <v>7820</v>
      </c>
      <c r="V181" s="135">
        <v>7820</v>
      </c>
      <c r="W181" s="135">
        <v>7820</v>
      </c>
      <c r="X181" s="135">
        <v>7820</v>
      </c>
      <c r="Y181" s="135">
        <v>7820</v>
      </c>
      <c r="Z181" s="135">
        <v>7820</v>
      </c>
      <c r="AA181" s="135">
        <v>7820</v>
      </c>
      <c r="AB181" s="135">
        <v>7820</v>
      </c>
      <c r="AC181" s="135">
        <v>7444.85</v>
      </c>
      <c r="AD181" s="135">
        <v>7445</v>
      </c>
      <c r="AE181" s="135">
        <v>7445</v>
      </c>
      <c r="AF181" s="135">
        <v>7503.3899999999994</v>
      </c>
      <c r="AG181" s="135">
        <v>7503.3899999999994</v>
      </c>
      <c r="AH181" s="135">
        <v>7503.3899999999994</v>
      </c>
      <c r="AI181" s="135">
        <v>7491.9624999999996</v>
      </c>
      <c r="AJ181" s="135">
        <v>7504.0599999999995</v>
      </c>
      <c r="AK181" s="135">
        <v>7492</v>
      </c>
      <c r="AL181" s="135">
        <v>7492</v>
      </c>
      <c r="AM181" s="135">
        <v>7491.9624999999996</v>
      </c>
      <c r="AN181" s="136">
        <v>7492</v>
      </c>
      <c r="AO181" s="136">
        <v>7169</v>
      </c>
      <c r="AP181" s="136">
        <v>7169.0625</v>
      </c>
      <c r="AQ181" s="136">
        <v>0</v>
      </c>
      <c r="AR181" s="136">
        <v>0</v>
      </c>
      <c r="AS181" s="136">
        <v>0</v>
      </c>
      <c r="AT181" s="136">
        <v>0</v>
      </c>
      <c r="AU181" s="136">
        <v>0</v>
      </c>
      <c r="AV181" s="136">
        <v>0</v>
      </c>
      <c r="AW181" s="136">
        <v>0</v>
      </c>
      <c r="AX181" s="136">
        <v>0</v>
      </c>
      <c r="AY181" s="147">
        <v>0</v>
      </c>
      <c r="AZ181" s="147">
        <v>0</v>
      </c>
      <c r="BA181" s="147">
        <v>0</v>
      </c>
      <c r="BB181" s="147">
        <v>0</v>
      </c>
      <c r="BC181" s="147">
        <v>0</v>
      </c>
      <c r="BD181" s="147">
        <v>0</v>
      </c>
      <c r="BE181" s="147">
        <v>0</v>
      </c>
      <c r="BF181" s="147">
        <v>0</v>
      </c>
      <c r="BG181" s="137">
        <v>0</v>
      </c>
      <c r="BH181" s="137">
        <v>0</v>
      </c>
      <c r="BI181" s="137">
        <v>0</v>
      </c>
      <c r="BJ181" s="137">
        <v>0</v>
      </c>
      <c r="BK181" s="137">
        <v>0</v>
      </c>
      <c r="BL181" s="137">
        <v>0</v>
      </c>
      <c r="BM181" s="137">
        <v>0</v>
      </c>
      <c r="BN181" s="137">
        <v>0</v>
      </c>
      <c r="BO181" s="137">
        <v>0</v>
      </c>
      <c r="BP181" s="137">
        <v>0</v>
      </c>
      <c r="BQ181" s="137">
        <v>0</v>
      </c>
      <c r="BR181" s="137">
        <v>0</v>
      </c>
      <c r="BS181" s="137">
        <v>0</v>
      </c>
      <c r="BT181" s="137">
        <v>0</v>
      </c>
    </row>
    <row r="182" spans="1:72" s="131" customFormat="1" ht="15" customHeight="1" collapsed="1" x14ac:dyDescent="0.3">
      <c r="B182" s="140" t="str">
        <f>IF('Sumário | Summary'!P1=1,"Galpões Logísticos","Distribution Centers")</f>
        <v>Galpões Logísticos</v>
      </c>
      <c r="C182" s="132">
        <f t="shared" ref="C182:BN182" si="70">SUM(C183:C193)</f>
        <v>40350</v>
      </c>
      <c r="D182" s="132">
        <f t="shared" si="70"/>
        <v>40350</v>
      </c>
      <c r="E182" s="132">
        <f t="shared" si="70"/>
        <v>40350</v>
      </c>
      <c r="F182" s="132">
        <f t="shared" si="70"/>
        <v>40350</v>
      </c>
      <c r="G182" s="132">
        <f t="shared" si="70"/>
        <v>40350</v>
      </c>
      <c r="H182" s="132">
        <f t="shared" si="70"/>
        <v>40350</v>
      </c>
      <c r="I182" s="132">
        <f t="shared" si="70"/>
        <v>40350</v>
      </c>
      <c r="J182" s="132">
        <f t="shared" si="70"/>
        <v>40350</v>
      </c>
      <c r="K182" s="132">
        <f t="shared" si="70"/>
        <v>40350</v>
      </c>
      <c r="L182" s="132">
        <f t="shared" si="70"/>
        <v>40350</v>
      </c>
      <c r="M182" s="132">
        <f t="shared" si="70"/>
        <v>40350</v>
      </c>
      <c r="N182" s="132">
        <f t="shared" si="70"/>
        <v>40350</v>
      </c>
      <c r="O182" s="132">
        <f t="shared" si="70"/>
        <v>40350</v>
      </c>
      <c r="P182" s="132">
        <f t="shared" si="70"/>
        <v>40350</v>
      </c>
      <c r="Q182" s="132">
        <f t="shared" si="70"/>
        <v>54249</v>
      </c>
      <c r="R182" s="132">
        <f t="shared" si="70"/>
        <v>44711</v>
      </c>
      <c r="S182" s="132">
        <f t="shared" si="70"/>
        <v>43227</v>
      </c>
      <c r="T182" s="132">
        <f t="shared" si="70"/>
        <v>43227</v>
      </c>
      <c r="U182" s="132">
        <f t="shared" si="70"/>
        <v>43227</v>
      </c>
      <c r="V182" s="132">
        <f t="shared" si="70"/>
        <v>43227</v>
      </c>
      <c r="W182" s="132">
        <f t="shared" si="70"/>
        <v>45126</v>
      </c>
      <c r="X182" s="132">
        <f t="shared" si="70"/>
        <v>55136.439242970155</v>
      </c>
      <c r="Y182" s="132">
        <f t="shared" si="70"/>
        <v>55136.439242970155</v>
      </c>
      <c r="Z182" s="132">
        <f t="shared" si="70"/>
        <v>96553.960992970155</v>
      </c>
      <c r="AA182" s="132">
        <f t="shared" si="70"/>
        <v>96553.724242970158</v>
      </c>
      <c r="AB182" s="132">
        <f t="shared" si="70"/>
        <v>123780.39924297016</v>
      </c>
      <c r="AC182" s="132">
        <f t="shared" si="70"/>
        <v>139705.55924297016</v>
      </c>
      <c r="AD182" s="132">
        <f t="shared" si="70"/>
        <v>139706</v>
      </c>
      <c r="AE182" s="132">
        <f t="shared" si="70"/>
        <v>139706</v>
      </c>
      <c r="AF182" s="132">
        <f t="shared" si="70"/>
        <v>139713.03</v>
      </c>
      <c r="AG182" s="132">
        <f t="shared" si="70"/>
        <v>139713.03</v>
      </c>
      <c r="AH182" s="132">
        <f t="shared" si="70"/>
        <v>139713.03</v>
      </c>
      <c r="AI182" s="132">
        <f t="shared" si="70"/>
        <v>168232.03</v>
      </c>
      <c r="AJ182" s="132">
        <f t="shared" si="70"/>
        <v>212543.07</v>
      </c>
      <c r="AK182" s="132">
        <f t="shared" si="70"/>
        <v>199681</v>
      </c>
      <c r="AL182" s="132">
        <f t="shared" si="70"/>
        <v>199681</v>
      </c>
      <c r="AM182" s="132">
        <f t="shared" si="70"/>
        <v>212758</v>
      </c>
      <c r="AN182" s="132">
        <f t="shared" si="70"/>
        <v>212758</v>
      </c>
      <c r="AO182" s="132">
        <f t="shared" si="70"/>
        <v>12863</v>
      </c>
      <c r="AP182" s="132">
        <f t="shared" si="70"/>
        <v>12863</v>
      </c>
      <c r="AQ182" s="132">
        <f t="shared" si="70"/>
        <v>12863</v>
      </c>
      <c r="AR182" s="132">
        <f t="shared" si="70"/>
        <v>0</v>
      </c>
      <c r="AS182" s="132">
        <f t="shared" si="70"/>
        <v>0</v>
      </c>
      <c r="AT182" s="132">
        <f t="shared" si="70"/>
        <v>0</v>
      </c>
      <c r="AU182" s="132">
        <f t="shared" si="70"/>
        <v>0</v>
      </c>
      <c r="AV182" s="132">
        <f t="shared" si="70"/>
        <v>0</v>
      </c>
      <c r="AW182" s="132">
        <f t="shared" si="70"/>
        <v>0</v>
      </c>
      <c r="AX182" s="132">
        <f t="shared" si="70"/>
        <v>0</v>
      </c>
      <c r="AY182" s="132">
        <f t="shared" si="70"/>
        <v>0</v>
      </c>
      <c r="AZ182" s="132">
        <f t="shared" si="70"/>
        <v>0</v>
      </c>
      <c r="BA182" s="132">
        <f t="shared" si="70"/>
        <v>0</v>
      </c>
      <c r="BB182" s="132">
        <f t="shared" si="70"/>
        <v>0</v>
      </c>
      <c r="BC182" s="132">
        <f t="shared" si="70"/>
        <v>0</v>
      </c>
      <c r="BD182" s="132">
        <f t="shared" si="70"/>
        <v>0</v>
      </c>
      <c r="BE182" s="132">
        <f t="shared" si="70"/>
        <v>0</v>
      </c>
      <c r="BF182" s="132">
        <f t="shared" si="70"/>
        <v>0</v>
      </c>
      <c r="BG182" s="132">
        <f t="shared" si="70"/>
        <v>0</v>
      </c>
      <c r="BH182" s="132">
        <f t="shared" si="70"/>
        <v>0</v>
      </c>
      <c r="BI182" s="132">
        <f t="shared" si="70"/>
        <v>0</v>
      </c>
      <c r="BJ182" s="132">
        <f t="shared" si="70"/>
        <v>0</v>
      </c>
      <c r="BK182" s="132">
        <f t="shared" si="70"/>
        <v>0</v>
      </c>
      <c r="BL182" s="132">
        <f t="shared" si="70"/>
        <v>0</v>
      </c>
      <c r="BM182" s="132">
        <f t="shared" si="70"/>
        <v>0</v>
      </c>
      <c r="BN182" s="132">
        <f t="shared" si="70"/>
        <v>7735.7923500000006</v>
      </c>
      <c r="BO182" s="132">
        <f t="shared" ref="BO182" si="71">SUM(BO183:BO193)</f>
        <v>7735.7923500000006</v>
      </c>
      <c r="BP182" s="132">
        <v>7735.7923500000006</v>
      </c>
      <c r="BQ182" s="132">
        <v>7735.7923500000006</v>
      </c>
      <c r="BR182" s="132">
        <v>7735.7923500000006</v>
      </c>
      <c r="BS182" s="132">
        <v>7735.785538000001</v>
      </c>
      <c r="BT182" s="132">
        <f t="shared" ref="BT182" si="72">SUM(BT183:BT193)</f>
        <v>12625.873403</v>
      </c>
    </row>
    <row r="183" spans="1:72" ht="15" hidden="1" customHeight="1" outlineLevel="1" x14ac:dyDescent="0.3">
      <c r="A183" t="s">
        <v>325</v>
      </c>
      <c r="B183" s="134" t="s">
        <v>262</v>
      </c>
      <c r="C183" s="137">
        <v>0</v>
      </c>
      <c r="D183" s="137">
        <v>0</v>
      </c>
      <c r="E183" s="137">
        <v>0</v>
      </c>
      <c r="F183" s="137">
        <v>0</v>
      </c>
      <c r="G183" s="137">
        <v>0</v>
      </c>
      <c r="H183" s="137">
        <v>0</v>
      </c>
      <c r="I183" s="137">
        <v>0</v>
      </c>
      <c r="J183" s="137">
        <v>0</v>
      </c>
      <c r="K183" s="137">
        <v>0</v>
      </c>
      <c r="L183" s="137">
        <v>0</v>
      </c>
      <c r="M183" s="137">
        <v>0</v>
      </c>
      <c r="N183" s="137">
        <v>0</v>
      </c>
      <c r="O183" s="137">
        <v>0</v>
      </c>
      <c r="P183" s="137">
        <v>0</v>
      </c>
      <c r="Q183" s="137">
        <v>0</v>
      </c>
      <c r="R183" s="137">
        <v>0</v>
      </c>
      <c r="S183" s="137">
        <v>0</v>
      </c>
      <c r="T183" s="137">
        <v>0</v>
      </c>
      <c r="U183" s="137">
        <v>0</v>
      </c>
      <c r="V183" s="137">
        <v>0</v>
      </c>
      <c r="W183" s="137">
        <v>0</v>
      </c>
      <c r="X183" s="137">
        <v>0</v>
      </c>
      <c r="Y183" s="137">
        <v>0</v>
      </c>
      <c r="Z183" s="137">
        <v>0</v>
      </c>
      <c r="AA183" s="137">
        <v>0</v>
      </c>
      <c r="AB183" s="137">
        <v>0</v>
      </c>
      <c r="AC183" s="137">
        <v>0</v>
      </c>
      <c r="AD183" s="137">
        <v>0</v>
      </c>
      <c r="AE183" s="137">
        <v>0</v>
      </c>
      <c r="AF183" s="137">
        <v>0</v>
      </c>
      <c r="AG183" s="137">
        <v>0</v>
      </c>
      <c r="AH183" s="137">
        <v>0</v>
      </c>
      <c r="AI183" s="137">
        <v>0</v>
      </c>
      <c r="AJ183" s="137">
        <v>0</v>
      </c>
      <c r="AK183" s="137">
        <v>0</v>
      </c>
      <c r="AL183" s="137">
        <v>0</v>
      </c>
      <c r="AM183" s="137">
        <v>0</v>
      </c>
      <c r="AN183" s="137">
        <v>0</v>
      </c>
      <c r="AO183" s="137">
        <v>0</v>
      </c>
      <c r="AP183" s="137">
        <v>0</v>
      </c>
      <c r="AQ183" s="137">
        <v>0</v>
      </c>
      <c r="AR183" s="137">
        <v>0</v>
      </c>
      <c r="AS183" s="137">
        <v>0</v>
      </c>
      <c r="AT183" s="137">
        <v>0</v>
      </c>
      <c r="AU183" s="137">
        <v>0</v>
      </c>
      <c r="AV183" s="137">
        <v>0</v>
      </c>
      <c r="AW183" s="137">
        <v>0</v>
      </c>
      <c r="AX183" s="137">
        <v>0</v>
      </c>
      <c r="AY183" s="137">
        <v>0</v>
      </c>
      <c r="AZ183" s="137">
        <v>0</v>
      </c>
      <c r="BA183" s="137">
        <v>0</v>
      </c>
      <c r="BB183" s="137">
        <v>0</v>
      </c>
      <c r="BC183" s="137">
        <v>0</v>
      </c>
      <c r="BD183" s="137">
        <v>0</v>
      </c>
      <c r="BE183" s="137">
        <v>0</v>
      </c>
      <c r="BF183" s="137">
        <v>0</v>
      </c>
      <c r="BG183" s="137">
        <v>0</v>
      </c>
      <c r="BH183" s="137">
        <v>0</v>
      </c>
      <c r="BI183" s="137">
        <v>0</v>
      </c>
      <c r="BJ183" s="137">
        <v>0</v>
      </c>
      <c r="BK183" s="137">
        <v>0</v>
      </c>
      <c r="BL183" s="137">
        <v>0</v>
      </c>
      <c r="BM183" s="137">
        <v>0</v>
      </c>
      <c r="BN183" s="137">
        <v>7735.7923500000006</v>
      </c>
      <c r="BO183" s="137">
        <v>7735.7923500000006</v>
      </c>
      <c r="BP183" s="137">
        <v>7735.7923500000006</v>
      </c>
      <c r="BQ183" s="137">
        <v>7735.7923500000006</v>
      </c>
      <c r="BR183" s="137">
        <v>7735.7923500000006</v>
      </c>
      <c r="BS183" s="137">
        <v>7735.785538000001</v>
      </c>
      <c r="BT183" s="137">
        <v>12625.873403</v>
      </c>
    </row>
    <row r="184" spans="1:72" ht="15" hidden="1" customHeight="1" outlineLevel="1" x14ac:dyDescent="0.3">
      <c r="A184" t="s">
        <v>73</v>
      </c>
      <c r="B184" s="134" t="s">
        <v>263</v>
      </c>
      <c r="C184" s="135">
        <v>40350</v>
      </c>
      <c r="D184" s="135">
        <v>40350</v>
      </c>
      <c r="E184" s="135">
        <v>40350</v>
      </c>
      <c r="F184" s="135">
        <v>40350</v>
      </c>
      <c r="G184" s="135">
        <v>40350</v>
      </c>
      <c r="H184" s="135">
        <v>40350</v>
      </c>
      <c r="I184" s="135">
        <v>40350</v>
      </c>
      <c r="J184" s="135">
        <v>40350</v>
      </c>
      <c r="K184" s="135">
        <v>40350</v>
      </c>
      <c r="L184" s="135">
        <v>40350</v>
      </c>
      <c r="M184" s="135">
        <v>40350</v>
      </c>
      <c r="N184" s="135">
        <v>40350</v>
      </c>
      <c r="O184" s="135">
        <v>40350</v>
      </c>
      <c r="P184" s="135">
        <v>40350</v>
      </c>
      <c r="Q184" s="135">
        <v>40350</v>
      </c>
      <c r="R184" s="135">
        <v>40350</v>
      </c>
      <c r="S184" s="135">
        <v>40350</v>
      </c>
      <c r="T184" s="135">
        <v>40350</v>
      </c>
      <c r="U184" s="135">
        <v>40350</v>
      </c>
      <c r="V184" s="135">
        <v>40350</v>
      </c>
      <c r="W184" s="135">
        <v>40350</v>
      </c>
      <c r="X184" s="135">
        <v>40349.839999999997</v>
      </c>
      <c r="Y184" s="135">
        <v>40349.839999999997</v>
      </c>
      <c r="Z184" s="135">
        <v>40349.839999999997</v>
      </c>
      <c r="AA184" s="135">
        <v>40349.839999999997</v>
      </c>
      <c r="AB184" s="135">
        <v>40349.839999999997</v>
      </c>
      <c r="AC184" s="135">
        <v>40349.839999999997</v>
      </c>
      <c r="AD184" s="135">
        <v>40350</v>
      </c>
      <c r="AE184" s="135">
        <v>40350</v>
      </c>
      <c r="AF184" s="135">
        <v>40349.839999999997</v>
      </c>
      <c r="AG184" s="135">
        <v>40349.839999999997</v>
      </c>
      <c r="AH184" s="135">
        <v>40349.839999999997</v>
      </c>
      <c r="AI184" s="135">
        <v>40349.839999999997</v>
      </c>
      <c r="AJ184" s="135">
        <v>40349.839999999997</v>
      </c>
      <c r="AK184" s="135">
        <v>27487</v>
      </c>
      <c r="AL184" s="135">
        <v>27487</v>
      </c>
      <c r="AM184" s="135">
        <v>27487</v>
      </c>
      <c r="AN184" s="136">
        <v>27487</v>
      </c>
      <c r="AO184" s="136">
        <v>12863</v>
      </c>
      <c r="AP184" s="136">
        <v>12863</v>
      </c>
      <c r="AQ184" s="136">
        <v>12863</v>
      </c>
      <c r="AR184" s="136">
        <v>0</v>
      </c>
      <c r="AS184" s="136">
        <v>0</v>
      </c>
      <c r="AT184" s="136">
        <v>0</v>
      </c>
      <c r="AU184" s="136">
        <v>0</v>
      </c>
      <c r="AV184" s="136">
        <v>0</v>
      </c>
      <c r="AW184" s="136">
        <v>0</v>
      </c>
      <c r="AX184" s="136">
        <v>0</v>
      </c>
      <c r="AY184" s="147">
        <v>0</v>
      </c>
      <c r="AZ184" s="147">
        <v>0</v>
      </c>
      <c r="BA184" s="147">
        <v>0</v>
      </c>
      <c r="BB184" s="147">
        <v>0</v>
      </c>
      <c r="BC184" s="147">
        <v>0</v>
      </c>
      <c r="BD184" s="147">
        <v>0</v>
      </c>
      <c r="BE184" s="147">
        <v>0</v>
      </c>
      <c r="BF184" s="147">
        <v>0</v>
      </c>
      <c r="BG184" s="137">
        <v>0</v>
      </c>
      <c r="BH184" s="137">
        <v>0</v>
      </c>
      <c r="BI184" s="137">
        <v>0</v>
      </c>
      <c r="BJ184" s="137">
        <v>0</v>
      </c>
      <c r="BK184" s="137">
        <v>0</v>
      </c>
      <c r="BL184" s="137">
        <v>0</v>
      </c>
      <c r="BM184" s="137">
        <v>0</v>
      </c>
      <c r="BN184" s="137">
        <v>0</v>
      </c>
      <c r="BO184" s="137">
        <v>0</v>
      </c>
      <c r="BP184" s="137">
        <v>0</v>
      </c>
      <c r="BQ184" s="137">
        <v>0</v>
      </c>
      <c r="BR184" s="137">
        <v>0</v>
      </c>
      <c r="BS184" s="137">
        <v>0</v>
      </c>
      <c r="BT184" s="137">
        <v>0</v>
      </c>
    </row>
    <row r="185" spans="1:72" ht="15" hidden="1" customHeight="1" outlineLevel="1" x14ac:dyDescent="0.3">
      <c r="A185" t="s">
        <v>73</v>
      </c>
      <c r="B185" s="134" t="s">
        <v>264</v>
      </c>
      <c r="C185" s="135">
        <v>0</v>
      </c>
      <c r="D185" s="135">
        <v>0</v>
      </c>
      <c r="E185" s="135">
        <v>0</v>
      </c>
      <c r="F185" s="135">
        <v>0</v>
      </c>
      <c r="G185" s="135">
        <v>0</v>
      </c>
      <c r="H185" s="135">
        <v>0</v>
      </c>
      <c r="I185" s="135">
        <v>0</v>
      </c>
      <c r="J185" s="135">
        <v>0</v>
      </c>
      <c r="K185" s="135">
        <v>0</v>
      </c>
      <c r="L185" s="135">
        <v>0</v>
      </c>
      <c r="M185" s="135">
        <v>0</v>
      </c>
      <c r="N185" s="135">
        <v>0</v>
      </c>
      <c r="O185" s="135">
        <v>0</v>
      </c>
      <c r="P185" s="135">
        <v>0</v>
      </c>
      <c r="Q185" s="136">
        <v>13899</v>
      </c>
      <c r="R185" s="136">
        <v>4361</v>
      </c>
      <c r="S185" s="135">
        <v>2877</v>
      </c>
      <c r="T185" s="135">
        <v>2877</v>
      </c>
      <c r="U185" s="135">
        <v>2877</v>
      </c>
      <c r="V185" s="135">
        <v>2877</v>
      </c>
      <c r="W185" s="135">
        <v>2877</v>
      </c>
      <c r="X185" s="135">
        <v>2877</v>
      </c>
      <c r="Y185" s="135">
        <v>2877</v>
      </c>
      <c r="Z185" s="135">
        <v>2876.6817499999997</v>
      </c>
      <c r="AA185" s="135">
        <v>2876.6817499999997</v>
      </c>
      <c r="AB185" s="135">
        <v>2876.6817499999997</v>
      </c>
      <c r="AC185" s="135">
        <v>2876.6817499999997</v>
      </c>
      <c r="AD185" s="135">
        <v>2877</v>
      </c>
      <c r="AE185" s="135">
        <v>2877</v>
      </c>
      <c r="AF185" s="135">
        <v>2876.6817499999997</v>
      </c>
      <c r="AG185" s="135">
        <v>2876.6817499999997</v>
      </c>
      <c r="AH185" s="135">
        <v>2876.6817499999997</v>
      </c>
      <c r="AI185" s="135">
        <v>2876.6817499999997</v>
      </c>
      <c r="AJ185" s="135">
        <v>2876.6817499999997</v>
      </c>
      <c r="AK185" s="135">
        <v>2877</v>
      </c>
      <c r="AL185" s="135">
        <v>2877</v>
      </c>
      <c r="AM185" s="135">
        <v>2877</v>
      </c>
      <c r="AN185" s="136">
        <v>2877</v>
      </c>
      <c r="AO185" s="136">
        <v>0</v>
      </c>
      <c r="AP185" s="136">
        <v>0</v>
      </c>
      <c r="AQ185" s="136">
        <v>0</v>
      </c>
      <c r="AR185" s="136">
        <v>0</v>
      </c>
      <c r="AS185" s="136">
        <v>0</v>
      </c>
      <c r="AT185" s="136">
        <v>0</v>
      </c>
      <c r="AU185" s="136">
        <v>0</v>
      </c>
      <c r="AV185" s="136">
        <v>0</v>
      </c>
      <c r="AW185" s="136">
        <v>0</v>
      </c>
      <c r="AX185" s="136">
        <v>0</v>
      </c>
      <c r="AY185" s="147">
        <v>0</v>
      </c>
      <c r="AZ185" s="147">
        <v>0</v>
      </c>
      <c r="BA185" s="147">
        <v>0</v>
      </c>
      <c r="BB185" s="147">
        <v>0</v>
      </c>
      <c r="BC185" s="147">
        <v>0</v>
      </c>
      <c r="BD185" s="147">
        <v>0</v>
      </c>
      <c r="BE185" s="147">
        <v>0</v>
      </c>
      <c r="BF185" s="147">
        <v>0</v>
      </c>
      <c r="BG185" s="137">
        <v>0</v>
      </c>
      <c r="BH185" s="137">
        <v>0</v>
      </c>
      <c r="BI185" s="137">
        <v>0</v>
      </c>
      <c r="BJ185" s="137">
        <v>0</v>
      </c>
      <c r="BK185" s="137">
        <v>0</v>
      </c>
      <c r="BL185" s="137">
        <v>0</v>
      </c>
      <c r="BM185" s="137">
        <v>0</v>
      </c>
      <c r="BN185" s="137">
        <v>0</v>
      </c>
      <c r="BO185" s="137">
        <v>0</v>
      </c>
      <c r="BP185" s="137">
        <v>0</v>
      </c>
      <c r="BQ185" s="137">
        <v>0</v>
      </c>
      <c r="BR185" s="137">
        <v>0</v>
      </c>
      <c r="BS185" s="137">
        <v>0</v>
      </c>
      <c r="BT185" s="137">
        <v>0</v>
      </c>
    </row>
    <row r="186" spans="1:72" ht="15" hidden="1" customHeight="1" outlineLevel="1" x14ac:dyDescent="0.3">
      <c r="A186" t="s">
        <v>73</v>
      </c>
      <c r="B186" s="134" t="s">
        <v>266</v>
      </c>
      <c r="C186" s="135">
        <v>0</v>
      </c>
      <c r="D186" s="135">
        <v>0</v>
      </c>
      <c r="E186" s="135">
        <v>0</v>
      </c>
      <c r="F186" s="135">
        <v>0</v>
      </c>
      <c r="G186" s="135">
        <v>0</v>
      </c>
      <c r="H186" s="135">
        <v>0</v>
      </c>
      <c r="I186" s="135">
        <v>0</v>
      </c>
      <c r="J186" s="135">
        <v>0</v>
      </c>
      <c r="K186" s="135">
        <v>0</v>
      </c>
      <c r="L186" s="135">
        <v>0</v>
      </c>
      <c r="M186" s="135">
        <v>0</v>
      </c>
      <c r="N186" s="135">
        <v>0</v>
      </c>
      <c r="O186" s="135">
        <v>0</v>
      </c>
      <c r="P186" s="135">
        <v>0</v>
      </c>
      <c r="Q186" s="135">
        <v>0</v>
      </c>
      <c r="R186" s="135">
        <v>0</v>
      </c>
      <c r="S186" s="135">
        <v>0</v>
      </c>
      <c r="T186" s="135">
        <v>0</v>
      </c>
      <c r="U186" s="135">
        <v>0</v>
      </c>
      <c r="V186" s="135">
        <v>0</v>
      </c>
      <c r="W186" s="135">
        <v>1899</v>
      </c>
      <c r="X186" s="135">
        <v>1899.3900000000003</v>
      </c>
      <c r="Y186" s="135">
        <v>1899.3900000000003</v>
      </c>
      <c r="Z186" s="135">
        <v>1899.3900000000003</v>
      </c>
      <c r="AA186" s="135">
        <v>1899.3900000000003</v>
      </c>
      <c r="AB186" s="135">
        <v>1899.3900000000003</v>
      </c>
      <c r="AC186" s="135">
        <v>1899.3900000000003</v>
      </c>
      <c r="AD186" s="135">
        <v>1899</v>
      </c>
      <c r="AE186" s="135">
        <v>1899</v>
      </c>
      <c r="AF186" s="135">
        <v>1899.3900000000003</v>
      </c>
      <c r="AG186" s="135">
        <v>1899.3900000000003</v>
      </c>
      <c r="AH186" s="135">
        <v>1899.3900000000003</v>
      </c>
      <c r="AI186" s="135">
        <v>1899.3900000000003</v>
      </c>
      <c r="AJ186" s="135">
        <v>1899.3900000000003</v>
      </c>
      <c r="AK186" s="135">
        <v>1899</v>
      </c>
      <c r="AL186" s="135">
        <v>1899</v>
      </c>
      <c r="AM186" s="135">
        <v>1899</v>
      </c>
      <c r="AN186" s="136">
        <v>1899</v>
      </c>
      <c r="AO186" s="136">
        <v>0</v>
      </c>
      <c r="AP186" s="136">
        <v>0</v>
      </c>
      <c r="AQ186" s="136">
        <v>0</v>
      </c>
      <c r="AR186" s="136">
        <v>0</v>
      </c>
      <c r="AS186" s="136">
        <v>0</v>
      </c>
      <c r="AT186" s="136">
        <v>0</v>
      </c>
      <c r="AU186" s="136">
        <v>0</v>
      </c>
      <c r="AV186" s="136">
        <v>0</v>
      </c>
      <c r="AW186" s="136">
        <v>0</v>
      </c>
      <c r="AX186" s="136">
        <v>0</v>
      </c>
      <c r="AY186" s="147">
        <v>0</v>
      </c>
      <c r="AZ186" s="147">
        <v>0</v>
      </c>
      <c r="BA186" s="147">
        <v>0</v>
      </c>
      <c r="BB186" s="147">
        <v>0</v>
      </c>
      <c r="BC186" s="147">
        <v>0</v>
      </c>
      <c r="BD186" s="147">
        <v>0</v>
      </c>
      <c r="BE186" s="147">
        <v>0</v>
      </c>
      <c r="BF186" s="147">
        <v>0</v>
      </c>
      <c r="BG186" s="137">
        <v>0</v>
      </c>
      <c r="BH186" s="137">
        <v>0</v>
      </c>
      <c r="BI186" s="137">
        <v>0</v>
      </c>
      <c r="BJ186" s="137">
        <v>0</v>
      </c>
      <c r="BK186" s="137">
        <v>0</v>
      </c>
      <c r="BL186" s="137">
        <v>0</v>
      </c>
      <c r="BM186" s="137">
        <v>0</v>
      </c>
      <c r="BN186" s="137">
        <v>0</v>
      </c>
      <c r="BO186" s="137">
        <v>0</v>
      </c>
      <c r="BP186" s="137">
        <v>0</v>
      </c>
      <c r="BQ186" s="137">
        <v>0</v>
      </c>
      <c r="BR186" s="137">
        <v>0</v>
      </c>
      <c r="BS186" s="137">
        <v>0</v>
      </c>
      <c r="BT186" s="137">
        <v>0</v>
      </c>
    </row>
    <row r="187" spans="1:72" ht="15" hidden="1" customHeight="1" outlineLevel="1" x14ac:dyDescent="0.3">
      <c r="A187" t="s">
        <v>73</v>
      </c>
      <c r="B187" s="134" t="s">
        <v>267</v>
      </c>
      <c r="C187" s="135">
        <v>0</v>
      </c>
      <c r="D187" s="135">
        <v>0</v>
      </c>
      <c r="E187" s="135">
        <v>0</v>
      </c>
      <c r="F187" s="135">
        <v>0</v>
      </c>
      <c r="G187" s="135">
        <v>0</v>
      </c>
      <c r="H187" s="135">
        <v>0</v>
      </c>
      <c r="I187" s="135">
        <v>0</v>
      </c>
      <c r="J187" s="135">
        <v>0</v>
      </c>
      <c r="K187" s="135">
        <v>0</v>
      </c>
      <c r="L187" s="135">
        <v>0</v>
      </c>
      <c r="M187" s="135">
        <v>0</v>
      </c>
      <c r="N187" s="135">
        <v>0</v>
      </c>
      <c r="O187" s="135">
        <v>0</v>
      </c>
      <c r="P187" s="135">
        <v>0</v>
      </c>
      <c r="Q187" s="135">
        <v>0</v>
      </c>
      <c r="R187" s="135">
        <v>0</v>
      </c>
      <c r="S187" s="135">
        <v>0</v>
      </c>
      <c r="T187" s="135">
        <v>0</v>
      </c>
      <c r="U187" s="135">
        <v>0</v>
      </c>
      <c r="V187" s="135">
        <v>0</v>
      </c>
      <c r="W187" s="135">
        <v>0</v>
      </c>
      <c r="X187" s="135">
        <v>8259.2092429701552</v>
      </c>
      <c r="Y187" s="135">
        <v>8259.2092429701552</v>
      </c>
      <c r="Z187" s="135">
        <v>8259.2092429701552</v>
      </c>
      <c r="AA187" s="135">
        <v>8259.2092429701552</v>
      </c>
      <c r="AB187" s="135">
        <v>8259.2092429701552</v>
      </c>
      <c r="AC187" s="135">
        <v>8259.2092429701552</v>
      </c>
      <c r="AD187" s="135">
        <v>8259</v>
      </c>
      <c r="AE187" s="135">
        <v>8259</v>
      </c>
      <c r="AF187" s="135">
        <v>8266.68</v>
      </c>
      <c r="AG187" s="135">
        <v>8266.68</v>
      </c>
      <c r="AH187" s="135">
        <v>8266.68</v>
      </c>
      <c r="AI187" s="135">
        <v>8266.68</v>
      </c>
      <c r="AJ187" s="135">
        <v>8266.68</v>
      </c>
      <c r="AK187" s="135">
        <v>8267</v>
      </c>
      <c r="AL187" s="135">
        <v>8267</v>
      </c>
      <c r="AM187" s="135">
        <v>8267</v>
      </c>
      <c r="AN187" s="136">
        <v>8267</v>
      </c>
      <c r="AO187" s="136">
        <v>0</v>
      </c>
      <c r="AP187" s="136">
        <v>0</v>
      </c>
      <c r="AQ187" s="136">
        <v>0</v>
      </c>
      <c r="AR187" s="136">
        <v>0</v>
      </c>
      <c r="AS187" s="136">
        <v>0</v>
      </c>
      <c r="AT187" s="136">
        <v>0</v>
      </c>
      <c r="AU187" s="136">
        <v>0</v>
      </c>
      <c r="AV187" s="136">
        <v>0</v>
      </c>
      <c r="AW187" s="136">
        <v>0</v>
      </c>
      <c r="AX187" s="136">
        <v>0</v>
      </c>
      <c r="AY187" s="147">
        <v>0</v>
      </c>
      <c r="AZ187" s="147">
        <v>0</v>
      </c>
      <c r="BA187" s="147">
        <v>0</v>
      </c>
      <c r="BB187" s="147">
        <v>0</v>
      </c>
      <c r="BC187" s="147">
        <v>0</v>
      </c>
      <c r="BD187" s="147">
        <v>0</v>
      </c>
      <c r="BE187" s="147">
        <v>0</v>
      </c>
      <c r="BF187" s="147">
        <v>0</v>
      </c>
      <c r="BG187" s="137">
        <v>0</v>
      </c>
      <c r="BH187" s="137">
        <v>0</v>
      </c>
      <c r="BI187" s="137">
        <v>0</v>
      </c>
      <c r="BJ187" s="137">
        <v>0</v>
      </c>
      <c r="BK187" s="137">
        <v>0</v>
      </c>
      <c r="BL187" s="137">
        <v>0</v>
      </c>
      <c r="BM187" s="137">
        <v>0</v>
      </c>
      <c r="BN187" s="137">
        <v>0</v>
      </c>
      <c r="BO187" s="137">
        <v>0</v>
      </c>
      <c r="BP187" s="137">
        <v>0</v>
      </c>
      <c r="BQ187" s="137">
        <v>0</v>
      </c>
      <c r="BR187" s="137">
        <v>0</v>
      </c>
      <c r="BS187" s="137">
        <v>0</v>
      </c>
      <c r="BT187" s="137">
        <v>0</v>
      </c>
    </row>
    <row r="188" spans="1:72" ht="15" hidden="1" customHeight="1" outlineLevel="1" x14ac:dyDescent="0.3">
      <c r="A188" t="s">
        <v>73</v>
      </c>
      <c r="B188" s="134" t="s">
        <v>268</v>
      </c>
      <c r="C188" s="135">
        <v>0</v>
      </c>
      <c r="D188" s="135">
        <v>0</v>
      </c>
      <c r="E188" s="135">
        <v>0</v>
      </c>
      <c r="F188" s="135">
        <v>0</v>
      </c>
      <c r="G188" s="135">
        <v>0</v>
      </c>
      <c r="H188" s="135">
        <v>0</v>
      </c>
      <c r="I188" s="135">
        <v>0</v>
      </c>
      <c r="J188" s="135">
        <v>0</v>
      </c>
      <c r="K188" s="135">
        <v>0</v>
      </c>
      <c r="L188" s="135">
        <v>0</v>
      </c>
      <c r="M188" s="135">
        <v>0</v>
      </c>
      <c r="N188" s="135">
        <v>0</v>
      </c>
      <c r="O188" s="135">
        <v>0</v>
      </c>
      <c r="P188" s="135">
        <v>0</v>
      </c>
      <c r="Q188" s="135">
        <v>0</v>
      </c>
      <c r="R188" s="135">
        <v>0</v>
      </c>
      <c r="S188" s="135">
        <v>0</v>
      </c>
      <c r="T188" s="135">
        <v>0</v>
      </c>
      <c r="U188" s="135">
        <v>0</v>
      </c>
      <c r="V188" s="135">
        <v>0</v>
      </c>
      <c r="W188" s="135">
        <v>0</v>
      </c>
      <c r="X188" s="135">
        <v>0</v>
      </c>
      <c r="Y188" s="135">
        <v>0</v>
      </c>
      <c r="Z188" s="136">
        <v>41417.840000000004</v>
      </c>
      <c r="AA188" s="136">
        <v>41417.840000000004</v>
      </c>
      <c r="AB188" s="136">
        <v>41417.840000000004</v>
      </c>
      <c r="AC188" s="135">
        <v>57343</v>
      </c>
      <c r="AD188" s="135">
        <v>57343</v>
      </c>
      <c r="AE188" s="135">
        <v>57343</v>
      </c>
      <c r="AF188" s="135">
        <v>57343</v>
      </c>
      <c r="AG188" s="135">
        <v>57343</v>
      </c>
      <c r="AH188" s="135">
        <v>57343</v>
      </c>
      <c r="AI188" s="135">
        <v>57343</v>
      </c>
      <c r="AJ188" s="135">
        <v>57343</v>
      </c>
      <c r="AK188" s="135">
        <v>57343</v>
      </c>
      <c r="AL188" s="135">
        <v>57343</v>
      </c>
      <c r="AM188" s="135">
        <v>57343</v>
      </c>
      <c r="AN188" s="136">
        <v>57343</v>
      </c>
      <c r="AO188" s="136">
        <v>0</v>
      </c>
      <c r="AP188" s="136">
        <v>0</v>
      </c>
      <c r="AQ188" s="136">
        <v>0</v>
      </c>
      <c r="AR188" s="136">
        <v>0</v>
      </c>
      <c r="AS188" s="136">
        <v>0</v>
      </c>
      <c r="AT188" s="136">
        <v>0</v>
      </c>
      <c r="AU188" s="136">
        <v>0</v>
      </c>
      <c r="AV188" s="136">
        <v>0</v>
      </c>
      <c r="AW188" s="136">
        <v>0</v>
      </c>
      <c r="AX188" s="136">
        <v>0</v>
      </c>
      <c r="AY188" s="147">
        <v>0</v>
      </c>
      <c r="AZ188" s="147">
        <v>0</v>
      </c>
      <c r="BA188" s="147">
        <v>0</v>
      </c>
      <c r="BB188" s="147">
        <v>0</v>
      </c>
      <c r="BC188" s="147">
        <v>0</v>
      </c>
      <c r="BD188" s="147">
        <v>0</v>
      </c>
      <c r="BE188" s="147">
        <v>0</v>
      </c>
      <c r="BF188" s="147">
        <v>0</v>
      </c>
      <c r="BG188" s="137">
        <v>0</v>
      </c>
      <c r="BH188" s="137">
        <v>0</v>
      </c>
      <c r="BI188" s="137">
        <v>0</v>
      </c>
      <c r="BJ188" s="137">
        <v>0</v>
      </c>
      <c r="BK188" s="137">
        <v>0</v>
      </c>
      <c r="BL188" s="137">
        <v>0</v>
      </c>
      <c r="BM188" s="137">
        <v>0</v>
      </c>
      <c r="BN188" s="137">
        <v>0</v>
      </c>
      <c r="BO188" s="137">
        <v>0</v>
      </c>
      <c r="BP188" s="137">
        <v>0</v>
      </c>
      <c r="BQ188" s="137">
        <v>0</v>
      </c>
      <c r="BR188" s="137">
        <v>0</v>
      </c>
      <c r="BS188" s="137">
        <v>0</v>
      </c>
      <c r="BT188" s="137">
        <v>0</v>
      </c>
    </row>
    <row r="189" spans="1:72" ht="15" hidden="1" customHeight="1" outlineLevel="1" x14ac:dyDescent="0.3">
      <c r="A189" t="s">
        <v>73</v>
      </c>
      <c r="B189" s="134" t="s">
        <v>265</v>
      </c>
      <c r="C189" s="135">
        <v>0</v>
      </c>
      <c r="D189" s="135">
        <v>0</v>
      </c>
      <c r="E189" s="135">
        <v>0</v>
      </c>
      <c r="F189" s="135">
        <v>0</v>
      </c>
      <c r="G189" s="135">
        <v>0</v>
      </c>
      <c r="H189" s="135">
        <v>0</v>
      </c>
      <c r="I189" s="135">
        <v>0</v>
      </c>
      <c r="J189" s="135">
        <v>0</v>
      </c>
      <c r="K189" s="135">
        <v>0</v>
      </c>
      <c r="L189" s="135">
        <v>0</v>
      </c>
      <c r="M189" s="135">
        <v>0</v>
      </c>
      <c r="N189" s="135">
        <v>0</v>
      </c>
      <c r="O189" s="135">
        <v>0</v>
      </c>
      <c r="P189" s="135">
        <v>0</v>
      </c>
      <c r="Q189" s="135">
        <v>0</v>
      </c>
      <c r="R189" s="135">
        <v>0</v>
      </c>
      <c r="S189" s="135">
        <v>0</v>
      </c>
      <c r="T189" s="135">
        <v>0</v>
      </c>
      <c r="U189" s="135">
        <v>0</v>
      </c>
      <c r="V189" s="135">
        <v>0</v>
      </c>
      <c r="W189" s="135">
        <v>0</v>
      </c>
      <c r="X189" s="135">
        <v>1751</v>
      </c>
      <c r="Y189" s="135">
        <v>1751</v>
      </c>
      <c r="Z189" s="135">
        <v>1751</v>
      </c>
      <c r="AA189" s="135">
        <v>1750.76325</v>
      </c>
      <c r="AB189" s="135">
        <v>1750.76325</v>
      </c>
      <c r="AC189" s="135">
        <v>1750.76325</v>
      </c>
      <c r="AD189" s="135">
        <v>1751</v>
      </c>
      <c r="AE189" s="135">
        <v>1751</v>
      </c>
      <c r="AF189" s="135">
        <v>1750.76325</v>
      </c>
      <c r="AG189" s="135">
        <v>1750.76325</v>
      </c>
      <c r="AH189" s="135">
        <v>1750.76325</v>
      </c>
      <c r="AI189" s="135">
        <v>1750.76325</v>
      </c>
      <c r="AJ189" s="135">
        <v>1750.76325</v>
      </c>
      <c r="AK189" s="135">
        <v>1751</v>
      </c>
      <c r="AL189" s="135">
        <v>1751</v>
      </c>
      <c r="AM189" s="135">
        <v>1751</v>
      </c>
      <c r="AN189" s="136">
        <v>1751</v>
      </c>
      <c r="AO189" s="136">
        <v>0</v>
      </c>
      <c r="AP189" s="136">
        <v>0</v>
      </c>
      <c r="AQ189" s="136">
        <v>0</v>
      </c>
      <c r="AR189" s="136">
        <v>0</v>
      </c>
      <c r="AS189" s="136">
        <v>0</v>
      </c>
      <c r="AT189" s="136">
        <v>0</v>
      </c>
      <c r="AU189" s="136">
        <v>0</v>
      </c>
      <c r="AV189" s="136">
        <v>0</v>
      </c>
      <c r="AW189" s="136">
        <v>0</v>
      </c>
      <c r="AX189" s="136">
        <v>0</v>
      </c>
      <c r="AY189" s="147">
        <v>0</v>
      </c>
      <c r="AZ189" s="147">
        <v>0</v>
      </c>
      <c r="BA189" s="147">
        <v>0</v>
      </c>
      <c r="BB189" s="147">
        <v>0</v>
      </c>
      <c r="BC189" s="147">
        <v>0</v>
      </c>
      <c r="BD189" s="147">
        <v>0</v>
      </c>
      <c r="BE189" s="147">
        <v>0</v>
      </c>
      <c r="BF189" s="147">
        <v>0</v>
      </c>
      <c r="BG189" s="137">
        <v>0</v>
      </c>
      <c r="BH189" s="137">
        <v>0</v>
      </c>
      <c r="BI189" s="137">
        <v>0</v>
      </c>
      <c r="BJ189" s="137">
        <v>0</v>
      </c>
      <c r="BK189" s="137">
        <v>0</v>
      </c>
      <c r="BL189" s="137">
        <v>0</v>
      </c>
      <c r="BM189" s="137">
        <v>0</v>
      </c>
      <c r="BN189" s="137">
        <v>0</v>
      </c>
      <c r="BO189" s="137">
        <v>0</v>
      </c>
      <c r="BP189" s="137">
        <v>0</v>
      </c>
      <c r="BQ189" s="137">
        <v>0</v>
      </c>
      <c r="BR189" s="137">
        <v>0</v>
      </c>
      <c r="BS189" s="137">
        <v>0</v>
      </c>
      <c r="BT189" s="137">
        <v>0</v>
      </c>
    </row>
    <row r="190" spans="1:72" ht="15" hidden="1" customHeight="1" outlineLevel="1" x14ac:dyDescent="0.3">
      <c r="A190" t="s">
        <v>73</v>
      </c>
      <c r="B190" s="134" t="s">
        <v>269</v>
      </c>
      <c r="C190" s="135">
        <v>0</v>
      </c>
      <c r="D190" s="135">
        <v>0</v>
      </c>
      <c r="E190" s="135">
        <v>0</v>
      </c>
      <c r="F190" s="135">
        <v>0</v>
      </c>
      <c r="G190" s="135">
        <v>0</v>
      </c>
      <c r="H190" s="135">
        <v>0</v>
      </c>
      <c r="I190" s="135">
        <v>0</v>
      </c>
      <c r="J190" s="135">
        <v>0</v>
      </c>
      <c r="K190" s="135">
        <v>0</v>
      </c>
      <c r="L190" s="135">
        <v>0</v>
      </c>
      <c r="M190" s="135">
        <v>0</v>
      </c>
      <c r="N190" s="135">
        <v>0</v>
      </c>
      <c r="O190" s="135">
        <v>0</v>
      </c>
      <c r="P190" s="135">
        <v>0</v>
      </c>
      <c r="Q190" s="135">
        <v>0</v>
      </c>
      <c r="R190" s="135">
        <v>0</v>
      </c>
      <c r="S190" s="135">
        <v>0</v>
      </c>
      <c r="T190" s="135">
        <v>0</v>
      </c>
      <c r="U190" s="135">
        <v>0</v>
      </c>
      <c r="V190" s="135">
        <v>0</v>
      </c>
      <c r="W190" s="135">
        <v>0</v>
      </c>
      <c r="X190" s="135">
        <v>0</v>
      </c>
      <c r="Y190" s="135">
        <v>0</v>
      </c>
      <c r="Z190" s="135">
        <v>0</v>
      </c>
      <c r="AA190" s="135">
        <v>0</v>
      </c>
      <c r="AB190" s="135">
        <v>27226.675000000003</v>
      </c>
      <c r="AC190" s="135">
        <v>27226.675000000003</v>
      </c>
      <c r="AD190" s="135">
        <v>27227</v>
      </c>
      <c r="AE190" s="135">
        <v>27227</v>
      </c>
      <c r="AF190" s="135">
        <v>27226.675000000003</v>
      </c>
      <c r="AG190" s="135">
        <v>27226.675000000003</v>
      </c>
      <c r="AH190" s="135">
        <v>27226.675000000003</v>
      </c>
      <c r="AI190" s="135">
        <v>27226.675000000003</v>
      </c>
      <c r="AJ190" s="135">
        <v>27226.675000000003</v>
      </c>
      <c r="AK190" s="135">
        <v>27227</v>
      </c>
      <c r="AL190" s="135">
        <v>27227</v>
      </c>
      <c r="AM190" s="135">
        <v>27227</v>
      </c>
      <c r="AN190" s="136">
        <v>27227</v>
      </c>
      <c r="AO190" s="136">
        <v>0</v>
      </c>
      <c r="AP190" s="136">
        <v>0</v>
      </c>
      <c r="AQ190" s="136">
        <v>0</v>
      </c>
      <c r="AR190" s="136">
        <v>0</v>
      </c>
      <c r="AS190" s="136">
        <v>0</v>
      </c>
      <c r="AT190" s="136">
        <v>0</v>
      </c>
      <c r="AU190" s="136">
        <v>0</v>
      </c>
      <c r="AV190" s="136">
        <v>0</v>
      </c>
      <c r="AW190" s="136">
        <v>0</v>
      </c>
      <c r="AX190" s="136">
        <v>0</v>
      </c>
      <c r="AY190" s="147">
        <v>0</v>
      </c>
      <c r="AZ190" s="147">
        <v>0</v>
      </c>
      <c r="BA190" s="147">
        <v>0</v>
      </c>
      <c r="BB190" s="147">
        <v>0</v>
      </c>
      <c r="BC190" s="147">
        <v>0</v>
      </c>
      <c r="BD190" s="147">
        <v>0</v>
      </c>
      <c r="BE190" s="147">
        <v>0</v>
      </c>
      <c r="BF190" s="147">
        <v>0</v>
      </c>
      <c r="BG190" s="137">
        <v>0</v>
      </c>
      <c r="BH190" s="137">
        <v>0</v>
      </c>
      <c r="BI190" s="137">
        <v>0</v>
      </c>
      <c r="BJ190" s="137">
        <v>0</v>
      </c>
      <c r="BK190" s="137">
        <v>0</v>
      </c>
      <c r="BL190" s="137">
        <v>0</v>
      </c>
      <c r="BM190" s="137">
        <v>0</v>
      </c>
      <c r="BN190" s="137">
        <v>0</v>
      </c>
      <c r="BO190" s="137">
        <v>0</v>
      </c>
      <c r="BP190" s="137">
        <v>0</v>
      </c>
      <c r="BQ190" s="137">
        <v>0</v>
      </c>
      <c r="BR190" s="137">
        <v>0</v>
      </c>
      <c r="BS190" s="137">
        <v>0</v>
      </c>
      <c r="BT190" s="137">
        <v>0</v>
      </c>
    </row>
    <row r="191" spans="1:72" ht="15" hidden="1" customHeight="1" outlineLevel="1" x14ac:dyDescent="0.3">
      <c r="A191" t="s">
        <v>73</v>
      </c>
      <c r="B191" s="134" t="s">
        <v>270</v>
      </c>
      <c r="C191" s="135">
        <v>0</v>
      </c>
      <c r="D191" s="135">
        <v>0</v>
      </c>
      <c r="E191" s="135">
        <v>0</v>
      </c>
      <c r="F191" s="135">
        <v>0</v>
      </c>
      <c r="G191" s="135">
        <v>0</v>
      </c>
      <c r="H191" s="135">
        <v>0</v>
      </c>
      <c r="I191" s="135">
        <v>0</v>
      </c>
      <c r="J191" s="135">
        <v>0</v>
      </c>
      <c r="K191" s="135">
        <v>0</v>
      </c>
      <c r="L191" s="135">
        <v>0</v>
      </c>
      <c r="M191" s="135">
        <v>0</v>
      </c>
      <c r="N191" s="135">
        <v>0</v>
      </c>
      <c r="O191" s="135">
        <v>0</v>
      </c>
      <c r="P191" s="135">
        <v>0</v>
      </c>
      <c r="Q191" s="135">
        <v>0</v>
      </c>
      <c r="R191" s="135">
        <v>0</v>
      </c>
      <c r="S191" s="135">
        <v>0</v>
      </c>
      <c r="T191" s="135">
        <v>0</v>
      </c>
      <c r="U191" s="135">
        <v>0</v>
      </c>
      <c r="V191" s="135">
        <v>0</v>
      </c>
      <c r="W191" s="135">
        <v>0</v>
      </c>
      <c r="X191" s="135">
        <v>0</v>
      </c>
      <c r="Y191" s="135">
        <v>0</v>
      </c>
      <c r="Z191" s="135">
        <v>0</v>
      </c>
      <c r="AA191" s="135">
        <v>0</v>
      </c>
      <c r="AB191" s="135">
        <v>0</v>
      </c>
      <c r="AC191" s="135">
        <v>0</v>
      </c>
      <c r="AD191" s="135">
        <v>0</v>
      </c>
      <c r="AE191" s="135">
        <v>0</v>
      </c>
      <c r="AF191" s="135">
        <v>0</v>
      </c>
      <c r="AG191" s="135">
        <v>0</v>
      </c>
      <c r="AH191" s="135">
        <v>0</v>
      </c>
      <c r="AI191" s="136">
        <v>28519</v>
      </c>
      <c r="AJ191" s="136">
        <v>28519</v>
      </c>
      <c r="AK191" s="136">
        <v>28519</v>
      </c>
      <c r="AL191" s="136">
        <v>28519</v>
      </c>
      <c r="AM191" s="136">
        <v>28519</v>
      </c>
      <c r="AN191" s="136">
        <v>28519</v>
      </c>
      <c r="AO191" s="136">
        <v>0</v>
      </c>
      <c r="AP191" s="136">
        <v>0</v>
      </c>
      <c r="AQ191" s="136">
        <v>0</v>
      </c>
      <c r="AR191" s="136">
        <v>0</v>
      </c>
      <c r="AS191" s="136">
        <v>0</v>
      </c>
      <c r="AT191" s="136">
        <v>0</v>
      </c>
      <c r="AU191" s="136">
        <v>0</v>
      </c>
      <c r="AV191" s="136">
        <v>0</v>
      </c>
      <c r="AW191" s="136">
        <v>0</v>
      </c>
      <c r="AX191" s="136">
        <v>0</v>
      </c>
      <c r="AY191" s="147">
        <v>0</v>
      </c>
      <c r="AZ191" s="147">
        <v>0</v>
      </c>
      <c r="BA191" s="147">
        <v>0</v>
      </c>
      <c r="BB191" s="147">
        <v>0</v>
      </c>
      <c r="BC191" s="147">
        <v>0</v>
      </c>
      <c r="BD191" s="147">
        <v>0</v>
      </c>
      <c r="BE191" s="147">
        <v>0</v>
      </c>
      <c r="BF191" s="147">
        <v>0</v>
      </c>
      <c r="BG191" s="137">
        <v>0</v>
      </c>
      <c r="BH191" s="137">
        <v>0</v>
      </c>
      <c r="BI191" s="137">
        <v>0</v>
      </c>
      <c r="BJ191" s="137">
        <v>0</v>
      </c>
      <c r="BK191" s="137">
        <v>0</v>
      </c>
      <c r="BL191" s="137">
        <v>0</v>
      </c>
      <c r="BM191" s="137">
        <v>0</v>
      </c>
      <c r="BN191" s="137">
        <v>0</v>
      </c>
      <c r="BO191" s="137">
        <v>0</v>
      </c>
      <c r="BP191" s="137">
        <v>0</v>
      </c>
      <c r="BQ191" s="137">
        <v>0</v>
      </c>
      <c r="BR191" s="137">
        <v>0</v>
      </c>
      <c r="BS191" s="137">
        <v>0</v>
      </c>
      <c r="BT191" s="137">
        <v>0</v>
      </c>
    </row>
    <row r="192" spans="1:72" ht="15" hidden="1" customHeight="1" outlineLevel="1" x14ac:dyDescent="0.3">
      <c r="A192" t="s">
        <v>73</v>
      </c>
      <c r="B192" s="134" t="s">
        <v>271</v>
      </c>
      <c r="C192" s="135">
        <v>0</v>
      </c>
      <c r="D192" s="135">
        <v>0</v>
      </c>
      <c r="E192" s="135">
        <v>0</v>
      </c>
      <c r="F192" s="135">
        <v>0</v>
      </c>
      <c r="G192" s="135">
        <v>0</v>
      </c>
      <c r="H192" s="135">
        <v>0</v>
      </c>
      <c r="I192" s="135">
        <v>0</v>
      </c>
      <c r="J192" s="135">
        <v>0</v>
      </c>
      <c r="K192" s="135">
        <v>0</v>
      </c>
      <c r="L192" s="135">
        <v>0</v>
      </c>
      <c r="M192" s="135">
        <v>0</v>
      </c>
      <c r="N192" s="135">
        <v>0</v>
      </c>
      <c r="O192" s="135">
        <v>0</v>
      </c>
      <c r="P192" s="135">
        <v>0</v>
      </c>
      <c r="Q192" s="135">
        <v>0</v>
      </c>
      <c r="R192" s="135">
        <v>0</v>
      </c>
      <c r="S192" s="135">
        <v>0</v>
      </c>
      <c r="T192" s="135">
        <v>0</v>
      </c>
      <c r="U192" s="135">
        <v>0</v>
      </c>
      <c r="V192" s="135">
        <v>0</v>
      </c>
      <c r="W192" s="135">
        <v>0</v>
      </c>
      <c r="X192" s="135">
        <v>0</v>
      </c>
      <c r="Y192" s="135">
        <v>0</v>
      </c>
      <c r="Z192" s="135">
        <v>0</v>
      </c>
      <c r="AA192" s="135">
        <v>0</v>
      </c>
      <c r="AB192" s="135">
        <v>0</v>
      </c>
      <c r="AC192" s="135">
        <v>0</v>
      </c>
      <c r="AD192" s="135">
        <v>0</v>
      </c>
      <c r="AE192" s="135">
        <v>0</v>
      </c>
      <c r="AF192" s="135">
        <v>0</v>
      </c>
      <c r="AG192" s="135">
        <v>0</v>
      </c>
      <c r="AH192" s="135">
        <v>0</v>
      </c>
      <c r="AI192" s="135">
        <v>0</v>
      </c>
      <c r="AJ192" s="136">
        <v>20438</v>
      </c>
      <c r="AK192" s="136">
        <v>20438</v>
      </c>
      <c r="AL192" s="136">
        <v>20438</v>
      </c>
      <c r="AM192" s="136">
        <v>20438</v>
      </c>
      <c r="AN192" s="136">
        <v>20438</v>
      </c>
      <c r="AO192" s="136">
        <v>0</v>
      </c>
      <c r="AP192" s="136">
        <v>0</v>
      </c>
      <c r="AQ192" s="136">
        <v>0</v>
      </c>
      <c r="AR192" s="136">
        <v>0</v>
      </c>
      <c r="AS192" s="136">
        <v>0</v>
      </c>
      <c r="AT192" s="136">
        <v>0</v>
      </c>
      <c r="AU192" s="136">
        <v>0</v>
      </c>
      <c r="AV192" s="136">
        <v>0</v>
      </c>
      <c r="AW192" s="136">
        <v>0</v>
      </c>
      <c r="AX192" s="136">
        <v>0</v>
      </c>
      <c r="AY192" s="147">
        <v>0</v>
      </c>
      <c r="AZ192" s="147">
        <v>0</v>
      </c>
      <c r="BA192" s="147">
        <v>0</v>
      </c>
      <c r="BB192" s="147">
        <v>0</v>
      </c>
      <c r="BC192" s="147">
        <v>0</v>
      </c>
      <c r="BD192" s="147">
        <v>0</v>
      </c>
      <c r="BE192" s="147">
        <v>0</v>
      </c>
      <c r="BF192" s="147">
        <v>0</v>
      </c>
      <c r="BG192" s="137">
        <v>0</v>
      </c>
      <c r="BH192" s="137">
        <v>0</v>
      </c>
      <c r="BI192" s="137">
        <v>0</v>
      </c>
      <c r="BJ192" s="137">
        <v>0</v>
      </c>
      <c r="BK192" s="137">
        <v>0</v>
      </c>
      <c r="BL192" s="137">
        <v>0</v>
      </c>
      <c r="BM192" s="137">
        <v>0</v>
      </c>
      <c r="BN192" s="137">
        <v>0</v>
      </c>
      <c r="BO192" s="137">
        <v>0</v>
      </c>
      <c r="BP192" s="137">
        <v>0</v>
      </c>
      <c r="BQ192" s="137">
        <v>0</v>
      </c>
      <c r="BR192" s="137">
        <v>0</v>
      </c>
      <c r="BS192" s="137">
        <v>0</v>
      </c>
      <c r="BT192" s="137">
        <v>0</v>
      </c>
    </row>
    <row r="193" spans="1:72" ht="15" hidden="1" customHeight="1" outlineLevel="1" x14ac:dyDescent="0.3">
      <c r="A193" t="s">
        <v>73</v>
      </c>
      <c r="B193" s="134" t="s">
        <v>272</v>
      </c>
      <c r="C193" s="135">
        <v>0</v>
      </c>
      <c r="D193" s="135">
        <v>0</v>
      </c>
      <c r="E193" s="135">
        <v>0</v>
      </c>
      <c r="F193" s="135">
        <v>0</v>
      </c>
      <c r="G193" s="135">
        <v>0</v>
      </c>
      <c r="H193" s="135">
        <v>0</v>
      </c>
      <c r="I193" s="135">
        <v>0</v>
      </c>
      <c r="J193" s="135">
        <v>0</v>
      </c>
      <c r="K193" s="135">
        <v>0</v>
      </c>
      <c r="L193" s="135">
        <v>0</v>
      </c>
      <c r="M193" s="135">
        <v>0</v>
      </c>
      <c r="N193" s="135">
        <v>0</v>
      </c>
      <c r="O193" s="135">
        <v>0</v>
      </c>
      <c r="P193" s="135">
        <v>0</v>
      </c>
      <c r="Q193" s="135">
        <v>0</v>
      </c>
      <c r="R193" s="135">
        <v>0</v>
      </c>
      <c r="S193" s="135">
        <v>0</v>
      </c>
      <c r="T193" s="135">
        <v>0</v>
      </c>
      <c r="U193" s="135">
        <v>0</v>
      </c>
      <c r="V193" s="135">
        <v>0</v>
      </c>
      <c r="W193" s="135">
        <v>0</v>
      </c>
      <c r="X193" s="135">
        <v>0</v>
      </c>
      <c r="Y193" s="135">
        <v>0</v>
      </c>
      <c r="Z193" s="135">
        <v>0</v>
      </c>
      <c r="AA193" s="135">
        <v>0</v>
      </c>
      <c r="AB193" s="135">
        <v>0</v>
      </c>
      <c r="AC193" s="135">
        <v>0</v>
      </c>
      <c r="AD193" s="135">
        <v>0</v>
      </c>
      <c r="AE193" s="135">
        <v>0</v>
      </c>
      <c r="AF193" s="135">
        <v>0</v>
      </c>
      <c r="AG193" s="135">
        <v>0</v>
      </c>
      <c r="AH193" s="135">
        <v>0</v>
      </c>
      <c r="AI193" s="135">
        <v>0</v>
      </c>
      <c r="AJ193" s="136">
        <v>23873.040000000001</v>
      </c>
      <c r="AK193" s="136">
        <v>23873</v>
      </c>
      <c r="AL193" s="136">
        <v>23873</v>
      </c>
      <c r="AM193" s="136">
        <v>36950</v>
      </c>
      <c r="AN193" s="136">
        <v>36950</v>
      </c>
      <c r="AO193" s="136">
        <v>0</v>
      </c>
      <c r="AP193" s="136">
        <v>0</v>
      </c>
      <c r="AQ193" s="136">
        <v>0</v>
      </c>
      <c r="AR193" s="136">
        <v>0</v>
      </c>
      <c r="AS193" s="136">
        <v>0</v>
      </c>
      <c r="AT193" s="136">
        <v>0</v>
      </c>
      <c r="AU193" s="136">
        <v>0</v>
      </c>
      <c r="AV193" s="136">
        <v>0</v>
      </c>
      <c r="AW193" s="136">
        <v>0</v>
      </c>
      <c r="AX193" s="136">
        <v>0</v>
      </c>
      <c r="AY193" s="147">
        <v>0</v>
      </c>
      <c r="AZ193" s="147">
        <v>0</v>
      </c>
      <c r="BA193" s="147">
        <v>0</v>
      </c>
      <c r="BB193" s="147">
        <v>0</v>
      </c>
      <c r="BC193" s="147">
        <v>0</v>
      </c>
      <c r="BD193" s="147">
        <v>0</v>
      </c>
      <c r="BE193" s="147">
        <v>0</v>
      </c>
      <c r="BF193" s="147">
        <v>0</v>
      </c>
      <c r="BG193" s="137">
        <v>0</v>
      </c>
      <c r="BH193" s="137">
        <v>0</v>
      </c>
      <c r="BI193" s="137">
        <v>0</v>
      </c>
      <c r="BJ193" s="137">
        <v>0</v>
      </c>
      <c r="BK193" s="137">
        <v>0</v>
      </c>
      <c r="BL193" s="137">
        <v>0</v>
      </c>
      <c r="BM193" s="137">
        <v>0</v>
      </c>
      <c r="BN193" s="137">
        <v>0</v>
      </c>
      <c r="BO193" s="137">
        <v>0</v>
      </c>
      <c r="BP193" s="137">
        <v>0</v>
      </c>
      <c r="BQ193" s="137">
        <v>0</v>
      </c>
      <c r="BR193" s="137">
        <v>0</v>
      </c>
      <c r="BS193" s="137">
        <v>0</v>
      </c>
      <c r="BT193" s="137">
        <v>0</v>
      </c>
    </row>
    <row r="194" spans="1:72" ht="15" customHeight="1" collapsed="1" thickBot="1" x14ac:dyDescent="0.35">
      <c r="A194" t="s">
        <v>73</v>
      </c>
      <c r="B194" s="148" t="str">
        <f>IF('Sumário | Summary'!P1=1,"Outros","Others")</f>
        <v>Outros</v>
      </c>
      <c r="C194" s="132">
        <f t="shared" ref="C194:BN194" si="73">SUM(C195:C195)</f>
        <v>0</v>
      </c>
      <c r="D194" s="132">
        <f t="shared" si="73"/>
        <v>0</v>
      </c>
      <c r="E194" s="132">
        <f t="shared" si="73"/>
        <v>0</v>
      </c>
      <c r="F194" s="132">
        <f t="shared" si="73"/>
        <v>0</v>
      </c>
      <c r="G194" s="132">
        <f t="shared" si="73"/>
        <v>0</v>
      </c>
      <c r="H194" s="132">
        <f t="shared" si="73"/>
        <v>0</v>
      </c>
      <c r="I194" s="132">
        <f t="shared" si="73"/>
        <v>0</v>
      </c>
      <c r="J194" s="132">
        <f t="shared" si="73"/>
        <v>0</v>
      </c>
      <c r="K194" s="132">
        <f t="shared" si="73"/>
        <v>0</v>
      </c>
      <c r="L194" s="132">
        <f t="shared" si="73"/>
        <v>0</v>
      </c>
      <c r="M194" s="132">
        <f t="shared" si="73"/>
        <v>0</v>
      </c>
      <c r="N194" s="132">
        <f t="shared" si="73"/>
        <v>0</v>
      </c>
      <c r="O194" s="132">
        <f t="shared" si="73"/>
        <v>0</v>
      </c>
      <c r="P194" s="132">
        <f t="shared" si="73"/>
        <v>0</v>
      </c>
      <c r="Q194" s="132">
        <f t="shared" si="73"/>
        <v>0</v>
      </c>
      <c r="R194" s="132">
        <f t="shared" si="73"/>
        <v>0</v>
      </c>
      <c r="S194" s="132">
        <f t="shared" si="73"/>
        <v>0</v>
      </c>
      <c r="T194" s="132">
        <f t="shared" si="73"/>
        <v>0</v>
      </c>
      <c r="U194" s="132">
        <f t="shared" si="73"/>
        <v>0</v>
      </c>
      <c r="V194" s="132">
        <f t="shared" si="73"/>
        <v>0</v>
      </c>
      <c r="W194" s="132">
        <f t="shared" si="73"/>
        <v>18372.767250000001</v>
      </c>
      <c r="X194" s="132">
        <f t="shared" si="73"/>
        <v>18372.767250000001</v>
      </c>
      <c r="Y194" s="132">
        <f t="shared" si="73"/>
        <v>18372.767250000001</v>
      </c>
      <c r="Z194" s="132">
        <f t="shared" si="73"/>
        <v>18372.767250000001</v>
      </c>
      <c r="AA194" s="132">
        <f t="shared" si="73"/>
        <v>18372.767250000001</v>
      </c>
      <c r="AB194" s="132">
        <f t="shared" si="73"/>
        <v>17456.620500000001</v>
      </c>
      <c r="AC194" s="132">
        <f t="shared" si="73"/>
        <v>17456.620500000001</v>
      </c>
      <c r="AD194" s="132">
        <f t="shared" si="73"/>
        <v>17456.620500000001</v>
      </c>
      <c r="AE194" s="132">
        <f t="shared" si="73"/>
        <v>17456.620500000001</v>
      </c>
      <c r="AF194" s="132">
        <f t="shared" si="73"/>
        <v>17456.620500000001</v>
      </c>
      <c r="AG194" s="132">
        <f t="shared" si="73"/>
        <v>17456.620500000001</v>
      </c>
      <c r="AH194" s="132">
        <f t="shared" si="73"/>
        <v>17498.786250000001</v>
      </c>
      <c r="AI194" s="132">
        <f t="shared" si="73"/>
        <v>17498.786250000001</v>
      </c>
      <c r="AJ194" s="132">
        <f t="shared" si="73"/>
        <v>17498.786250000001</v>
      </c>
      <c r="AK194" s="132">
        <f t="shared" si="73"/>
        <v>17498.786250000001</v>
      </c>
      <c r="AL194" s="132">
        <f t="shared" si="73"/>
        <v>17523.319049999998</v>
      </c>
      <c r="AM194" s="132">
        <f t="shared" si="73"/>
        <v>17583.961064999996</v>
      </c>
      <c r="AN194" s="132">
        <f t="shared" si="73"/>
        <v>17583.961064999996</v>
      </c>
      <c r="AO194" s="132">
        <f t="shared" si="73"/>
        <v>17583.961064999996</v>
      </c>
      <c r="AP194" s="132">
        <f t="shared" si="73"/>
        <v>17583.961064999996</v>
      </c>
      <c r="AQ194" s="132">
        <f t="shared" si="73"/>
        <v>17583.961064999996</v>
      </c>
      <c r="AR194" s="132">
        <f t="shared" si="73"/>
        <v>17573.335296000001</v>
      </c>
      <c r="AS194" s="132">
        <f t="shared" si="73"/>
        <v>17573.335296000001</v>
      </c>
      <c r="AT194" s="132">
        <f t="shared" si="73"/>
        <v>17573.335296000001</v>
      </c>
      <c r="AU194" s="132">
        <f t="shared" si="73"/>
        <v>17573.151300000001</v>
      </c>
      <c r="AV194" s="132">
        <f t="shared" si="73"/>
        <v>17573.151300000001</v>
      </c>
      <c r="AW194" s="132">
        <f t="shared" si="73"/>
        <v>17573.151300000001</v>
      </c>
      <c r="AX194" s="132">
        <f t="shared" si="73"/>
        <v>17573.151300000001</v>
      </c>
      <c r="AY194" s="132">
        <f t="shared" si="73"/>
        <v>17573.151300000001</v>
      </c>
      <c r="AZ194" s="132">
        <f t="shared" si="73"/>
        <v>17573.151300000001</v>
      </c>
      <c r="BA194" s="132">
        <f t="shared" si="73"/>
        <v>17573.335296000001</v>
      </c>
      <c r="BB194" s="132">
        <f t="shared" si="73"/>
        <v>17573.151300000001</v>
      </c>
      <c r="BC194" s="132">
        <f t="shared" si="73"/>
        <v>17559.535596000002</v>
      </c>
      <c r="BD194" s="132">
        <f t="shared" si="73"/>
        <v>17559.535596000002</v>
      </c>
      <c r="BE194" s="132">
        <f t="shared" si="73"/>
        <v>17559.535596000002</v>
      </c>
      <c r="BF194" s="132">
        <f t="shared" si="73"/>
        <v>17559.535596000002</v>
      </c>
      <c r="BG194" s="132">
        <f t="shared" si="73"/>
        <v>17559.535596000002</v>
      </c>
      <c r="BH194" s="132">
        <f t="shared" si="73"/>
        <v>17559.535596000002</v>
      </c>
      <c r="BI194" s="132">
        <f t="shared" si="73"/>
        <v>19162.362859080004</v>
      </c>
      <c r="BJ194" s="132">
        <f t="shared" si="73"/>
        <v>19162.362859080004</v>
      </c>
      <c r="BK194" s="132">
        <f t="shared" si="73"/>
        <v>20377.135035960004</v>
      </c>
      <c r="BL194" s="132">
        <f t="shared" si="73"/>
        <v>21414.12032862</v>
      </c>
      <c r="BM194" s="132">
        <f t="shared" si="73"/>
        <v>21413.194777125002</v>
      </c>
      <c r="BN194" s="132">
        <f t="shared" si="73"/>
        <v>21413.194777125002</v>
      </c>
      <c r="BO194" s="132">
        <f t="shared" ref="BO194" si="74">SUM(BO195:BO195)</f>
        <v>22740.4846125</v>
      </c>
      <c r="BP194" s="132">
        <v>22737.598677000002</v>
      </c>
      <c r="BQ194" s="132">
        <v>23102.144532044909</v>
      </c>
      <c r="BR194" s="132">
        <v>23102.154172124996</v>
      </c>
      <c r="BS194" s="132">
        <v>23102.154172124996</v>
      </c>
      <c r="BT194" s="132">
        <f>SUM(BT195:BT195)</f>
        <v>24790.161573800455</v>
      </c>
    </row>
    <row r="195" spans="1:72" ht="15" hidden="1" outlineLevel="1" thickBot="1" x14ac:dyDescent="0.35">
      <c r="A195" t="s">
        <v>326</v>
      </c>
      <c r="B195" s="134" t="s">
        <v>274</v>
      </c>
      <c r="C195" s="135">
        <v>0</v>
      </c>
      <c r="D195" s="135">
        <v>0</v>
      </c>
      <c r="E195" s="135">
        <v>0</v>
      </c>
      <c r="F195" s="135">
        <v>0</v>
      </c>
      <c r="G195" s="135">
        <v>0</v>
      </c>
      <c r="H195" s="135">
        <v>0</v>
      </c>
      <c r="I195" s="135">
        <v>0</v>
      </c>
      <c r="J195" s="135">
        <v>0</v>
      </c>
      <c r="K195" s="135">
        <v>0</v>
      </c>
      <c r="L195" s="135">
        <v>0</v>
      </c>
      <c r="M195" s="135">
        <v>0</v>
      </c>
      <c r="N195" s="135">
        <v>0</v>
      </c>
      <c r="O195" s="135">
        <v>0</v>
      </c>
      <c r="P195" s="135">
        <v>0</v>
      </c>
      <c r="Q195" s="135">
        <v>0</v>
      </c>
      <c r="R195" s="135">
        <v>0</v>
      </c>
      <c r="S195" s="135">
        <v>0</v>
      </c>
      <c r="T195" s="135">
        <v>0</v>
      </c>
      <c r="U195" s="135">
        <v>0</v>
      </c>
      <c r="V195" s="135">
        <v>0</v>
      </c>
      <c r="W195" s="135">
        <v>18372.767250000001</v>
      </c>
      <c r="X195" s="135">
        <v>18372.767250000001</v>
      </c>
      <c r="Y195" s="135">
        <v>18372.767250000001</v>
      </c>
      <c r="Z195" s="135">
        <v>18372.767250000001</v>
      </c>
      <c r="AA195" s="135">
        <v>18372.767250000001</v>
      </c>
      <c r="AB195" s="135">
        <v>17456.620500000001</v>
      </c>
      <c r="AC195" s="135">
        <v>17456.620500000001</v>
      </c>
      <c r="AD195" s="135">
        <v>17456.620500000001</v>
      </c>
      <c r="AE195" s="135">
        <v>17456.620500000001</v>
      </c>
      <c r="AF195" s="135">
        <v>17456.620500000001</v>
      </c>
      <c r="AG195" s="135">
        <v>17456.620500000001</v>
      </c>
      <c r="AH195" s="135">
        <v>17498.786250000001</v>
      </c>
      <c r="AI195" s="135">
        <v>17498.786250000001</v>
      </c>
      <c r="AJ195" s="135">
        <v>17498.786250000001</v>
      </c>
      <c r="AK195" s="135">
        <v>17498.786250000001</v>
      </c>
      <c r="AL195" s="135">
        <v>17523.319049999998</v>
      </c>
      <c r="AM195" s="136">
        <v>17583.961064999996</v>
      </c>
      <c r="AN195" s="136">
        <v>17583.961064999996</v>
      </c>
      <c r="AO195" s="136">
        <v>17583.961064999996</v>
      </c>
      <c r="AP195" s="136">
        <v>17583.961064999996</v>
      </c>
      <c r="AQ195" s="136">
        <v>17583.961064999996</v>
      </c>
      <c r="AR195" s="136">
        <v>17573.335296000001</v>
      </c>
      <c r="AS195" s="136">
        <v>17573.335296000001</v>
      </c>
      <c r="AT195" s="136">
        <v>17573.335296000001</v>
      </c>
      <c r="AU195" s="136">
        <v>17573.151300000001</v>
      </c>
      <c r="AV195" s="136">
        <v>17573.151300000001</v>
      </c>
      <c r="AW195" s="137">
        <v>17573.151300000001</v>
      </c>
      <c r="AX195" s="137">
        <v>17573.151300000001</v>
      </c>
      <c r="AY195" s="137">
        <v>17573.151300000001</v>
      </c>
      <c r="AZ195" s="137">
        <v>17573.151300000001</v>
      </c>
      <c r="BA195" s="137">
        <v>17573.335296000001</v>
      </c>
      <c r="BB195" s="136">
        <v>17573.151300000001</v>
      </c>
      <c r="BC195" s="136">
        <v>17559.535596000002</v>
      </c>
      <c r="BD195" s="136">
        <v>17559.535596000002</v>
      </c>
      <c r="BE195" s="136">
        <v>17559.535596000002</v>
      </c>
      <c r="BF195" s="136">
        <v>17559.535596000002</v>
      </c>
      <c r="BG195" s="137">
        <v>17559.535596000002</v>
      </c>
      <c r="BH195" s="137">
        <v>17559.535596000002</v>
      </c>
      <c r="BI195" s="137">
        <v>19162.362859080004</v>
      </c>
      <c r="BJ195" s="137">
        <v>19162.362859080004</v>
      </c>
      <c r="BK195" s="137">
        <v>20377.135035960004</v>
      </c>
      <c r="BL195" s="137">
        <v>21414.12032862</v>
      </c>
      <c r="BM195" s="137">
        <v>21413.194777125002</v>
      </c>
      <c r="BN195" s="137">
        <v>21413.194777125002</v>
      </c>
      <c r="BO195" s="137">
        <v>22740.4846125</v>
      </c>
      <c r="BP195" s="137">
        <v>22737.598677000002</v>
      </c>
      <c r="BQ195" s="137">
        <v>23102.144532044909</v>
      </c>
      <c r="BR195" s="137">
        <v>23102.154172124996</v>
      </c>
      <c r="BS195" s="137">
        <v>23102.154172124996</v>
      </c>
      <c r="BT195" s="137">
        <v>24790.161573800455</v>
      </c>
    </row>
    <row r="196" spans="1:72" s="131" customFormat="1" ht="15" customHeight="1" collapsed="1" thickTop="1" thickBot="1" x14ac:dyDescent="0.35">
      <c r="B196" s="142" t="s">
        <v>275</v>
      </c>
      <c r="C196" s="143">
        <f t="shared" ref="C196:BN196" si="75">C151+C173+C182+C194</f>
        <v>150586.546</v>
      </c>
      <c r="D196" s="143">
        <f t="shared" si="75"/>
        <v>165613.10999999999</v>
      </c>
      <c r="E196" s="143">
        <f t="shared" si="75"/>
        <v>165613.10999999999</v>
      </c>
      <c r="F196" s="143">
        <f t="shared" si="75"/>
        <v>165613.10999999999</v>
      </c>
      <c r="G196" s="143">
        <f t="shared" si="75"/>
        <v>172919.11</v>
      </c>
      <c r="H196" s="143">
        <f t="shared" si="75"/>
        <v>172664.11</v>
      </c>
      <c r="I196" s="143">
        <f t="shared" si="75"/>
        <v>172186.11</v>
      </c>
      <c r="J196" s="143">
        <f t="shared" si="75"/>
        <v>175102.11</v>
      </c>
      <c r="K196" s="143">
        <f t="shared" si="75"/>
        <v>173303.11</v>
      </c>
      <c r="L196" s="143">
        <f t="shared" si="75"/>
        <v>170588.11</v>
      </c>
      <c r="M196" s="143">
        <f t="shared" si="75"/>
        <v>171435.11</v>
      </c>
      <c r="N196" s="143">
        <f t="shared" si="75"/>
        <v>171435.11</v>
      </c>
      <c r="O196" s="143">
        <f t="shared" si="75"/>
        <v>171435.11</v>
      </c>
      <c r="P196" s="143">
        <f t="shared" si="75"/>
        <v>169669.11</v>
      </c>
      <c r="Q196" s="143">
        <f t="shared" si="75"/>
        <v>186651.11</v>
      </c>
      <c r="R196" s="143">
        <f t="shared" si="75"/>
        <v>177113.11</v>
      </c>
      <c r="S196" s="143">
        <f t="shared" si="75"/>
        <v>175629.11</v>
      </c>
      <c r="T196" s="143">
        <f t="shared" si="75"/>
        <v>196365.11</v>
      </c>
      <c r="U196" s="143">
        <f t="shared" si="75"/>
        <v>196365.11</v>
      </c>
      <c r="V196" s="143">
        <f t="shared" si="75"/>
        <v>205046.11</v>
      </c>
      <c r="W196" s="143">
        <f t="shared" si="75"/>
        <v>225317.87724999999</v>
      </c>
      <c r="X196" s="143">
        <f t="shared" si="75"/>
        <v>233810.36649297018</v>
      </c>
      <c r="Y196" s="143">
        <f t="shared" si="75"/>
        <v>236531.82764897015</v>
      </c>
      <c r="Z196" s="143">
        <f t="shared" si="75"/>
        <v>321584.34939897014</v>
      </c>
      <c r="AA196" s="143">
        <f t="shared" si="75"/>
        <v>321584.11264897016</v>
      </c>
      <c r="AB196" s="143">
        <f t="shared" si="75"/>
        <v>347894.64089897019</v>
      </c>
      <c r="AC196" s="143">
        <f t="shared" si="75"/>
        <v>383513.34681667021</v>
      </c>
      <c r="AD196" s="143">
        <f t="shared" si="75"/>
        <v>383513.39540870005</v>
      </c>
      <c r="AE196" s="143">
        <f t="shared" si="75"/>
        <v>383513.39540870005</v>
      </c>
      <c r="AF196" s="143">
        <f t="shared" si="75"/>
        <v>398510.40767885995</v>
      </c>
      <c r="AG196" s="143">
        <f t="shared" si="75"/>
        <v>398509.32277015998</v>
      </c>
      <c r="AH196" s="143">
        <f t="shared" si="75"/>
        <v>397596.66702016001</v>
      </c>
      <c r="AI196" s="143">
        <f t="shared" si="75"/>
        <v>407087.28428200004</v>
      </c>
      <c r="AJ196" s="143">
        <f t="shared" si="75"/>
        <v>465669.44211100001</v>
      </c>
      <c r="AK196" s="143">
        <f t="shared" si="75"/>
        <v>452751.45224999997</v>
      </c>
      <c r="AL196" s="143">
        <f t="shared" si="75"/>
        <v>452772.98504999996</v>
      </c>
      <c r="AM196" s="143">
        <f t="shared" si="75"/>
        <v>465443.88203249994</v>
      </c>
      <c r="AN196" s="143">
        <f t="shared" si="75"/>
        <v>480188.35206499998</v>
      </c>
      <c r="AO196" s="143">
        <f t="shared" si="75"/>
        <v>251228.8207862</v>
      </c>
      <c r="AP196" s="143">
        <f t="shared" si="75"/>
        <v>252053.03778519999</v>
      </c>
      <c r="AQ196" s="143">
        <f t="shared" si="75"/>
        <v>243546.15848519997</v>
      </c>
      <c r="AR196" s="143">
        <f t="shared" si="75"/>
        <v>231383.97053719999</v>
      </c>
      <c r="AS196" s="143">
        <f t="shared" si="75"/>
        <v>231314.95471469997</v>
      </c>
      <c r="AT196" s="143">
        <f t="shared" si="75"/>
        <v>231780.35240369997</v>
      </c>
      <c r="AU196" s="143">
        <f t="shared" si="75"/>
        <v>231429.9663262</v>
      </c>
      <c r="AV196" s="143">
        <f t="shared" si="75"/>
        <v>243429.34586953334</v>
      </c>
      <c r="AW196" s="143">
        <f t="shared" si="75"/>
        <v>243700.82902219999</v>
      </c>
      <c r="AX196" s="143">
        <f t="shared" si="75"/>
        <v>251153.6866022</v>
      </c>
      <c r="AY196" s="143">
        <f t="shared" si="75"/>
        <v>251171.20062620001</v>
      </c>
      <c r="AZ196" s="143">
        <f t="shared" si="75"/>
        <v>252038.28205486666</v>
      </c>
      <c r="BA196" s="143">
        <f t="shared" si="75"/>
        <v>250995.56017153335</v>
      </c>
      <c r="BB196" s="143">
        <f t="shared" si="75"/>
        <v>251968.23469119999</v>
      </c>
      <c r="BC196" s="143">
        <f t="shared" si="75"/>
        <v>251874.2266002</v>
      </c>
      <c r="BD196" s="143">
        <f t="shared" si="75"/>
        <v>251874.2266002</v>
      </c>
      <c r="BE196" s="143">
        <f t="shared" si="75"/>
        <v>251740.73260020002</v>
      </c>
      <c r="BF196" s="143">
        <f t="shared" si="75"/>
        <v>189869.17378204557</v>
      </c>
      <c r="BG196" s="143">
        <f t="shared" si="75"/>
        <v>190384.43239504556</v>
      </c>
      <c r="BH196" s="143">
        <f t="shared" si="75"/>
        <v>190404.22091171224</v>
      </c>
      <c r="BI196" s="143">
        <f t="shared" si="75"/>
        <v>192017.24525179222</v>
      </c>
      <c r="BJ196" s="143">
        <f t="shared" si="75"/>
        <v>192039.53365545892</v>
      </c>
      <c r="BK196" s="143">
        <f t="shared" si="75"/>
        <v>193350.91240667226</v>
      </c>
      <c r="BL196" s="143">
        <f t="shared" si="75"/>
        <v>194471.82217433225</v>
      </c>
      <c r="BM196" s="143">
        <f t="shared" si="75"/>
        <v>194595.72402083725</v>
      </c>
      <c r="BN196" s="143">
        <f t="shared" si="75"/>
        <v>199772.11677483725</v>
      </c>
      <c r="BO196" s="143">
        <f t="shared" ref="BO196" si="76">BO151+BO173+BO182+BO194</f>
        <v>201106.18627421226</v>
      </c>
      <c r="BP196" s="143">
        <v>96904.193277237413</v>
      </c>
      <c r="BQ196" s="143">
        <v>97306.666773570236</v>
      </c>
      <c r="BR196" s="143">
        <v>97395.791169362419</v>
      </c>
      <c r="BS196" s="143">
        <v>95079.959971362419</v>
      </c>
      <c r="BT196" s="143">
        <f>BT151+BT173+BT182+BT194</f>
        <v>100868.87369403787</v>
      </c>
    </row>
    <row r="197" spans="1:72" x14ac:dyDescent="0.3">
      <c r="BJ197" s="145"/>
    </row>
  </sheetData>
  <conditionalFormatting sqref="C52:AK52">
    <cfRule type="cellIs" dxfId="1" priority="2" operator="equal">
      <formula>""</formula>
    </cfRule>
  </conditionalFormatting>
  <conditionalFormatting sqref="AL100:BH100">
    <cfRule type="cellIs" dxfId="0" priority="1" operator="equal">
      <formula>""</formula>
    </cfRule>
  </conditionalFormatting>
  <pageMargins left="0.25" right="0.25" top="0.75" bottom="0.75" header="0.3" footer="0.3"/>
  <pageSetup paperSize="9"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DDDC-A4F8-401F-85F2-1BDE24ADF4D5}">
  <dimension ref="A1:BT64"/>
  <sheetViews>
    <sheetView showGridLines="0" showRowColHeaders="0" zoomScaleNormal="100" workbookViewId="0">
      <pane xSplit="2" ySplit="5" topLeftCell="BK6" activePane="bottomRight" state="frozen"/>
      <selection activeCell="D4" sqref="D4"/>
      <selection pane="topRight" activeCell="D4" sqref="D4"/>
      <selection pane="bottomLeft" activeCell="D4" sqref="D4"/>
      <selection pane="bottomRight" activeCell="D4" sqref="D4"/>
    </sheetView>
  </sheetViews>
  <sheetFormatPr defaultRowHeight="14.4" outlineLevelRow="1" outlineLevelCol="1" x14ac:dyDescent="0.3"/>
  <cols>
    <col min="1" max="1" width="8.33203125" hidden="1" customWidth="1"/>
    <col min="2" max="2" width="48.6640625" customWidth="1"/>
    <col min="3" max="37" width="14.33203125" hidden="1" customWidth="1" outlineLevel="1"/>
    <col min="38" max="38" width="14.33203125" customWidth="1" collapsed="1"/>
    <col min="39" max="72" width="14.33203125" customWidth="1"/>
  </cols>
  <sheetData>
    <row r="1" spans="1:72" x14ac:dyDescent="0.3">
      <c r="B1" s="41" t="s">
        <v>0</v>
      </c>
      <c r="AY1" s="1"/>
      <c r="AZ1" s="1"/>
      <c r="BA1" s="1"/>
      <c r="BB1" s="1"/>
      <c r="BC1" s="1"/>
      <c r="BD1" s="1"/>
      <c r="BE1" s="1"/>
      <c r="BF1" s="1"/>
      <c r="BG1" s="1"/>
      <c r="BH1" s="1"/>
      <c r="BI1" s="1"/>
      <c r="BJ1" s="1"/>
      <c r="BK1" s="1"/>
      <c r="BL1" s="1"/>
      <c r="BM1" s="1"/>
      <c r="BN1" s="1"/>
      <c r="BO1" s="1"/>
      <c r="BP1" s="1"/>
      <c r="BQ1" s="1"/>
      <c r="BR1" s="1"/>
      <c r="BS1" s="1"/>
      <c r="BT1" s="1"/>
    </row>
    <row r="2" spans="1:72" x14ac:dyDescent="0.3">
      <c r="B2" s="41" t="s">
        <v>98</v>
      </c>
      <c r="AY2" s="1"/>
      <c r="AZ2" s="1"/>
      <c r="BA2" s="1"/>
      <c r="BB2" s="1"/>
      <c r="BC2" s="1"/>
      <c r="BD2" s="1"/>
      <c r="BE2" s="1"/>
      <c r="BF2" s="1"/>
      <c r="BG2" s="1"/>
      <c r="BH2" s="1"/>
      <c r="BI2" s="1"/>
      <c r="BJ2" s="1"/>
      <c r="BK2" s="1"/>
      <c r="BL2" s="1"/>
      <c r="BM2" s="1"/>
      <c r="BN2" s="1"/>
      <c r="BO2" s="1"/>
      <c r="BP2" s="1"/>
      <c r="BQ2" s="1"/>
      <c r="BR2" s="1"/>
      <c r="BS2" s="1"/>
      <c r="BT2" s="1"/>
    </row>
    <row r="3" spans="1:72" s="3" customFormat="1" x14ac:dyDescent="0.3">
      <c r="B3" s="42">
        <v>1</v>
      </c>
      <c r="AY3" s="4"/>
      <c r="AZ3" s="4"/>
      <c r="BA3" s="4"/>
      <c r="BB3" s="4"/>
      <c r="BC3" s="4"/>
      <c r="BD3" s="4"/>
      <c r="BE3" s="4"/>
      <c r="BF3" s="4"/>
      <c r="BG3" s="4"/>
      <c r="BH3" s="4"/>
      <c r="BI3" s="4"/>
      <c r="BJ3" s="4"/>
      <c r="BK3" s="4"/>
      <c r="BL3" s="4"/>
      <c r="BM3" s="4"/>
      <c r="BN3" s="4"/>
      <c r="BO3" s="4"/>
      <c r="BP3" s="4"/>
      <c r="BQ3" s="4"/>
      <c r="BR3" s="4"/>
      <c r="BS3" s="4"/>
      <c r="BT3" s="4"/>
    </row>
    <row r="4" spans="1:72" ht="6.75" customHeight="1" x14ac:dyDescent="0.3">
      <c r="B4" s="5"/>
    </row>
    <row r="5" spans="1:72" s="7" customFormat="1" ht="18.75" customHeight="1" x14ac:dyDescent="0.3">
      <c r="B5" s="8" t="str">
        <f>IF('Sumário | Summary'!P1=1,"Vacância Física","Physical Vacancy")</f>
        <v>Vacância Física</v>
      </c>
      <c r="C5" s="128" t="s">
        <v>201</v>
      </c>
      <c r="D5" s="128" t="s">
        <v>202</v>
      </c>
      <c r="E5" s="128" t="s">
        <v>203</v>
      </c>
      <c r="F5" s="128" t="s">
        <v>204</v>
      </c>
      <c r="G5" s="128" t="s">
        <v>205</v>
      </c>
      <c r="H5" s="128" t="s">
        <v>206</v>
      </c>
      <c r="I5" s="128" t="s">
        <v>207</v>
      </c>
      <c r="J5" s="128" t="s">
        <v>208</v>
      </c>
      <c r="K5" s="128" t="s">
        <v>209</v>
      </c>
      <c r="L5" s="128" t="s">
        <v>210</v>
      </c>
      <c r="M5" s="128" t="s">
        <v>211</v>
      </c>
      <c r="N5" s="128" t="s">
        <v>212</v>
      </c>
      <c r="O5" s="128" t="s">
        <v>213</v>
      </c>
      <c r="P5" s="128" t="s">
        <v>214</v>
      </c>
      <c r="Q5" s="128" t="s">
        <v>215</v>
      </c>
      <c r="R5" s="128" t="s">
        <v>216</v>
      </c>
      <c r="S5" s="128" t="s">
        <v>1</v>
      </c>
      <c r="T5" s="128" t="s">
        <v>2</v>
      </c>
      <c r="U5" s="128" t="s">
        <v>3</v>
      </c>
      <c r="V5" s="128" t="s">
        <v>4</v>
      </c>
      <c r="W5" s="128" t="s">
        <v>5</v>
      </c>
      <c r="X5" s="128" t="s">
        <v>6</v>
      </c>
      <c r="Y5" s="128" t="s">
        <v>7</v>
      </c>
      <c r="Z5" s="128" t="s">
        <v>8</v>
      </c>
      <c r="AA5" s="128" t="s">
        <v>9</v>
      </c>
      <c r="AB5" s="128" t="s">
        <v>10</v>
      </c>
      <c r="AC5" s="128" t="s">
        <v>11</v>
      </c>
      <c r="AD5" s="128" t="s">
        <v>12</v>
      </c>
      <c r="AE5" s="128" t="s">
        <v>13</v>
      </c>
      <c r="AF5" s="128" t="s">
        <v>14</v>
      </c>
      <c r="AG5" s="128" t="s">
        <v>15</v>
      </c>
      <c r="AH5" s="128" t="s">
        <v>16</v>
      </c>
      <c r="AI5" s="128" t="s">
        <v>17</v>
      </c>
      <c r="AJ5" s="128" t="s">
        <v>18</v>
      </c>
      <c r="AK5" s="128" t="s">
        <v>19</v>
      </c>
      <c r="AL5" s="128" t="s">
        <v>20</v>
      </c>
      <c r="AM5" s="128" t="s">
        <v>21</v>
      </c>
      <c r="AN5" s="128" t="s">
        <v>22</v>
      </c>
      <c r="AO5" s="128" t="s">
        <v>23</v>
      </c>
      <c r="AP5" s="128" t="s">
        <v>24</v>
      </c>
      <c r="AQ5" s="128" t="s">
        <v>25</v>
      </c>
      <c r="AR5" s="128" t="s">
        <v>26</v>
      </c>
      <c r="AS5" s="128" t="s">
        <v>27</v>
      </c>
      <c r="AT5" s="128" t="s">
        <v>28</v>
      </c>
      <c r="AU5" s="128" t="s">
        <v>29</v>
      </c>
      <c r="AV5" s="128" t="s">
        <v>30</v>
      </c>
      <c r="AW5" s="128" t="s">
        <v>31</v>
      </c>
      <c r="AX5" s="128" t="s">
        <v>32</v>
      </c>
      <c r="AY5" s="128" t="s">
        <v>33</v>
      </c>
      <c r="AZ5" s="128" t="s">
        <v>34</v>
      </c>
      <c r="BA5" s="128" t="s">
        <v>35</v>
      </c>
      <c r="BB5" s="128" t="s">
        <v>36</v>
      </c>
      <c r="BC5" s="128" t="s">
        <v>38</v>
      </c>
      <c r="BD5" s="128" t="s">
        <v>39</v>
      </c>
      <c r="BE5" s="128" t="s">
        <v>40</v>
      </c>
      <c r="BF5" s="128" t="s">
        <v>41</v>
      </c>
      <c r="BG5" s="128" t="s">
        <v>42</v>
      </c>
      <c r="BH5" s="128" t="s">
        <v>43</v>
      </c>
      <c r="BI5" s="128" t="s">
        <v>44</v>
      </c>
      <c r="BJ5" s="128" t="s">
        <v>45</v>
      </c>
      <c r="BK5" s="128" t="s">
        <v>47</v>
      </c>
      <c r="BL5" s="128" t="s">
        <v>48</v>
      </c>
      <c r="BM5" s="128" t="s">
        <v>49</v>
      </c>
      <c r="BN5" s="128" t="s">
        <v>50</v>
      </c>
      <c r="BO5" s="128" t="s">
        <v>52</v>
      </c>
      <c r="BP5" s="128" t="s">
        <v>53</v>
      </c>
      <c r="BQ5" s="128" t="s">
        <v>54</v>
      </c>
      <c r="BR5" s="128" t="s">
        <v>55</v>
      </c>
      <c r="BS5" s="128" t="s">
        <v>56</v>
      </c>
      <c r="BT5" s="128" t="s">
        <v>57</v>
      </c>
    </row>
    <row r="6" spans="1:72" s="123" customFormat="1" x14ac:dyDescent="0.3">
      <c r="B6" s="24" t="str">
        <f>IF('Sumário | Summary'!P1=1,"Escritórios","Offices")</f>
        <v>Escritórios</v>
      </c>
      <c r="C6" s="22">
        <v>4.4999999999999998E-2</v>
      </c>
      <c r="D6" s="22">
        <v>4.1000000000000003E-3</v>
      </c>
      <c r="E6" s="22">
        <v>0</v>
      </c>
      <c r="F6" s="22">
        <v>0</v>
      </c>
      <c r="G6" s="22">
        <v>7.7799999999999994E-2</v>
      </c>
      <c r="H6" s="22">
        <v>6.5000000000000002E-2</v>
      </c>
      <c r="I6" s="22">
        <v>0.04</v>
      </c>
      <c r="J6" s="22">
        <v>0</v>
      </c>
      <c r="K6" s="22">
        <v>0</v>
      </c>
      <c r="L6" s="22">
        <v>4.8000000000000001E-2</v>
      </c>
      <c r="M6" s="22">
        <v>7.0000000000000001E-3</v>
      </c>
      <c r="N6" s="22">
        <v>1.2E-2</v>
      </c>
      <c r="O6" s="22">
        <v>2E-3</v>
      </c>
      <c r="P6" s="22">
        <v>0</v>
      </c>
      <c r="Q6" s="22">
        <v>0</v>
      </c>
      <c r="R6" s="22">
        <v>1.6E-2</v>
      </c>
      <c r="S6" s="22">
        <v>1.6E-2</v>
      </c>
      <c r="T6" s="22">
        <v>0</v>
      </c>
      <c r="U6" s="22">
        <v>0</v>
      </c>
      <c r="V6" s="22">
        <v>0</v>
      </c>
      <c r="W6" s="22">
        <v>1.0999999999999999E-2</v>
      </c>
      <c r="X6" s="22">
        <v>2.4E-2</v>
      </c>
      <c r="Y6" s="22">
        <v>5.8999999999999997E-2</v>
      </c>
      <c r="Z6" s="23">
        <v>7.9000000000000001E-2</v>
      </c>
      <c r="AA6" s="23">
        <v>8.3000000000000004E-2</v>
      </c>
      <c r="AB6" s="23">
        <v>0.08</v>
      </c>
      <c r="AC6" s="22">
        <v>0.185</v>
      </c>
      <c r="AD6" s="22">
        <v>0.20399999999999999</v>
      </c>
      <c r="AE6" s="22">
        <v>0.19900000000000001</v>
      </c>
      <c r="AF6" s="22">
        <v>0.17799999999999999</v>
      </c>
      <c r="AG6" s="22">
        <v>0.13400000000000001</v>
      </c>
      <c r="AH6" s="22">
        <v>0.115</v>
      </c>
      <c r="AI6" s="22">
        <v>0.10199999999999999</v>
      </c>
      <c r="AJ6" s="22">
        <v>8.5999999999999993E-2</v>
      </c>
      <c r="AK6" s="22">
        <v>8.8999999999999996E-2</v>
      </c>
      <c r="AL6" s="23">
        <v>0.1007</v>
      </c>
      <c r="AM6" s="23">
        <v>9.1230918260006733E-2</v>
      </c>
      <c r="AN6" s="23">
        <v>0.17223139197032356</v>
      </c>
      <c r="AO6" s="23">
        <v>0.19966708633867614</v>
      </c>
      <c r="AP6" s="23">
        <v>0.16094874397933712</v>
      </c>
      <c r="AQ6" s="23">
        <v>0.16060272607004533</v>
      </c>
      <c r="AR6" s="23">
        <v>0.17251744328727725</v>
      </c>
      <c r="AS6" s="23">
        <v>0.16262563293931653</v>
      </c>
      <c r="AT6" s="23">
        <v>0.11820349855207668</v>
      </c>
      <c r="AU6" s="23">
        <v>0.11749629231145083</v>
      </c>
      <c r="AV6" s="23">
        <v>0.22397610198539963</v>
      </c>
      <c r="AW6" s="23">
        <v>0.15562486324114605</v>
      </c>
      <c r="AX6" s="23">
        <v>0.13595823716088959</v>
      </c>
      <c r="AY6" s="23">
        <v>0.12939667870679603</v>
      </c>
      <c r="AZ6" s="23">
        <v>0.14404117670514541</v>
      </c>
      <c r="BA6" s="23">
        <v>0.14569542487628601</v>
      </c>
      <c r="BB6" s="23">
        <v>0.17740351717777644</v>
      </c>
      <c r="BC6" s="23">
        <v>0.18441616803404273</v>
      </c>
      <c r="BD6" s="23">
        <v>0.1621432980251056</v>
      </c>
      <c r="BE6" s="23">
        <v>0.13727839083249715</v>
      </c>
      <c r="BF6" s="23">
        <v>0.14564275210694966</v>
      </c>
      <c r="BG6" s="23">
        <v>0.15070101795413282</v>
      </c>
      <c r="BH6" s="23">
        <v>0.14943885426842751</v>
      </c>
      <c r="BI6" s="23">
        <v>0.14525787558298317</v>
      </c>
      <c r="BJ6" s="23">
        <v>0.14154804873434615</v>
      </c>
      <c r="BK6" s="23">
        <v>0.14893845361425886</v>
      </c>
      <c r="BL6" s="23">
        <v>0.14524325117430262</v>
      </c>
      <c r="BM6" s="23">
        <v>0.15190702548507287</v>
      </c>
      <c r="BN6" s="23">
        <v>0.15055776880580435</v>
      </c>
      <c r="BO6" s="23">
        <v>0.14350245700894865</v>
      </c>
      <c r="BP6" s="23">
        <v>0.16396179443572328</v>
      </c>
      <c r="BQ6" s="23">
        <v>0.48572597813851587</v>
      </c>
      <c r="BR6" s="23">
        <v>0.48829952605867571</v>
      </c>
      <c r="BS6" s="23">
        <v>0.47455741826986525</v>
      </c>
      <c r="BT6" s="23">
        <v>0.48562877860609216</v>
      </c>
    </row>
    <row r="7" spans="1:72" s="123" customFormat="1" x14ac:dyDescent="0.3">
      <c r="B7" s="133" t="str">
        <f>IF('Sumário | Summary'!P1=1,"Escritórios AAA","Triple A Offices")</f>
        <v>Escritórios AAA</v>
      </c>
      <c r="C7" s="22">
        <v>0</v>
      </c>
      <c r="D7" s="22">
        <v>0</v>
      </c>
      <c r="E7" s="22">
        <v>0</v>
      </c>
      <c r="F7" s="22">
        <v>0</v>
      </c>
      <c r="G7" s="22">
        <v>0.12609999999999999</v>
      </c>
      <c r="H7" s="22">
        <v>0.105</v>
      </c>
      <c r="I7" s="22">
        <v>5.0999999999999997E-2</v>
      </c>
      <c r="J7" s="22">
        <v>0</v>
      </c>
      <c r="K7" s="22">
        <v>0</v>
      </c>
      <c r="L7" s="22">
        <v>0</v>
      </c>
      <c r="M7" s="22">
        <v>0</v>
      </c>
      <c r="N7" s="22">
        <v>0</v>
      </c>
      <c r="O7" s="22">
        <v>0</v>
      </c>
      <c r="P7" s="22">
        <v>0</v>
      </c>
      <c r="Q7" s="22">
        <v>0</v>
      </c>
      <c r="R7" s="22">
        <v>0</v>
      </c>
      <c r="S7" s="22">
        <v>0</v>
      </c>
      <c r="T7" s="22">
        <v>0</v>
      </c>
      <c r="U7" s="22">
        <v>0</v>
      </c>
      <c r="V7" s="22">
        <v>0</v>
      </c>
      <c r="W7" s="22">
        <v>1.9E-2</v>
      </c>
      <c r="X7" s="22">
        <v>4.2000000000000003E-2</v>
      </c>
      <c r="Y7" s="22">
        <v>9.8000000000000004E-2</v>
      </c>
      <c r="Z7" s="23">
        <v>0.124</v>
      </c>
      <c r="AA7" s="23">
        <v>0.124</v>
      </c>
      <c r="AB7" s="23">
        <v>0.11899999999999999</v>
      </c>
      <c r="AC7" s="22">
        <v>0.26600000000000001</v>
      </c>
      <c r="AD7" s="22">
        <v>0.27700000000000002</v>
      </c>
      <c r="AE7" s="22">
        <v>0.27700000000000002</v>
      </c>
      <c r="AF7" s="22">
        <v>0.22900000000000001</v>
      </c>
      <c r="AG7" s="22">
        <v>0.16900000000000001</v>
      </c>
      <c r="AH7" s="22">
        <v>0.13800000000000001</v>
      </c>
      <c r="AI7" s="22">
        <v>0.125</v>
      </c>
      <c r="AJ7" s="22">
        <v>8.6999999999999994E-2</v>
      </c>
      <c r="AK7" s="22">
        <v>9.0999999999999998E-2</v>
      </c>
      <c r="AL7" s="23">
        <v>0.1071</v>
      </c>
      <c r="AM7" s="23">
        <v>0.1014095849159557</v>
      </c>
      <c r="AN7" s="23">
        <v>0.15674192133010253</v>
      </c>
      <c r="AO7" s="23">
        <v>0.17333231859546974</v>
      </c>
      <c r="AP7" s="23">
        <v>0.13930191323762386</v>
      </c>
      <c r="AQ7" s="23">
        <v>0.12143752404637799</v>
      </c>
      <c r="AR7" s="23">
        <v>0.13370590590457507</v>
      </c>
      <c r="AS7" s="23">
        <v>0.13370590590457507</v>
      </c>
      <c r="AT7" s="23">
        <v>8.3668699321223783E-2</v>
      </c>
      <c r="AU7" s="23">
        <v>9.688493393369195E-2</v>
      </c>
      <c r="AV7" s="23">
        <v>5.7480737912326087E-2</v>
      </c>
      <c r="AW7" s="23">
        <v>5.7480737912326087E-2</v>
      </c>
      <c r="AX7" s="23">
        <v>4.0340391151887624E-2</v>
      </c>
      <c r="AY7" s="23">
        <v>2.9960250755079763E-2</v>
      </c>
      <c r="AZ7" s="23">
        <v>4.1415358941120382E-2</v>
      </c>
      <c r="BA7" s="23">
        <v>4.2168724392488942E-2</v>
      </c>
      <c r="BB7" s="23">
        <v>9.0420766048717599E-2</v>
      </c>
      <c r="BC7" s="23">
        <v>0.10143765443554427</v>
      </c>
      <c r="BD7" s="23">
        <v>6.3089896287346847E-2</v>
      </c>
      <c r="BE7" s="23">
        <v>3.2633968898934718E-2</v>
      </c>
      <c r="BF7" s="23">
        <v>0.16699371010059486</v>
      </c>
      <c r="BG7" s="23">
        <v>0.18529016668620135</v>
      </c>
      <c r="BH7" s="23">
        <v>0.16470188232936347</v>
      </c>
      <c r="BI7" s="23">
        <v>0.16470188232936347</v>
      </c>
      <c r="BJ7" s="23">
        <v>0.15066912013214401</v>
      </c>
      <c r="BK7" s="23">
        <v>0.17862400817741414</v>
      </c>
      <c r="BL7" s="23">
        <v>0.16464656415477907</v>
      </c>
      <c r="BM7" s="23">
        <v>0.18985267104075573</v>
      </c>
      <c r="BN7" s="23">
        <v>0.18985267104075573</v>
      </c>
      <c r="BO7" s="23">
        <v>0.16465171589145686</v>
      </c>
      <c r="BP7" s="23">
        <v>0.31686266499621285</v>
      </c>
      <c r="BQ7" s="23">
        <v>0.37480923532787552</v>
      </c>
      <c r="BR7" s="23">
        <v>0.35659595843523356</v>
      </c>
      <c r="BS7" s="23">
        <v>0.35659595843523356</v>
      </c>
      <c r="BT7" s="23">
        <v>0.31951987133233928</v>
      </c>
    </row>
    <row r="8" spans="1:72" hidden="1" outlineLevel="1" x14ac:dyDescent="0.3">
      <c r="A8" s="131"/>
      <c r="B8" s="141" t="s">
        <v>217</v>
      </c>
      <c r="C8" s="166">
        <v>0</v>
      </c>
      <c r="D8" s="166">
        <v>0</v>
      </c>
      <c r="E8" s="166">
        <v>0</v>
      </c>
      <c r="F8" s="166">
        <v>0</v>
      </c>
      <c r="G8" s="166">
        <v>0</v>
      </c>
      <c r="H8" s="166">
        <v>0</v>
      </c>
      <c r="I8" s="166">
        <v>0</v>
      </c>
      <c r="J8" s="166">
        <v>0</v>
      </c>
      <c r="K8" s="166">
        <v>0</v>
      </c>
      <c r="L8" s="166">
        <v>0</v>
      </c>
      <c r="M8" s="166">
        <v>0</v>
      </c>
      <c r="N8" s="166">
        <v>0</v>
      </c>
      <c r="O8" s="166">
        <v>0</v>
      </c>
      <c r="P8" s="166">
        <v>0</v>
      </c>
      <c r="Q8" s="166">
        <v>0</v>
      </c>
      <c r="R8" s="166">
        <v>0</v>
      </c>
      <c r="S8" s="166">
        <v>0</v>
      </c>
      <c r="T8" s="166">
        <v>0</v>
      </c>
      <c r="U8" s="166">
        <v>0</v>
      </c>
      <c r="V8" s="166">
        <v>0</v>
      </c>
      <c r="W8" s="166">
        <v>0</v>
      </c>
      <c r="X8" s="166">
        <v>0</v>
      </c>
      <c r="Y8" s="166">
        <v>0</v>
      </c>
      <c r="Z8" s="107">
        <v>0</v>
      </c>
      <c r="AA8" s="107">
        <v>0</v>
      </c>
      <c r="AB8" s="107">
        <v>0</v>
      </c>
      <c r="AC8" s="166">
        <v>0</v>
      </c>
      <c r="AD8" s="166">
        <v>0</v>
      </c>
      <c r="AE8" s="166">
        <v>0</v>
      </c>
      <c r="AF8" s="166">
        <v>0</v>
      </c>
      <c r="AG8" s="166">
        <v>0</v>
      </c>
      <c r="AH8" s="166">
        <v>0</v>
      </c>
      <c r="AI8" s="166">
        <v>0</v>
      </c>
      <c r="AJ8" s="166">
        <v>0</v>
      </c>
      <c r="AK8" s="166">
        <v>0</v>
      </c>
      <c r="AL8" s="107">
        <v>0</v>
      </c>
      <c r="AM8" s="107">
        <v>0</v>
      </c>
      <c r="AN8" s="107">
        <v>0</v>
      </c>
      <c r="AO8" s="107">
        <v>0</v>
      </c>
      <c r="AP8" s="107">
        <v>0</v>
      </c>
      <c r="AQ8" s="107">
        <v>0</v>
      </c>
      <c r="AR8" s="107">
        <v>0</v>
      </c>
      <c r="AS8" s="107">
        <v>0</v>
      </c>
      <c r="AT8" s="107">
        <v>0.2</v>
      </c>
      <c r="AU8" s="107">
        <v>0.22482369534555713</v>
      </c>
      <c r="AV8" s="107">
        <v>0</v>
      </c>
      <c r="AW8" s="107">
        <v>0</v>
      </c>
      <c r="AX8" s="107">
        <v>0</v>
      </c>
      <c r="AY8" s="107">
        <v>0</v>
      </c>
      <c r="AZ8" s="107">
        <v>0</v>
      </c>
      <c r="BA8" s="107">
        <v>0</v>
      </c>
      <c r="BB8" s="107">
        <v>0</v>
      </c>
      <c r="BC8" s="107">
        <v>0</v>
      </c>
      <c r="BD8" s="107">
        <v>0</v>
      </c>
      <c r="BE8" s="107">
        <v>0</v>
      </c>
      <c r="BF8" s="107" t="s">
        <v>73</v>
      </c>
      <c r="BG8" s="107" t="s">
        <v>73</v>
      </c>
      <c r="BH8" s="107" t="s">
        <v>73</v>
      </c>
      <c r="BI8" s="107" t="s">
        <v>73</v>
      </c>
      <c r="BJ8" s="107" t="s">
        <v>73</v>
      </c>
      <c r="BK8" s="107" t="s">
        <v>73</v>
      </c>
      <c r="BL8" s="107" t="s">
        <v>73</v>
      </c>
      <c r="BM8" s="107" t="s">
        <v>73</v>
      </c>
      <c r="BN8" s="107" t="s">
        <v>73</v>
      </c>
      <c r="BO8" s="107" t="s">
        <v>73</v>
      </c>
      <c r="BP8" s="107" t="s">
        <v>73</v>
      </c>
      <c r="BQ8" s="107" t="s">
        <v>73</v>
      </c>
      <c r="BR8" s="107" t="s">
        <v>73</v>
      </c>
      <c r="BS8" s="107" t="s">
        <v>73</v>
      </c>
      <c r="BT8" s="107" t="s">
        <v>73</v>
      </c>
    </row>
    <row r="9" spans="1:72" hidden="1" outlineLevel="1" x14ac:dyDescent="0.3">
      <c r="A9" s="131"/>
      <c r="B9" s="141" t="s">
        <v>218</v>
      </c>
      <c r="C9" s="166">
        <v>0</v>
      </c>
      <c r="D9" s="166">
        <v>0</v>
      </c>
      <c r="E9" s="166">
        <v>0</v>
      </c>
      <c r="F9" s="166">
        <v>0</v>
      </c>
      <c r="G9" s="166">
        <v>0</v>
      </c>
      <c r="H9" s="166">
        <v>0</v>
      </c>
      <c r="I9" s="166">
        <v>0</v>
      </c>
      <c r="J9" s="166">
        <v>0</v>
      </c>
      <c r="K9" s="166">
        <v>0</v>
      </c>
      <c r="L9" s="166">
        <v>0</v>
      </c>
      <c r="M9" s="166">
        <v>0</v>
      </c>
      <c r="N9" s="166">
        <v>0</v>
      </c>
      <c r="O9" s="166">
        <v>0</v>
      </c>
      <c r="P9" s="166">
        <v>0</v>
      </c>
      <c r="Q9" s="166">
        <v>0</v>
      </c>
      <c r="R9" s="166">
        <v>0</v>
      </c>
      <c r="S9" s="166">
        <v>0</v>
      </c>
      <c r="T9" s="166">
        <v>0</v>
      </c>
      <c r="U9" s="166">
        <v>0</v>
      </c>
      <c r="V9" s="166">
        <v>0</v>
      </c>
      <c r="W9" s="166">
        <v>0</v>
      </c>
      <c r="X9" s="166">
        <v>0</v>
      </c>
      <c r="Y9" s="166">
        <v>0</v>
      </c>
      <c r="Z9" s="107">
        <v>0</v>
      </c>
      <c r="AA9" s="107">
        <v>0</v>
      </c>
      <c r="AB9" s="107">
        <v>0</v>
      </c>
      <c r="AC9" s="166">
        <v>0</v>
      </c>
      <c r="AD9" s="166">
        <v>0.52781100179576279</v>
      </c>
      <c r="AE9" s="166">
        <v>0.52781100179576279</v>
      </c>
      <c r="AF9" s="166">
        <v>0.5</v>
      </c>
      <c r="AG9" s="166">
        <v>0</v>
      </c>
      <c r="AH9" s="166">
        <v>0</v>
      </c>
      <c r="AI9" s="166">
        <v>0</v>
      </c>
      <c r="AJ9" s="166">
        <v>0</v>
      </c>
      <c r="AK9" s="166">
        <v>0</v>
      </c>
      <c r="AL9" s="107">
        <v>0</v>
      </c>
      <c r="AM9" s="107">
        <v>0</v>
      </c>
      <c r="AN9" s="107">
        <v>0</v>
      </c>
      <c r="AO9" s="107">
        <v>0</v>
      </c>
      <c r="AP9" s="107">
        <v>0</v>
      </c>
      <c r="AQ9" s="107">
        <v>0</v>
      </c>
      <c r="AR9" s="107">
        <v>0</v>
      </c>
      <c r="AS9" s="107">
        <v>0</v>
      </c>
      <c r="AT9" s="107">
        <v>0</v>
      </c>
      <c r="AU9" s="107">
        <v>0</v>
      </c>
      <c r="AV9" s="107">
        <v>0</v>
      </c>
      <c r="AW9" s="107">
        <v>0</v>
      </c>
      <c r="AX9" s="107">
        <v>0</v>
      </c>
      <c r="AY9" s="107">
        <v>0</v>
      </c>
      <c r="AZ9" s="107">
        <v>0</v>
      </c>
      <c r="BA9" s="107" t="s">
        <v>73</v>
      </c>
      <c r="BB9" s="107" t="s">
        <v>73</v>
      </c>
      <c r="BC9" s="107" t="s">
        <v>73</v>
      </c>
      <c r="BD9" s="107" t="s">
        <v>73</v>
      </c>
      <c r="BE9" s="107" t="s">
        <v>73</v>
      </c>
      <c r="BF9" s="107" t="s">
        <v>73</v>
      </c>
      <c r="BG9" s="107" t="s">
        <v>73</v>
      </c>
      <c r="BH9" s="107" t="s">
        <v>73</v>
      </c>
      <c r="BI9" s="107" t="s">
        <v>73</v>
      </c>
      <c r="BJ9" s="107" t="s">
        <v>73</v>
      </c>
      <c r="BK9" s="107" t="s">
        <v>73</v>
      </c>
      <c r="BL9" s="107" t="s">
        <v>73</v>
      </c>
      <c r="BM9" s="107" t="s">
        <v>73</v>
      </c>
      <c r="BN9" s="107" t="s">
        <v>73</v>
      </c>
      <c r="BO9" s="107" t="s">
        <v>73</v>
      </c>
      <c r="BP9" s="107" t="s">
        <v>73</v>
      </c>
      <c r="BQ9" s="107" t="s">
        <v>73</v>
      </c>
      <c r="BR9" s="107" t="s">
        <v>73</v>
      </c>
      <c r="BS9" s="107" t="s">
        <v>73</v>
      </c>
      <c r="BT9" s="107" t="s">
        <v>73</v>
      </c>
    </row>
    <row r="10" spans="1:72" hidden="1" outlineLevel="1" x14ac:dyDescent="0.3">
      <c r="B10" s="141" t="s">
        <v>219</v>
      </c>
      <c r="C10" s="166">
        <v>0</v>
      </c>
      <c r="D10" s="166">
        <v>0</v>
      </c>
      <c r="E10" s="166">
        <v>0</v>
      </c>
      <c r="F10" s="166">
        <v>0</v>
      </c>
      <c r="G10" s="166">
        <v>0</v>
      </c>
      <c r="H10" s="166">
        <v>0</v>
      </c>
      <c r="I10" s="166">
        <v>0</v>
      </c>
      <c r="J10" s="166">
        <v>0</v>
      </c>
      <c r="K10" s="166">
        <v>0</v>
      </c>
      <c r="L10" s="166">
        <v>0</v>
      </c>
      <c r="M10" s="166">
        <v>0</v>
      </c>
      <c r="N10" s="166">
        <v>0</v>
      </c>
      <c r="O10" s="166">
        <v>0</v>
      </c>
      <c r="P10" s="166">
        <v>0</v>
      </c>
      <c r="Q10" s="166">
        <v>0</v>
      </c>
      <c r="R10" s="166">
        <v>0</v>
      </c>
      <c r="S10" s="166">
        <v>0</v>
      </c>
      <c r="T10" s="166">
        <v>0</v>
      </c>
      <c r="U10" s="166">
        <v>0</v>
      </c>
      <c r="V10" s="166">
        <v>0</v>
      </c>
      <c r="W10" s="166">
        <v>0</v>
      </c>
      <c r="X10" s="166">
        <v>0</v>
      </c>
      <c r="Y10" s="166">
        <v>0</v>
      </c>
      <c r="Z10" s="107">
        <v>0</v>
      </c>
      <c r="AA10" s="107">
        <v>0</v>
      </c>
      <c r="AB10" s="107">
        <v>0</v>
      </c>
      <c r="AC10" s="166">
        <v>0</v>
      </c>
      <c r="AD10" s="166">
        <v>0</v>
      </c>
      <c r="AE10" s="166">
        <v>0</v>
      </c>
      <c r="AF10" s="166">
        <v>0</v>
      </c>
      <c r="AG10" s="166">
        <v>0</v>
      </c>
      <c r="AH10" s="166">
        <v>0</v>
      </c>
      <c r="AI10" s="166">
        <v>0</v>
      </c>
      <c r="AJ10" s="166">
        <v>0</v>
      </c>
      <c r="AK10" s="166">
        <v>0</v>
      </c>
      <c r="AL10" s="107">
        <v>0</v>
      </c>
      <c r="AM10" s="107">
        <v>9.0284960995689972E-2</v>
      </c>
      <c r="AN10" s="107">
        <v>0</v>
      </c>
      <c r="AO10" s="107">
        <v>0</v>
      </c>
      <c r="AP10" s="107">
        <v>0</v>
      </c>
      <c r="AQ10" s="107">
        <v>0</v>
      </c>
      <c r="AR10" s="107">
        <v>0</v>
      </c>
      <c r="AS10" s="107">
        <v>0</v>
      </c>
      <c r="AT10" s="107">
        <v>0</v>
      </c>
      <c r="AU10" s="107">
        <v>0</v>
      </c>
      <c r="AV10" s="107">
        <v>0</v>
      </c>
      <c r="AW10" s="107">
        <v>0</v>
      </c>
      <c r="AX10" s="107">
        <v>0</v>
      </c>
      <c r="AY10" s="107">
        <v>4.2816071519276674E-2</v>
      </c>
      <c r="AZ10" s="107">
        <v>3.9566854380626078E-2</v>
      </c>
      <c r="BA10" s="107">
        <v>3.9566854380626078E-2</v>
      </c>
      <c r="BB10" s="107">
        <v>0.1319595358908891</v>
      </c>
      <c r="BC10" s="107">
        <v>0.11404788195317769</v>
      </c>
      <c r="BD10" s="107">
        <v>0.12961572120812823</v>
      </c>
      <c r="BE10" s="107">
        <v>0</v>
      </c>
      <c r="BF10" s="107" t="s">
        <v>73</v>
      </c>
      <c r="BG10" s="107" t="s">
        <v>73</v>
      </c>
      <c r="BH10" s="107" t="s">
        <v>73</v>
      </c>
      <c r="BI10" s="107" t="s">
        <v>73</v>
      </c>
      <c r="BJ10" s="107" t="s">
        <v>73</v>
      </c>
      <c r="BK10" s="107" t="s">
        <v>73</v>
      </c>
      <c r="BL10" s="107" t="s">
        <v>73</v>
      </c>
      <c r="BM10" s="107" t="s">
        <v>73</v>
      </c>
      <c r="BN10" s="107" t="s">
        <v>73</v>
      </c>
      <c r="BO10" s="107" t="s">
        <v>73</v>
      </c>
      <c r="BP10" s="107" t="s">
        <v>73</v>
      </c>
      <c r="BQ10" s="107" t="s">
        <v>73</v>
      </c>
      <c r="BR10" s="107" t="s">
        <v>73</v>
      </c>
      <c r="BS10" s="107" t="s">
        <v>73</v>
      </c>
      <c r="BT10" s="107" t="s">
        <v>73</v>
      </c>
    </row>
    <row r="11" spans="1:72" hidden="1" outlineLevel="1" x14ac:dyDescent="0.3">
      <c r="B11" s="141" t="s">
        <v>220</v>
      </c>
      <c r="C11" s="166">
        <v>0</v>
      </c>
      <c r="D11" s="166">
        <v>0</v>
      </c>
      <c r="E11" s="166">
        <v>0</v>
      </c>
      <c r="F11" s="166">
        <v>0</v>
      </c>
      <c r="G11" s="166">
        <v>0</v>
      </c>
      <c r="H11" s="166">
        <v>0</v>
      </c>
      <c r="I11" s="166">
        <v>0</v>
      </c>
      <c r="J11" s="166">
        <v>0</v>
      </c>
      <c r="K11" s="166">
        <v>0</v>
      </c>
      <c r="L11" s="166">
        <v>0</v>
      </c>
      <c r="M11" s="166">
        <v>0</v>
      </c>
      <c r="N11" s="166">
        <v>0</v>
      </c>
      <c r="O11" s="166">
        <v>0</v>
      </c>
      <c r="P11" s="166">
        <v>0</v>
      </c>
      <c r="Q11" s="166">
        <v>0</v>
      </c>
      <c r="R11" s="166">
        <v>0</v>
      </c>
      <c r="S11" s="166">
        <v>0</v>
      </c>
      <c r="T11" s="166">
        <v>0</v>
      </c>
      <c r="U11" s="166">
        <v>0</v>
      </c>
      <c r="V11" s="166">
        <v>0</v>
      </c>
      <c r="W11" s="166">
        <v>0</v>
      </c>
      <c r="X11" s="166">
        <v>0</v>
      </c>
      <c r="Y11" s="166">
        <v>0</v>
      </c>
      <c r="Z11" s="107">
        <v>0.13791348483665714</v>
      </c>
      <c r="AA11" s="107">
        <v>0.13791348483665714</v>
      </c>
      <c r="AB11" s="107">
        <v>0.13791348483665714</v>
      </c>
      <c r="AC11" s="166">
        <v>0.1263295572300821</v>
      </c>
      <c r="AD11" s="166">
        <v>6.1128637005811864E-2</v>
      </c>
      <c r="AE11" s="166">
        <v>6.1128637005811864E-2</v>
      </c>
      <c r="AF11" s="166">
        <v>0.06</v>
      </c>
      <c r="AG11" s="166">
        <v>0.30889146542509821</v>
      </c>
      <c r="AH11" s="166">
        <v>0.30889146542509821</v>
      </c>
      <c r="AI11" s="166">
        <v>0.24859976328073571</v>
      </c>
      <c r="AJ11" s="166">
        <v>0.22574636007756246</v>
      </c>
      <c r="AK11" s="166">
        <v>0</v>
      </c>
      <c r="AL11" s="107">
        <v>7.0000000000000007E-2</v>
      </c>
      <c r="AM11" s="107">
        <v>0</v>
      </c>
      <c r="AN11" s="107">
        <v>0</v>
      </c>
      <c r="AO11" s="107">
        <v>0</v>
      </c>
      <c r="AP11" s="107">
        <v>0</v>
      </c>
      <c r="AQ11" s="107">
        <v>0</v>
      </c>
      <c r="AR11" s="107">
        <v>0</v>
      </c>
      <c r="AS11" s="107">
        <v>0</v>
      </c>
      <c r="AT11" s="107">
        <v>0</v>
      </c>
      <c r="AU11" s="107">
        <v>6.6068002783173568E-2</v>
      </c>
      <c r="AV11" s="107">
        <v>6.6068002783173568E-2</v>
      </c>
      <c r="AW11" s="107">
        <v>6.6068002783173568E-2</v>
      </c>
      <c r="AX11" s="107">
        <v>6.6068002783173568E-2</v>
      </c>
      <c r="AY11" s="107">
        <v>0</v>
      </c>
      <c r="AZ11" s="107">
        <v>6.1967076055427929E-2</v>
      </c>
      <c r="BA11" s="107">
        <v>6.1967076055427929E-2</v>
      </c>
      <c r="BB11" s="107">
        <v>0.25464049801173255</v>
      </c>
      <c r="BC11" s="107">
        <v>0.25464049801173255</v>
      </c>
      <c r="BD11" s="107">
        <v>0</v>
      </c>
      <c r="BE11" s="107">
        <v>0</v>
      </c>
      <c r="BF11" s="107" t="s">
        <v>73</v>
      </c>
      <c r="BG11" s="107" t="s">
        <v>73</v>
      </c>
      <c r="BH11" s="107" t="s">
        <v>73</v>
      </c>
      <c r="BI11" s="107" t="s">
        <v>73</v>
      </c>
      <c r="BJ11" s="107" t="s">
        <v>73</v>
      </c>
      <c r="BK11" s="107" t="s">
        <v>73</v>
      </c>
      <c r="BL11" s="107" t="s">
        <v>73</v>
      </c>
      <c r="BM11" s="107" t="s">
        <v>73</v>
      </c>
      <c r="BN11" s="107" t="s">
        <v>73</v>
      </c>
      <c r="BO11" s="107" t="s">
        <v>73</v>
      </c>
      <c r="BP11" s="107" t="s">
        <v>73</v>
      </c>
      <c r="BQ11" s="107" t="s">
        <v>73</v>
      </c>
      <c r="BR11" s="107" t="s">
        <v>73</v>
      </c>
      <c r="BS11" s="107" t="s">
        <v>73</v>
      </c>
      <c r="BT11" s="107" t="s">
        <v>73</v>
      </c>
    </row>
    <row r="12" spans="1:72" hidden="1" outlineLevel="1" x14ac:dyDescent="0.3">
      <c r="B12" s="141" t="s">
        <v>276</v>
      </c>
      <c r="C12" s="166" t="s">
        <v>73</v>
      </c>
      <c r="D12" s="166">
        <v>0</v>
      </c>
      <c r="E12" s="166">
        <v>0</v>
      </c>
      <c r="F12" s="166">
        <v>0</v>
      </c>
      <c r="G12" s="166">
        <v>0</v>
      </c>
      <c r="H12" s="166">
        <v>0</v>
      </c>
      <c r="I12" s="166">
        <v>0</v>
      </c>
      <c r="J12" s="166">
        <v>0</v>
      </c>
      <c r="K12" s="166">
        <v>0</v>
      </c>
      <c r="L12" s="166">
        <v>0</v>
      </c>
      <c r="M12" s="166">
        <v>0</v>
      </c>
      <c r="N12" s="166">
        <v>0</v>
      </c>
      <c r="O12" s="166">
        <v>0</v>
      </c>
      <c r="P12" s="166">
        <v>0</v>
      </c>
      <c r="Q12" s="166">
        <v>0</v>
      </c>
      <c r="R12" s="166">
        <v>0</v>
      </c>
      <c r="S12" s="166">
        <v>0</v>
      </c>
      <c r="T12" s="166">
        <v>0</v>
      </c>
      <c r="U12" s="166">
        <v>0</v>
      </c>
      <c r="V12" s="166">
        <v>0</v>
      </c>
      <c r="W12" s="166">
        <v>8.5999999999999993E-2</v>
      </c>
      <c r="X12" s="166">
        <v>0.19</v>
      </c>
      <c r="Y12" s="166">
        <v>0.19</v>
      </c>
      <c r="Z12" s="107">
        <v>0.18966297197440751</v>
      </c>
      <c r="AA12" s="107">
        <v>0.18966297197440751</v>
      </c>
      <c r="AB12" s="107">
        <v>0.16639999999999999</v>
      </c>
      <c r="AC12" s="166">
        <v>0.17204830134270524</v>
      </c>
      <c r="AD12" s="166">
        <v>0.17204830134270524</v>
      </c>
      <c r="AE12" s="166">
        <v>0.17204830134270524</v>
      </c>
      <c r="AF12" s="166">
        <v>0.17799999999999999</v>
      </c>
      <c r="AG12" s="166">
        <v>8.9168636806477297E-2</v>
      </c>
      <c r="AH12" s="166">
        <v>8.9168636806477297E-2</v>
      </c>
      <c r="AI12" s="166">
        <v>8.9168636806477297E-2</v>
      </c>
      <c r="AJ12" s="166">
        <v>0</v>
      </c>
      <c r="AK12" s="166">
        <v>0.30499999999999999</v>
      </c>
      <c r="AL12" s="107">
        <v>0.30499999999999999</v>
      </c>
      <c r="AM12" s="107">
        <v>0.23784322265769695</v>
      </c>
      <c r="AN12" s="107">
        <v>0.23366222624609395</v>
      </c>
      <c r="AO12" s="107">
        <v>0.23784309497457626</v>
      </c>
      <c r="AP12" s="107">
        <v>0</v>
      </c>
      <c r="AQ12" s="107">
        <v>6.70196670355932E-2</v>
      </c>
      <c r="AR12" s="107">
        <v>0.15243138100508472</v>
      </c>
      <c r="AS12" s="107">
        <v>0.15243138100508472</v>
      </c>
      <c r="AT12" s="107">
        <v>7.9519688122152168E-2</v>
      </c>
      <c r="AU12" s="107">
        <v>7.9519688122152168E-2</v>
      </c>
      <c r="AV12" s="107">
        <v>7.9519688122152168E-2</v>
      </c>
      <c r="AW12" s="107">
        <v>7.9519688122152168E-2</v>
      </c>
      <c r="AX12" s="107">
        <v>7.9519688122152168E-2</v>
      </c>
      <c r="AY12" s="107">
        <v>0</v>
      </c>
      <c r="AZ12" s="107">
        <v>0</v>
      </c>
      <c r="BA12" s="107">
        <v>0</v>
      </c>
      <c r="BB12" s="107">
        <v>0</v>
      </c>
      <c r="BC12" s="107">
        <v>7.9519688122152168E-2</v>
      </c>
      <c r="BD12" s="107">
        <v>0</v>
      </c>
      <c r="BE12" s="107">
        <v>4.2664456421235022E-2</v>
      </c>
      <c r="BF12" s="107" t="s">
        <v>73</v>
      </c>
      <c r="BG12" s="107" t="s">
        <v>73</v>
      </c>
      <c r="BH12" s="107" t="s">
        <v>73</v>
      </c>
      <c r="BI12" s="107" t="s">
        <v>73</v>
      </c>
      <c r="BJ12" s="107" t="s">
        <v>73</v>
      </c>
      <c r="BK12" s="107" t="s">
        <v>73</v>
      </c>
      <c r="BL12" s="107" t="s">
        <v>73</v>
      </c>
      <c r="BM12" s="107" t="s">
        <v>73</v>
      </c>
      <c r="BN12" s="107" t="s">
        <v>73</v>
      </c>
      <c r="BO12" s="107" t="s">
        <v>73</v>
      </c>
      <c r="BP12" s="107" t="s">
        <v>73</v>
      </c>
      <c r="BQ12" s="107" t="s">
        <v>73</v>
      </c>
      <c r="BR12" s="107" t="s">
        <v>73</v>
      </c>
      <c r="BS12" s="107" t="s">
        <v>73</v>
      </c>
      <c r="BT12" s="107" t="s">
        <v>73</v>
      </c>
    </row>
    <row r="13" spans="1:72" hidden="1" outlineLevel="1" x14ac:dyDescent="0.3">
      <c r="A13" t="s">
        <v>223</v>
      </c>
      <c r="B13" s="134" t="s">
        <v>223</v>
      </c>
      <c r="C13" s="166" t="s">
        <v>73</v>
      </c>
      <c r="D13" s="166" t="s">
        <v>73</v>
      </c>
      <c r="E13" s="166" t="s">
        <v>73</v>
      </c>
      <c r="F13" s="166" t="s">
        <v>73</v>
      </c>
      <c r="G13" s="166" t="s">
        <v>73</v>
      </c>
      <c r="H13" s="166" t="s">
        <v>73</v>
      </c>
      <c r="I13" s="166" t="s">
        <v>73</v>
      </c>
      <c r="J13" s="166" t="s">
        <v>73</v>
      </c>
      <c r="K13" s="166" t="s">
        <v>73</v>
      </c>
      <c r="L13" s="166" t="s">
        <v>73</v>
      </c>
      <c r="M13" s="166" t="s">
        <v>73</v>
      </c>
      <c r="N13" s="166" t="s">
        <v>73</v>
      </c>
      <c r="O13" s="166" t="s">
        <v>73</v>
      </c>
      <c r="P13" s="166" t="s">
        <v>73</v>
      </c>
      <c r="Q13" s="166" t="s">
        <v>73</v>
      </c>
      <c r="R13" s="166" t="s">
        <v>73</v>
      </c>
      <c r="S13" s="166" t="s">
        <v>73</v>
      </c>
      <c r="T13" s="166" t="s">
        <v>73</v>
      </c>
      <c r="U13" s="166" t="s">
        <v>73</v>
      </c>
      <c r="V13" s="166" t="s">
        <v>73</v>
      </c>
      <c r="W13" s="166" t="s">
        <v>73</v>
      </c>
      <c r="X13" s="166" t="s">
        <v>73</v>
      </c>
      <c r="Y13" s="166">
        <v>1</v>
      </c>
      <c r="Z13" s="107">
        <v>1</v>
      </c>
      <c r="AA13" s="107">
        <v>1</v>
      </c>
      <c r="AB13" s="107">
        <v>1</v>
      </c>
      <c r="AC13" s="166">
        <v>1</v>
      </c>
      <c r="AD13" s="166">
        <v>1</v>
      </c>
      <c r="AE13" s="166">
        <v>1</v>
      </c>
      <c r="AF13" s="166">
        <v>1</v>
      </c>
      <c r="AG13" s="166">
        <v>0.87500918644815162</v>
      </c>
      <c r="AH13" s="166">
        <v>0.87500918644815162</v>
      </c>
      <c r="AI13" s="166">
        <v>0.87500918644815195</v>
      </c>
      <c r="AJ13" s="166">
        <v>0.62513779672227532</v>
      </c>
      <c r="AK13" s="166">
        <v>0.5</v>
      </c>
      <c r="AL13" s="107">
        <v>0.49199999999999999</v>
      </c>
      <c r="AM13" s="107">
        <v>0.35925146757553761</v>
      </c>
      <c r="AN13" s="107">
        <v>0.375</v>
      </c>
      <c r="AO13" s="107">
        <v>0.375</v>
      </c>
      <c r="AP13" s="107">
        <v>0.375</v>
      </c>
      <c r="AQ13" s="107">
        <v>0.375</v>
      </c>
      <c r="AR13" s="107">
        <v>0.37509301535097794</v>
      </c>
      <c r="AS13" s="107">
        <v>0.37509301535097794</v>
      </c>
      <c r="AT13" s="107">
        <v>0.37509301535097794</v>
      </c>
      <c r="AU13" s="107">
        <v>0.37509301535097794</v>
      </c>
      <c r="AV13" s="107">
        <v>0.37509301535097794</v>
      </c>
      <c r="AW13" s="107">
        <v>0.37509301535097794</v>
      </c>
      <c r="AX13" s="107">
        <v>0.43758037846775677</v>
      </c>
      <c r="AY13" s="107">
        <v>0.43758037846775677</v>
      </c>
      <c r="AZ13" s="107">
        <v>0.43758037846775677</v>
      </c>
      <c r="BA13" s="107">
        <v>0.43758037846775677</v>
      </c>
      <c r="BB13" s="107">
        <v>0.43758037846775677</v>
      </c>
      <c r="BC13" s="107">
        <v>0.50000918611060086</v>
      </c>
      <c r="BD13" s="107">
        <v>0.50000918611060086</v>
      </c>
      <c r="BE13" s="107">
        <v>0.37501377916590117</v>
      </c>
      <c r="BF13" s="107">
        <v>0.43749770347234984</v>
      </c>
      <c r="BG13" s="107">
        <v>0.43749770347234984</v>
      </c>
      <c r="BH13" s="107">
        <v>0.56249986221336046</v>
      </c>
      <c r="BI13" s="107">
        <v>0.56249986221336046</v>
      </c>
      <c r="BJ13" s="107">
        <v>0.56251377967222749</v>
      </c>
      <c r="BK13" s="107">
        <v>0.68748622032777229</v>
      </c>
      <c r="BL13" s="107">
        <v>0.62499999999999989</v>
      </c>
      <c r="BM13" s="107">
        <v>0.62501033446935939</v>
      </c>
      <c r="BN13" s="107">
        <v>0.62501033446935939</v>
      </c>
      <c r="BO13" s="107">
        <v>0.62501033446935939</v>
      </c>
      <c r="BP13" s="107">
        <v>0.62501033446935939</v>
      </c>
      <c r="BQ13" s="107">
        <v>0.74999999999999978</v>
      </c>
      <c r="BR13" s="107">
        <v>0.74999999999999978</v>
      </c>
      <c r="BS13" s="107">
        <v>0.74999999999999978</v>
      </c>
      <c r="BT13" s="107">
        <v>0.62499999999999989</v>
      </c>
    </row>
    <row r="14" spans="1:72" hidden="1" outlineLevel="1" x14ac:dyDescent="0.3">
      <c r="B14" s="141" t="s">
        <v>224</v>
      </c>
      <c r="C14" s="166" t="s">
        <v>73</v>
      </c>
      <c r="D14" s="166" t="s">
        <v>73</v>
      </c>
      <c r="E14" s="166" t="s">
        <v>73</v>
      </c>
      <c r="F14" s="166" t="s">
        <v>73</v>
      </c>
      <c r="G14" s="166" t="s">
        <v>73</v>
      </c>
      <c r="H14" s="166" t="s">
        <v>73</v>
      </c>
      <c r="I14" s="166" t="s">
        <v>73</v>
      </c>
      <c r="J14" s="166" t="s">
        <v>73</v>
      </c>
      <c r="K14" s="166" t="s">
        <v>73</v>
      </c>
      <c r="L14" s="166" t="s">
        <v>73</v>
      </c>
      <c r="M14" s="166" t="s">
        <v>73</v>
      </c>
      <c r="N14" s="166" t="s">
        <v>73</v>
      </c>
      <c r="O14" s="166" t="s">
        <v>73</v>
      </c>
      <c r="P14" s="166" t="s">
        <v>73</v>
      </c>
      <c r="Q14" s="166" t="s">
        <v>73</v>
      </c>
      <c r="R14" s="166" t="s">
        <v>73</v>
      </c>
      <c r="S14" s="166" t="s">
        <v>73</v>
      </c>
      <c r="T14" s="166" t="s">
        <v>73</v>
      </c>
      <c r="U14" s="166" t="s">
        <v>73</v>
      </c>
      <c r="V14" s="166" t="s">
        <v>73</v>
      </c>
      <c r="W14" s="166" t="s">
        <v>73</v>
      </c>
      <c r="X14" s="166" t="s">
        <v>73</v>
      </c>
      <c r="Y14" s="166" t="s">
        <v>73</v>
      </c>
      <c r="Z14" s="107" t="s">
        <v>73</v>
      </c>
      <c r="AA14" s="107" t="s">
        <v>73</v>
      </c>
      <c r="AB14" s="107" t="s">
        <v>73</v>
      </c>
      <c r="AC14" s="166" t="s">
        <v>73</v>
      </c>
      <c r="AD14" s="166" t="s">
        <v>73</v>
      </c>
      <c r="AE14" s="166" t="s">
        <v>73</v>
      </c>
      <c r="AF14" s="166" t="s">
        <v>73</v>
      </c>
      <c r="AG14" s="166" t="s">
        <v>73</v>
      </c>
      <c r="AH14" s="166" t="s">
        <v>73</v>
      </c>
      <c r="AI14" s="166" t="s">
        <v>73</v>
      </c>
      <c r="AJ14" s="166" t="s">
        <v>73</v>
      </c>
      <c r="AK14" s="166" t="s">
        <v>73</v>
      </c>
      <c r="AL14" s="107" t="s">
        <v>73</v>
      </c>
      <c r="AM14" s="107" t="s">
        <v>73</v>
      </c>
      <c r="AN14" s="107">
        <v>0.42307692307692307</v>
      </c>
      <c r="AO14" s="107">
        <v>0.42307692307692307</v>
      </c>
      <c r="AP14" s="107">
        <v>0.42307692307692307</v>
      </c>
      <c r="AQ14" s="107">
        <v>0.32324501048237392</v>
      </c>
      <c r="AR14" s="107">
        <v>0.32324501048237392</v>
      </c>
      <c r="AS14" s="107">
        <v>0.32324501048237392</v>
      </c>
      <c r="AT14" s="107">
        <v>0.13853357592101739</v>
      </c>
      <c r="AU14" s="107">
        <v>0.13853357592101739</v>
      </c>
      <c r="AV14" s="107">
        <v>4.6177858640339131E-2</v>
      </c>
      <c r="AW14" s="107">
        <v>4.6177858640339131E-2</v>
      </c>
      <c r="AX14" s="107">
        <v>0</v>
      </c>
      <c r="AY14" s="107">
        <v>0</v>
      </c>
      <c r="AZ14" s="107">
        <v>0</v>
      </c>
      <c r="BA14" s="107">
        <v>0</v>
      </c>
      <c r="BB14" s="107">
        <v>0</v>
      </c>
      <c r="BC14" s="107">
        <v>0</v>
      </c>
      <c r="BD14" s="107">
        <v>0</v>
      </c>
      <c r="BE14" s="107">
        <v>0</v>
      </c>
      <c r="BF14" s="107" t="s">
        <v>73</v>
      </c>
      <c r="BG14" s="107" t="s">
        <v>73</v>
      </c>
      <c r="BH14" s="107" t="s">
        <v>73</v>
      </c>
      <c r="BI14" s="107" t="s">
        <v>73</v>
      </c>
      <c r="BJ14" s="107" t="s">
        <v>73</v>
      </c>
      <c r="BK14" s="107" t="s">
        <v>73</v>
      </c>
      <c r="BL14" s="107" t="s">
        <v>73</v>
      </c>
      <c r="BM14" s="107" t="s">
        <v>73</v>
      </c>
      <c r="BN14" s="107" t="s">
        <v>73</v>
      </c>
      <c r="BO14" s="107" t="s">
        <v>73</v>
      </c>
      <c r="BP14" s="107" t="s">
        <v>73</v>
      </c>
      <c r="BQ14" s="107" t="s">
        <v>73</v>
      </c>
      <c r="BR14" s="107" t="s">
        <v>73</v>
      </c>
      <c r="BS14" s="107" t="s">
        <v>73</v>
      </c>
      <c r="BT14" s="107" t="s">
        <v>73</v>
      </c>
    </row>
    <row r="15" spans="1:72" hidden="1" outlineLevel="1" x14ac:dyDescent="0.3">
      <c r="B15" s="141" t="s">
        <v>225</v>
      </c>
      <c r="C15" s="166" t="s">
        <v>73</v>
      </c>
      <c r="D15" s="166" t="s">
        <v>73</v>
      </c>
      <c r="E15" s="166" t="s">
        <v>73</v>
      </c>
      <c r="F15" s="166" t="s">
        <v>73</v>
      </c>
      <c r="G15" s="166" t="s">
        <v>73</v>
      </c>
      <c r="H15" s="166" t="s">
        <v>73</v>
      </c>
      <c r="I15" s="166" t="s">
        <v>73</v>
      </c>
      <c r="J15" s="166" t="s">
        <v>73</v>
      </c>
      <c r="K15" s="166" t="s">
        <v>73</v>
      </c>
      <c r="L15" s="166" t="s">
        <v>73</v>
      </c>
      <c r="M15" s="166" t="s">
        <v>73</v>
      </c>
      <c r="N15" s="166" t="s">
        <v>73</v>
      </c>
      <c r="O15" s="166" t="s">
        <v>73</v>
      </c>
      <c r="P15" s="166" t="s">
        <v>73</v>
      </c>
      <c r="Q15" s="166" t="s">
        <v>73</v>
      </c>
      <c r="R15" s="166" t="s">
        <v>73</v>
      </c>
      <c r="S15" s="166" t="s">
        <v>73</v>
      </c>
      <c r="T15" s="166" t="s">
        <v>73</v>
      </c>
      <c r="U15" s="166" t="s">
        <v>73</v>
      </c>
      <c r="V15" s="166" t="s">
        <v>73</v>
      </c>
      <c r="W15" s="166" t="s">
        <v>73</v>
      </c>
      <c r="X15" s="166" t="s">
        <v>73</v>
      </c>
      <c r="Y15" s="166" t="s">
        <v>73</v>
      </c>
      <c r="Z15" s="107" t="s">
        <v>73</v>
      </c>
      <c r="AA15" s="107" t="s">
        <v>73</v>
      </c>
      <c r="AB15" s="107" t="s">
        <v>73</v>
      </c>
      <c r="AC15" s="166">
        <v>0.70052428109940157</v>
      </c>
      <c r="AD15" s="166">
        <v>0.70052428109940157</v>
      </c>
      <c r="AE15" s="166">
        <v>0.70052428109940157</v>
      </c>
      <c r="AF15" s="166">
        <v>0.497</v>
      </c>
      <c r="AG15" s="166">
        <v>0.24749681275345115</v>
      </c>
      <c r="AH15" s="166">
        <v>0.1323142739090841</v>
      </c>
      <c r="AI15" s="166" t="s">
        <v>73</v>
      </c>
      <c r="AJ15" s="166" t="s">
        <v>73</v>
      </c>
      <c r="AK15" s="166" t="s">
        <v>73</v>
      </c>
      <c r="AL15" s="107" t="s">
        <v>73</v>
      </c>
      <c r="AM15" s="107" t="s">
        <v>73</v>
      </c>
      <c r="AN15" s="107" t="s">
        <v>73</v>
      </c>
      <c r="AO15" s="107" t="s">
        <v>73</v>
      </c>
      <c r="AP15" s="107" t="s">
        <v>73</v>
      </c>
      <c r="AQ15" s="107" t="s">
        <v>73</v>
      </c>
      <c r="AR15" s="107" t="s">
        <v>73</v>
      </c>
      <c r="AS15" s="107" t="s">
        <v>73</v>
      </c>
      <c r="AT15" s="107" t="s">
        <v>73</v>
      </c>
      <c r="AU15" s="107" t="s">
        <v>73</v>
      </c>
      <c r="AV15" s="107" t="s">
        <v>73</v>
      </c>
      <c r="AW15" s="107" t="s">
        <v>73</v>
      </c>
      <c r="AX15" s="107" t="s">
        <v>73</v>
      </c>
      <c r="AY15" s="107" t="s">
        <v>73</v>
      </c>
      <c r="AZ15" s="107" t="s">
        <v>73</v>
      </c>
      <c r="BA15" s="107" t="s">
        <v>73</v>
      </c>
      <c r="BB15" s="107" t="s">
        <v>73</v>
      </c>
      <c r="BC15" s="107" t="s">
        <v>73</v>
      </c>
      <c r="BD15" s="107" t="s">
        <v>73</v>
      </c>
      <c r="BE15" s="107" t="s">
        <v>73</v>
      </c>
      <c r="BF15" s="107" t="s">
        <v>73</v>
      </c>
      <c r="BG15" s="107" t="s">
        <v>73</v>
      </c>
      <c r="BH15" s="107" t="s">
        <v>73</v>
      </c>
      <c r="BI15" s="107" t="s">
        <v>73</v>
      </c>
      <c r="BJ15" s="107" t="s">
        <v>73</v>
      </c>
      <c r="BK15" s="107" t="s">
        <v>73</v>
      </c>
      <c r="BL15" s="107" t="s">
        <v>73</v>
      </c>
      <c r="BM15" s="107" t="s">
        <v>73</v>
      </c>
      <c r="BN15" s="107" t="s">
        <v>73</v>
      </c>
      <c r="BO15" s="107" t="s">
        <v>73</v>
      </c>
      <c r="BP15" s="107" t="s">
        <v>73</v>
      </c>
      <c r="BQ15" s="107" t="s">
        <v>73</v>
      </c>
      <c r="BR15" s="107" t="s">
        <v>73</v>
      </c>
      <c r="BS15" s="107" t="s">
        <v>73</v>
      </c>
      <c r="BT15" s="107" t="s">
        <v>73</v>
      </c>
    </row>
    <row r="16" spans="1:72" hidden="1" outlineLevel="1" x14ac:dyDescent="0.3">
      <c r="B16" s="141" t="s">
        <v>226</v>
      </c>
      <c r="C16" s="166" t="s">
        <v>73</v>
      </c>
      <c r="D16" s="166" t="s">
        <v>73</v>
      </c>
      <c r="E16" s="166" t="s">
        <v>73</v>
      </c>
      <c r="F16" s="166" t="s">
        <v>73</v>
      </c>
      <c r="G16" s="166">
        <v>1</v>
      </c>
      <c r="H16" s="166">
        <v>0.86</v>
      </c>
      <c r="I16" s="166">
        <v>0.42</v>
      </c>
      <c r="J16" s="166">
        <v>0</v>
      </c>
      <c r="K16" s="166">
        <v>0</v>
      </c>
      <c r="L16" s="166">
        <v>0</v>
      </c>
      <c r="M16" s="166">
        <v>0</v>
      </c>
      <c r="N16" s="166">
        <v>0</v>
      </c>
      <c r="O16" s="166">
        <v>0</v>
      </c>
      <c r="P16" s="166" t="s">
        <v>73</v>
      </c>
      <c r="Q16" s="166" t="s">
        <v>73</v>
      </c>
      <c r="R16" s="166" t="s">
        <v>73</v>
      </c>
      <c r="S16" s="166" t="s">
        <v>73</v>
      </c>
      <c r="T16" s="166" t="s">
        <v>73</v>
      </c>
      <c r="U16" s="166" t="s">
        <v>73</v>
      </c>
      <c r="V16" s="166" t="s">
        <v>73</v>
      </c>
      <c r="W16" s="166" t="s">
        <v>73</v>
      </c>
      <c r="X16" s="166" t="s">
        <v>73</v>
      </c>
      <c r="Y16" s="166" t="s">
        <v>73</v>
      </c>
      <c r="Z16" s="107" t="s">
        <v>73</v>
      </c>
      <c r="AA16" s="107" t="s">
        <v>73</v>
      </c>
      <c r="AB16" s="107" t="s">
        <v>73</v>
      </c>
      <c r="AC16" s="166" t="s">
        <v>73</v>
      </c>
      <c r="AD16" s="166" t="s">
        <v>73</v>
      </c>
      <c r="AE16" s="166" t="s">
        <v>73</v>
      </c>
      <c r="AF16" s="166" t="s">
        <v>73</v>
      </c>
      <c r="AG16" s="166" t="s">
        <v>73</v>
      </c>
      <c r="AH16" s="166" t="s">
        <v>73</v>
      </c>
      <c r="AI16" s="166" t="s">
        <v>73</v>
      </c>
      <c r="AJ16" s="166" t="s">
        <v>73</v>
      </c>
      <c r="AK16" s="166" t="s">
        <v>73</v>
      </c>
      <c r="AL16" s="107" t="s">
        <v>73</v>
      </c>
      <c r="AM16" s="107" t="s">
        <v>73</v>
      </c>
      <c r="AN16" s="107" t="s">
        <v>73</v>
      </c>
      <c r="AO16" s="107" t="s">
        <v>73</v>
      </c>
      <c r="AP16" s="107" t="s">
        <v>73</v>
      </c>
      <c r="AQ16" s="107" t="s">
        <v>73</v>
      </c>
      <c r="AR16" s="107" t="s">
        <v>73</v>
      </c>
      <c r="AS16" s="107" t="s">
        <v>73</v>
      </c>
      <c r="AT16" s="107" t="s">
        <v>73</v>
      </c>
      <c r="AU16" s="107" t="s">
        <v>73</v>
      </c>
      <c r="AV16" s="107" t="s">
        <v>73</v>
      </c>
      <c r="AW16" s="107" t="s">
        <v>73</v>
      </c>
      <c r="AX16" s="107" t="s">
        <v>73</v>
      </c>
      <c r="AY16" s="107" t="s">
        <v>73</v>
      </c>
      <c r="AZ16" s="107" t="s">
        <v>73</v>
      </c>
      <c r="BA16" s="107" t="s">
        <v>73</v>
      </c>
      <c r="BB16" s="107" t="s">
        <v>73</v>
      </c>
      <c r="BC16" s="107" t="s">
        <v>73</v>
      </c>
      <c r="BD16" s="107" t="s">
        <v>73</v>
      </c>
      <c r="BE16" s="107" t="s">
        <v>73</v>
      </c>
      <c r="BF16" s="107" t="s">
        <v>73</v>
      </c>
      <c r="BG16" s="107" t="s">
        <v>73</v>
      </c>
      <c r="BH16" s="107" t="s">
        <v>73</v>
      </c>
      <c r="BI16" s="107" t="s">
        <v>73</v>
      </c>
      <c r="BJ16" s="107" t="s">
        <v>73</v>
      </c>
      <c r="BK16" s="107" t="s">
        <v>73</v>
      </c>
      <c r="BL16" s="107" t="s">
        <v>73</v>
      </c>
      <c r="BM16" s="107" t="s">
        <v>73</v>
      </c>
      <c r="BN16" s="107" t="s">
        <v>73</v>
      </c>
      <c r="BO16" s="107" t="s">
        <v>73</v>
      </c>
      <c r="BP16" s="107" t="s">
        <v>73</v>
      </c>
      <c r="BQ16" s="107" t="s">
        <v>73</v>
      </c>
      <c r="BR16" s="107" t="s">
        <v>73</v>
      </c>
      <c r="BS16" s="107" t="s">
        <v>73</v>
      </c>
      <c r="BT16" s="107" t="s">
        <v>73</v>
      </c>
    </row>
    <row r="17" spans="1:72" hidden="1" outlineLevel="1" x14ac:dyDescent="0.3">
      <c r="A17" t="s">
        <v>228</v>
      </c>
      <c r="B17" s="141" t="s">
        <v>228</v>
      </c>
      <c r="C17" s="166" t="s">
        <v>73</v>
      </c>
      <c r="D17" s="166" t="s">
        <v>73</v>
      </c>
      <c r="E17" s="166" t="s">
        <v>73</v>
      </c>
      <c r="F17" s="166" t="s">
        <v>73</v>
      </c>
      <c r="G17" s="166" t="s">
        <v>73</v>
      </c>
      <c r="H17" s="166" t="s">
        <v>73</v>
      </c>
      <c r="I17" s="166" t="s">
        <v>73</v>
      </c>
      <c r="J17" s="166" t="s">
        <v>73</v>
      </c>
      <c r="K17" s="166" t="s">
        <v>73</v>
      </c>
      <c r="L17" s="166" t="s">
        <v>73</v>
      </c>
      <c r="M17" s="166" t="s">
        <v>73</v>
      </c>
      <c r="N17" s="166" t="s">
        <v>73</v>
      </c>
      <c r="O17" s="166" t="s">
        <v>73</v>
      </c>
      <c r="P17" s="166" t="s">
        <v>73</v>
      </c>
      <c r="Q17" s="166" t="s">
        <v>73</v>
      </c>
      <c r="R17" s="166" t="s">
        <v>73</v>
      </c>
      <c r="S17" s="166" t="s">
        <v>73</v>
      </c>
      <c r="T17" s="166" t="s">
        <v>73</v>
      </c>
      <c r="U17" s="166" t="s">
        <v>73</v>
      </c>
      <c r="V17" s="166" t="s">
        <v>73</v>
      </c>
      <c r="W17" s="166" t="s">
        <v>73</v>
      </c>
      <c r="X17" s="166" t="s">
        <v>73</v>
      </c>
      <c r="Y17" s="166" t="s">
        <v>73</v>
      </c>
      <c r="Z17" s="166" t="s">
        <v>73</v>
      </c>
      <c r="AA17" s="166" t="s">
        <v>73</v>
      </c>
      <c r="AB17" s="166" t="s">
        <v>73</v>
      </c>
      <c r="AC17" s="166" t="s">
        <v>73</v>
      </c>
      <c r="AD17" s="166" t="s">
        <v>73</v>
      </c>
      <c r="AE17" s="166" t="s">
        <v>73</v>
      </c>
      <c r="AF17" s="166" t="s">
        <v>73</v>
      </c>
      <c r="AG17" s="166" t="s">
        <v>73</v>
      </c>
      <c r="AH17" s="166" t="s">
        <v>73</v>
      </c>
      <c r="AI17" s="166" t="s">
        <v>73</v>
      </c>
      <c r="AJ17" s="166" t="s">
        <v>73</v>
      </c>
      <c r="AK17" s="166" t="s">
        <v>73</v>
      </c>
      <c r="AL17" s="107" t="s">
        <v>73</v>
      </c>
      <c r="AM17" s="107" t="s">
        <v>73</v>
      </c>
      <c r="AN17" s="107" t="s">
        <v>73</v>
      </c>
      <c r="AO17" s="107" t="s">
        <v>73</v>
      </c>
      <c r="AP17" s="107" t="s">
        <v>73</v>
      </c>
      <c r="AQ17" s="107" t="s">
        <v>73</v>
      </c>
      <c r="AR17" s="107" t="s">
        <v>73</v>
      </c>
      <c r="AS17" s="107" t="s">
        <v>73</v>
      </c>
      <c r="AT17" s="107" t="s">
        <v>73</v>
      </c>
      <c r="AU17" s="107" t="s">
        <v>73</v>
      </c>
      <c r="AV17" s="107" t="s">
        <v>73</v>
      </c>
      <c r="AW17" s="107" t="s">
        <v>73</v>
      </c>
      <c r="AX17" s="107">
        <v>0</v>
      </c>
      <c r="AY17" s="107">
        <v>0</v>
      </c>
      <c r="AZ17" s="107">
        <v>5.5555131264916471E-2</v>
      </c>
      <c r="BA17" s="107">
        <v>5.5555131264916471E-2</v>
      </c>
      <c r="BB17" s="107">
        <v>0</v>
      </c>
      <c r="BC17" s="107">
        <v>0</v>
      </c>
      <c r="BD17" s="107">
        <v>5.5555131264916471E-2</v>
      </c>
      <c r="BE17" s="107">
        <v>0</v>
      </c>
      <c r="BF17" s="107">
        <v>5.5555555555555539E-2</v>
      </c>
      <c r="BG17" s="107">
        <v>0.1317395347911931</v>
      </c>
      <c r="BH17" s="107">
        <v>0.13068376552755223</v>
      </c>
      <c r="BI17" s="107">
        <v>0.13068376552755223</v>
      </c>
      <c r="BJ17" s="107">
        <v>8.3502842279592746E-2</v>
      </c>
      <c r="BK17" s="107">
        <v>8.3502842279592746E-2</v>
      </c>
      <c r="BL17" s="107">
        <v>8.3502842279592746E-2</v>
      </c>
      <c r="BM17" s="107">
        <v>8.350284987638816E-2</v>
      </c>
      <c r="BN17" s="107">
        <v>8.350284987638816E-2</v>
      </c>
      <c r="BO17" s="107">
        <v>8.350284987638816E-2</v>
      </c>
      <c r="BP17" s="107">
        <v>0.13173954198815718</v>
      </c>
      <c r="BQ17" s="107">
        <v>0.13173954198815718</v>
      </c>
      <c r="BR17" s="107">
        <v>4.7555237191408778E-2</v>
      </c>
      <c r="BS17" s="107">
        <v>4.7555237191408778E-2</v>
      </c>
      <c r="BT17" s="107">
        <v>0.144710084624253</v>
      </c>
    </row>
    <row r="18" spans="1:72" hidden="1" outlineLevel="1" x14ac:dyDescent="0.3">
      <c r="A18" t="s">
        <v>230</v>
      </c>
      <c r="B18" s="141" t="s">
        <v>230</v>
      </c>
      <c r="C18" s="166" t="s">
        <v>73</v>
      </c>
      <c r="D18" s="166" t="s">
        <v>73</v>
      </c>
      <c r="E18" s="166" t="s">
        <v>73</v>
      </c>
      <c r="F18" s="166" t="s">
        <v>73</v>
      </c>
      <c r="G18" s="166" t="s">
        <v>73</v>
      </c>
      <c r="H18" s="166" t="s">
        <v>73</v>
      </c>
      <c r="I18" s="166" t="s">
        <v>73</v>
      </c>
      <c r="J18" s="166" t="s">
        <v>73</v>
      </c>
      <c r="K18" s="166" t="s">
        <v>73</v>
      </c>
      <c r="L18" s="166" t="s">
        <v>73</v>
      </c>
      <c r="M18" s="166" t="s">
        <v>73</v>
      </c>
      <c r="N18" s="166" t="s">
        <v>73</v>
      </c>
      <c r="O18" s="166" t="s">
        <v>73</v>
      </c>
      <c r="P18" s="166" t="s">
        <v>73</v>
      </c>
      <c r="Q18" s="166" t="s">
        <v>73</v>
      </c>
      <c r="R18" s="166" t="s">
        <v>73</v>
      </c>
      <c r="S18" s="166" t="s">
        <v>73</v>
      </c>
      <c r="T18" s="166" t="s">
        <v>73</v>
      </c>
      <c r="U18" s="166" t="s">
        <v>73</v>
      </c>
      <c r="V18" s="166" t="s">
        <v>73</v>
      </c>
      <c r="W18" s="166" t="s">
        <v>73</v>
      </c>
      <c r="X18" s="166" t="s">
        <v>73</v>
      </c>
      <c r="Y18" s="166" t="s">
        <v>73</v>
      </c>
      <c r="Z18" s="166" t="s">
        <v>73</v>
      </c>
      <c r="AA18" s="166" t="s">
        <v>73</v>
      </c>
      <c r="AB18" s="166" t="s">
        <v>73</v>
      </c>
      <c r="AC18" s="166" t="s">
        <v>73</v>
      </c>
      <c r="AD18" s="166" t="s">
        <v>73</v>
      </c>
      <c r="AE18" s="166" t="s">
        <v>73</v>
      </c>
      <c r="AF18" s="166" t="s">
        <v>73</v>
      </c>
      <c r="AG18" s="166" t="s">
        <v>73</v>
      </c>
      <c r="AH18" s="166" t="s">
        <v>73</v>
      </c>
      <c r="AI18" s="166" t="s">
        <v>73</v>
      </c>
      <c r="AJ18" s="166" t="s">
        <v>73</v>
      </c>
      <c r="AK18" s="166" t="s">
        <v>73</v>
      </c>
      <c r="AL18" s="107" t="s">
        <v>73</v>
      </c>
      <c r="AM18" s="107" t="s">
        <v>73</v>
      </c>
      <c r="AN18" s="107" t="s">
        <v>73</v>
      </c>
      <c r="AO18" s="107" t="s">
        <v>73</v>
      </c>
      <c r="AP18" s="107" t="s">
        <v>73</v>
      </c>
      <c r="AQ18" s="107" t="s">
        <v>73</v>
      </c>
      <c r="AR18" s="107" t="s">
        <v>73</v>
      </c>
      <c r="AS18" s="107" t="s">
        <v>73</v>
      </c>
      <c r="AT18" s="107" t="s">
        <v>73</v>
      </c>
      <c r="AU18" s="107" t="s">
        <v>73</v>
      </c>
      <c r="AV18" s="107" t="s">
        <v>73</v>
      </c>
      <c r="AW18" s="107" t="s">
        <v>73</v>
      </c>
      <c r="AX18" s="107">
        <v>0</v>
      </c>
      <c r="AY18" s="107">
        <v>0</v>
      </c>
      <c r="AZ18" s="107">
        <v>0</v>
      </c>
      <c r="BA18" s="107">
        <v>0</v>
      </c>
      <c r="BB18" s="107">
        <v>0</v>
      </c>
      <c r="BC18" s="107">
        <v>2.6786461383984602E-2</v>
      </c>
      <c r="BD18" s="107">
        <v>4.810223342537584E-2</v>
      </c>
      <c r="BE18" s="107">
        <v>0.10073421067884956</v>
      </c>
      <c r="BF18" s="107">
        <v>0.10073421067884956</v>
      </c>
      <c r="BG18" s="107">
        <v>0.10073421067884959</v>
      </c>
      <c r="BH18" s="107">
        <v>0</v>
      </c>
      <c r="BI18" s="107">
        <v>0</v>
      </c>
      <c r="BJ18" s="107">
        <v>0</v>
      </c>
      <c r="BK18" s="107">
        <v>0</v>
      </c>
      <c r="BL18" s="107">
        <v>0</v>
      </c>
      <c r="BM18" s="107">
        <v>5.2631578947368397E-2</v>
      </c>
      <c r="BN18" s="107">
        <v>5.2631578947368397E-2</v>
      </c>
      <c r="BO18" s="107">
        <v>0</v>
      </c>
      <c r="BP18" s="107">
        <v>0</v>
      </c>
      <c r="BQ18" s="107">
        <v>0</v>
      </c>
      <c r="BR18" s="107">
        <v>0</v>
      </c>
      <c r="BS18" s="107">
        <v>0</v>
      </c>
      <c r="BT18" s="107">
        <v>0</v>
      </c>
    </row>
    <row r="19" spans="1:72" collapsed="1" x14ac:dyDescent="0.3">
      <c r="B19" s="133" t="str">
        <f>IF('Sumário | Summary'!P1=1,"Escritórios Classe A","Class A Offices")</f>
        <v>Escritórios Classe A</v>
      </c>
      <c r="C19" s="22">
        <v>9.9000000000000005E-2</v>
      </c>
      <c r="D19" s="22">
        <v>1.89E-2</v>
      </c>
      <c r="E19" s="22">
        <v>0</v>
      </c>
      <c r="F19" s="22">
        <v>0</v>
      </c>
      <c r="G19" s="22">
        <v>0</v>
      </c>
      <c r="H19" s="22">
        <v>0</v>
      </c>
      <c r="I19" s="22">
        <v>2.1000000000000001E-2</v>
      </c>
      <c r="J19" s="22">
        <v>0</v>
      </c>
      <c r="K19" s="22">
        <v>0</v>
      </c>
      <c r="L19" s="22">
        <v>0.121</v>
      </c>
      <c r="M19" s="22">
        <v>1.9E-2</v>
      </c>
      <c r="N19" s="22">
        <v>2.9000000000000001E-2</v>
      </c>
      <c r="O19" s="22">
        <v>5.0000000000000001E-3</v>
      </c>
      <c r="P19" s="22">
        <v>0</v>
      </c>
      <c r="Q19" s="22">
        <v>0</v>
      </c>
      <c r="R19" s="22">
        <v>3.7999999999999999E-2</v>
      </c>
      <c r="S19" s="22">
        <v>3.7999999999999999E-2</v>
      </c>
      <c r="T19" s="22">
        <v>0</v>
      </c>
      <c r="U19" s="22">
        <v>0</v>
      </c>
      <c r="V19" s="22">
        <v>0</v>
      </c>
      <c r="W19" s="22">
        <v>0</v>
      </c>
      <c r="X19" s="22">
        <v>0</v>
      </c>
      <c r="Y19" s="22">
        <v>0</v>
      </c>
      <c r="Z19" s="23">
        <v>1.0999999999999999E-2</v>
      </c>
      <c r="AA19" s="23">
        <v>2.1000000000000001E-2</v>
      </c>
      <c r="AB19" s="23">
        <v>2.1000000000000001E-2</v>
      </c>
      <c r="AC19" s="22">
        <v>2.1000000000000001E-2</v>
      </c>
      <c r="AD19" s="22">
        <v>5.8000000000000003E-2</v>
      </c>
      <c r="AE19" s="22">
        <v>4.2999999999999997E-2</v>
      </c>
      <c r="AF19" s="22">
        <v>7.0000000000000007E-2</v>
      </c>
      <c r="AG19" s="22">
        <v>5.8000000000000003E-2</v>
      </c>
      <c r="AH19" s="22">
        <v>6.4000000000000001E-2</v>
      </c>
      <c r="AI19" s="22">
        <v>6.4000000000000001E-2</v>
      </c>
      <c r="AJ19" s="22">
        <v>8.5000000000000006E-2</v>
      </c>
      <c r="AK19" s="22">
        <v>8.5000000000000006E-2</v>
      </c>
      <c r="AL19" s="23">
        <v>9.06E-2</v>
      </c>
      <c r="AM19" s="23">
        <v>4.9220845161454418E-2</v>
      </c>
      <c r="AN19" s="23">
        <v>0.11507961471808781</v>
      </c>
      <c r="AO19" s="23">
        <v>0.13028865884485796</v>
      </c>
      <c r="AP19" s="23">
        <v>0.11095624418262873</v>
      </c>
      <c r="AQ19" s="23">
        <v>0.17640808014854104</v>
      </c>
      <c r="AR19" s="23">
        <v>0.17646941225230761</v>
      </c>
      <c r="AS19" s="23">
        <v>0.15155086879345137</v>
      </c>
      <c r="AT19" s="23">
        <v>0.15172750525229795</v>
      </c>
      <c r="AU19" s="23">
        <v>0.15950274460057989</v>
      </c>
      <c r="AV19" s="23">
        <v>0.45076911736944214</v>
      </c>
      <c r="AW19" s="23">
        <v>0.28931268241539887</v>
      </c>
      <c r="AX19" s="23">
        <v>0.30026061308335411</v>
      </c>
      <c r="AY19" s="23">
        <v>0.30026061308335411</v>
      </c>
      <c r="AZ19" s="23">
        <v>0.32299475383624726</v>
      </c>
      <c r="BA19" s="23">
        <v>0.32299475383624715</v>
      </c>
      <c r="BB19" s="23">
        <v>0.32867828902447044</v>
      </c>
      <c r="BC19" s="23">
        <v>0.32872702909391038</v>
      </c>
      <c r="BD19" s="23">
        <v>0.33441056428213362</v>
      </c>
      <c r="BE19" s="23">
        <v>0.31926897430995937</v>
      </c>
      <c r="BF19" s="23">
        <v>0.13827034852059089</v>
      </c>
      <c r="BG19" s="23">
        <v>0.13827034852059089</v>
      </c>
      <c r="BH19" s="23">
        <v>0.14395367109330129</v>
      </c>
      <c r="BI19" s="23">
        <v>0.13827014429948672</v>
      </c>
      <c r="BJ19" s="23">
        <v>0.13827014429948672</v>
      </c>
      <c r="BK19" s="23">
        <v>0.13827014429948672</v>
      </c>
      <c r="BL19" s="23">
        <v>0.13827014429948684</v>
      </c>
      <c r="BM19" s="23">
        <v>0.13827014429948678</v>
      </c>
      <c r="BN19" s="23">
        <v>0.13527929220898421</v>
      </c>
      <c r="BO19" s="23">
        <v>0.1352792922089843</v>
      </c>
      <c r="BP19" s="23">
        <v>0.13527929220898433</v>
      </c>
      <c r="BQ19" s="23">
        <v>0.13527929220898419</v>
      </c>
      <c r="BR19" s="23">
        <v>0.13527929220898433</v>
      </c>
      <c r="BS19" s="23">
        <v>7.9667247880644859E-2</v>
      </c>
      <c r="BT19" s="23">
        <v>6.8200488302941134E-2</v>
      </c>
    </row>
    <row r="20" spans="1:72" hidden="1" outlineLevel="1" x14ac:dyDescent="0.3">
      <c r="A20" t="s">
        <v>232</v>
      </c>
      <c r="B20" s="141" t="s">
        <v>232</v>
      </c>
      <c r="C20" s="166">
        <v>0.22600000000000001</v>
      </c>
      <c r="D20" s="166">
        <v>0</v>
      </c>
      <c r="E20" s="166">
        <v>0</v>
      </c>
      <c r="F20" s="166">
        <v>0</v>
      </c>
      <c r="G20" s="166">
        <v>0</v>
      </c>
      <c r="H20" s="166">
        <v>0</v>
      </c>
      <c r="I20" s="166">
        <v>0</v>
      </c>
      <c r="J20" s="166">
        <v>0</v>
      </c>
      <c r="K20" s="166">
        <v>0</v>
      </c>
      <c r="L20" s="166">
        <v>0</v>
      </c>
      <c r="M20" s="166">
        <v>0</v>
      </c>
      <c r="N20" s="166">
        <v>0</v>
      </c>
      <c r="O20" s="166">
        <v>0</v>
      </c>
      <c r="P20" s="166">
        <v>0</v>
      </c>
      <c r="Q20" s="166">
        <v>0</v>
      </c>
      <c r="R20" s="166">
        <v>0</v>
      </c>
      <c r="S20" s="166">
        <v>0.114</v>
      </c>
      <c r="T20" s="166">
        <v>0</v>
      </c>
      <c r="U20" s="166">
        <v>0</v>
      </c>
      <c r="V20" s="166">
        <v>0</v>
      </c>
      <c r="W20" s="166">
        <v>0</v>
      </c>
      <c r="X20" s="166">
        <v>0</v>
      </c>
      <c r="Y20" s="166">
        <v>0</v>
      </c>
      <c r="Z20" s="107">
        <v>0</v>
      </c>
      <c r="AA20" s="107">
        <v>0</v>
      </c>
      <c r="AB20" s="107">
        <v>0</v>
      </c>
      <c r="AC20" s="166">
        <v>0</v>
      </c>
      <c r="AD20" s="166">
        <v>0</v>
      </c>
      <c r="AE20" s="166">
        <v>0</v>
      </c>
      <c r="AF20" s="166">
        <v>0</v>
      </c>
      <c r="AG20" s="166">
        <v>0</v>
      </c>
      <c r="AH20" s="166">
        <v>0</v>
      </c>
      <c r="AI20" s="166">
        <v>0</v>
      </c>
      <c r="AJ20" s="166">
        <v>0.1392921645915452</v>
      </c>
      <c r="AK20" s="166">
        <v>0.13900000000000001</v>
      </c>
      <c r="AL20" s="107">
        <v>0.13900000000000001</v>
      </c>
      <c r="AM20" s="107">
        <v>0</v>
      </c>
      <c r="AN20" s="107">
        <v>0</v>
      </c>
      <c r="AO20" s="107">
        <v>0</v>
      </c>
      <c r="AP20" s="107">
        <v>0</v>
      </c>
      <c r="AQ20" s="107">
        <v>0</v>
      </c>
      <c r="AR20" s="107">
        <v>0</v>
      </c>
      <c r="AS20" s="107">
        <v>0</v>
      </c>
      <c r="AT20" s="107">
        <v>0</v>
      </c>
      <c r="AU20" s="107">
        <v>0</v>
      </c>
      <c r="AV20" s="107">
        <v>0</v>
      </c>
      <c r="AW20" s="107">
        <v>0</v>
      </c>
      <c r="AX20" s="107">
        <v>0</v>
      </c>
      <c r="AY20" s="107">
        <v>0</v>
      </c>
      <c r="AZ20" s="107">
        <v>0</v>
      </c>
      <c r="BA20" s="107">
        <v>0</v>
      </c>
      <c r="BB20" s="107">
        <v>0</v>
      </c>
      <c r="BC20" s="107">
        <v>0</v>
      </c>
      <c r="BD20" s="107">
        <v>0</v>
      </c>
      <c r="BE20" s="107">
        <v>0</v>
      </c>
      <c r="BF20" s="107">
        <v>0</v>
      </c>
      <c r="BG20" s="107">
        <v>0</v>
      </c>
      <c r="BH20" s="107">
        <v>0</v>
      </c>
      <c r="BI20" s="107">
        <v>0</v>
      </c>
      <c r="BJ20" s="107">
        <v>0</v>
      </c>
      <c r="BK20" s="107">
        <v>0</v>
      </c>
      <c r="BL20" s="107">
        <v>0</v>
      </c>
      <c r="BM20" s="107">
        <v>0</v>
      </c>
      <c r="BN20" s="107">
        <v>0</v>
      </c>
      <c r="BO20" s="107">
        <v>0</v>
      </c>
      <c r="BP20" s="107">
        <v>0</v>
      </c>
      <c r="BQ20" s="107">
        <v>0</v>
      </c>
      <c r="BR20" s="107">
        <v>0</v>
      </c>
      <c r="BS20" s="107">
        <v>0</v>
      </c>
      <c r="BT20" s="107">
        <v>0</v>
      </c>
    </row>
    <row r="21" spans="1:72" hidden="1" outlineLevel="1" x14ac:dyDescent="0.3">
      <c r="A21" t="s">
        <v>234</v>
      </c>
      <c r="B21" s="141" t="s">
        <v>234</v>
      </c>
      <c r="C21" s="166">
        <v>8.6999999999999994E-2</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07">
        <v>0</v>
      </c>
      <c r="AA21" s="107">
        <v>0</v>
      </c>
      <c r="AB21" s="107">
        <v>0</v>
      </c>
      <c r="AC21" s="166">
        <v>0</v>
      </c>
      <c r="AD21" s="166">
        <v>0</v>
      </c>
      <c r="AE21" s="166">
        <v>0</v>
      </c>
      <c r="AF21" s="166">
        <v>0</v>
      </c>
      <c r="AG21" s="166">
        <v>0</v>
      </c>
      <c r="AH21" s="166">
        <v>0</v>
      </c>
      <c r="AI21" s="166">
        <v>0</v>
      </c>
      <c r="AJ21" s="166">
        <v>0</v>
      </c>
      <c r="AK21" s="166">
        <v>0</v>
      </c>
      <c r="AL21" s="107">
        <v>0</v>
      </c>
      <c r="AM21" s="107">
        <v>0</v>
      </c>
      <c r="AN21" s="107">
        <v>0</v>
      </c>
      <c r="AO21" s="107">
        <v>0</v>
      </c>
      <c r="AP21" s="107">
        <v>0</v>
      </c>
      <c r="AQ21" s="107">
        <v>0</v>
      </c>
      <c r="AR21" s="107">
        <v>0</v>
      </c>
      <c r="AS21" s="107">
        <v>0</v>
      </c>
      <c r="AT21" s="107">
        <v>0</v>
      </c>
      <c r="AU21" s="107">
        <v>0</v>
      </c>
      <c r="AV21" s="107">
        <v>0</v>
      </c>
      <c r="AW21" s="107">
        <v>0</v>
      </c>
      <c r="AX21" s="107">
        <v>0</v>
      </c>
      <c r="AY21" s="107">
        <v>0</v>
      </c>
      <c r="AZ21" s="107">
        <v>0</v>
      </c>
      <c r="BA21" s="107">
        <v>0</v>
      </c>
      <c r="BB21" s="107">
        <v>0</v>
      </c>
      <c r="BC21" s="107">
        <v>0</v>
      </c>
      <c r="BD21" s="107">
        <v>0</v>
      </c>
      <c r="BE21" s="107">
        <v>0</v>
      </c>
      <c r="BF21" s="107">
        <v>0</v>
      </c>
      <c r="BG21" s="107">
        <v>0</v>
      </c>
      <c r="BH21" s="107">
        <v>0</v>
      </c>
      <c r="BI21" s="107">
        <v>0</v>
      </c>
      <c r="BJ21" s="107">
        <v>0</v>
      </c>
      <c r="BK21" s="107">
        <v>0</v>
      </c>
      <c r="BL21" s="107">
        <v>0</v>
      </c>
      <c r="BM21" s="107">
        <v>0</v>
      </c>
      <c r="BN21" s="107">
        <v>0</v>
      </c>
      <c r="BO21" s="107">
        <v>0</v>
      </c>
      <c r="BP21" s="107">
        <v>0</v>
      </c>
      <c r="BQ21" s="107">
        <v>0</v>
      </c>
      <c r="BR21" s="107">
        <v>0</v>
      </c>
      <c r="BS21" s="107">
        <v>0</v>
      </c>
      <c r="BT21" s="107">
        <v>0</v>
      </c>
    </row>
    <row r="22" spans="1:72" hidden="1" outlineLevel="1" x14ac:dyDescent="0.3">
      <c r="B22" s="141" t="s">
        <v>235</v>
      </c>
      <c r="C22" s="166">
        <v>0</v>
      </c>
      <c r="D22" s="166">
        <v>0</v>
      </c>
      <c r="E22" s="166">
        <v>0</v>
      </c>
      <c r="F22" s="166">
        <v>0</v>
      </c>
      <c r="G22" s="166">
        <v>0</v>
      </c>
      <c r="H22" s="166">
        <v>0</v>
      </c>
      <c r="I22" s="166">
        <v>0</v>
      </c>
      <c r="J22" s="166">
        <v>0</v>
      </c>
      <c r="K22" s="166">
        <v>0</v>
      </c>
      <c r="L22" s="166">
        <v>0.23499999999999999</v>
      </c>
      <c r="M22" s="166">
        <v>0</v>
      </c>
      <c r="N22" s="166">
        <v>0</v>
      </c>
      <c r="O22" s="166">
        <v>0</v>
      </c>
      <c r="P22" s="166">
        <v>0</v>
      </c>
      <c r="Q22" s="166">
        <v>0</v>
      </c>
      <c r="R22" s="166">
        <v>0</v>
      </c>
      <c r="S22" s="166">
        <v>0</v>
      </c>
      <c r="T22" s="166">
        <v>0</v>
      </c>
      <c r="U22" s="166">
        <v>0</v>
      </c>
      <c r="V22" s="166">
        <v>0</v>
      </c>
      <c r="W22" s="166">
        <v>0</v>
      </c>
      <c r="X22" s="166">
        <v>0</v>
      </c>
      <c r="Y22" s="166">
        <v>0</v>
      </c>
      <c r="Z22" s="107">
        <v>0</v>
      </c>
      <c r="AA22" s="107">
        <v>0</v>
      </c>
      <c r="AB22" s="107">
        <v>0</v>
      </c>
      <c r="AC22" s="166">
        <v>0</v>
      </c>
      <c r="AD22" s="166">
        <v>0</v>
      </c>
      <c r="AE22" s="166">
        <v>0</v>
      </c>
      <c r="AF22" s="166">
        <v>0</v>
      </c>
      <c r="AG22" s="166">
        <v>0</v>
      </c>
      <c r="AH22" s="166">
        <v>0</v>
      </c>
      <c r="AI22" s="166">
        <v>0</v>
      </c>
      <c r="AJ22" s="166">
        <v>0</v>
      </c>
      <c r="AK22" s="166">
        <v>0</v>
      </c>
      <c r="AL22" s="107">
        <v>0</v>
      </c>
      <c r="AM22" s="107">
        <v>0</v>
      </c>
      <c r="AN22" s="107">
        <v>0</v>
      </c>
      <c r="AO22" s="107">
        <v>0</v>
      </c>
      <c r="AP22" s="107">
        <v>0</v>
      </c>
      <c r="AQ22" s="107">
        <v>0</v>
      </c>
      <c r="AR22" s="107">
        <v>0</v>
      </c>
      <c r="AS22" s="107">
        <v>0</v>
      </c>
      <c r="AT22" s="107">
        <v>0</v>
      </c>
      <c r="AU22" s="107">
        <v>0</v>
      </c>
      <c r="AV22" s="107">
        <v>0</v>
      </c>
      <c r="AW22" s="107">
        <v>0</v>
      </c>
      <c r="AX22" s="107" t="s">
        <v>73</v>
      </c>
      <c r="AY22" s="107" t="s">
        <v>73</v>
      </c>
      <c r="AZ22" s="107" t="s">
        <v>73</v>
      </c>
      <c r="BA22" s="107" t="s">
        <v>73</v>
      </c>
      <c r="BB22" s="107" t="s">
        <v>73</v>
      </c>
      <c r="BC22" s="107" t="s">
        <v>73</v>
      </c>
      <c r="BD22" s="107" t="s">
        <v>73</v>
      </c>
      <c r="BE22" s="107" t="s">
        <v>73</v>
      </c>
      <c r="BF22" s="107" t="s">
        <v>73</v>
      </c>
      <c r="BG22" s="107" t="s">
        <v>73</v>
      </c>
      <c r="BH22" s="107" t="s">
        <v>73</v>
      </c>
      <c r="BI22" s="107" t="s">
        <v>73</v>
      </c>
      <c r="BJ22" s="107" t="s">
        <v>73</v>
      </c>
      <c r="BK22" s="107" t="s">
        <v>73</v>
      </c>
      <c r="BL22" s="107" t="s">
        <v>73</v>
      </c>
      <c r="BM22" s="107" t="s">
        <v>73</v>
      </c>
      <c r="BN22" s="107" t="s">
        <v>73</v>
      </c>
      <c r="BO22" s="107" t="s">
        <v>73</v>
      </c>
      <c r="BP22" s="107" t="s">
        <v>73</v>
      </c>
      <c r="BQ22" s="107" t="s">
        <v>73</v>
      </c>
      <c r="BR22" s="107" t="s">
        <v>73</v>
      </c>
      <c r="BS22" s="107" t="s">
        <v>73</v>
      </c>
      <c r="BT22" s="107" t="s">
        <v>73</v>
      </c>
    </row>
    <row r="23" spans="1:72" hidden="1" outlineLevel="1" x14ac:dyDescent="0.3">
      <c r="A23" t="s">
        <v>327</v>
      </c>
      <c r="B23" s="141" t="s">
        <v>237</v>
      </c>
      <c r="C23" s="166">
        <v>0</v>
      </c>
      <c r="D23" s="166">
        <v>7.2499999999999995E-2</v>
      </c>
      <c r="E23" s="166">
        <v>0</v>
      </c>
      <c r="F23" s="166">
        <v>0</v>
      </c>
      <c r="G23" s="166">
        <v>0</v>
      </c>
      <c r="H23" s="166">
        <v>0</v>
      </c>
      <c r="I23" s="166">
        <v>0</v>
      </c>
      <c r="J23" s="166">
        <v>0</v>
      </c>
      <c r="K23" s="166">
        <v>0</v>
      </c>
      <c r="L23" s="166">
        <v>0</v>
      </c>
      <c r="M23" s="166">
        <v>0.13</v>
      </c>
      <c r="N23" s="166">
        <v>0.13</v>
      </c>
      <c r="O23" s="166">
        <v>3.5999999999999997E-2</v>
      </c>
      <c r="P23" s="166">
        <v>0</v>
      </c>
      <c r="Q23" s="166">
        <v>0</v>
      </c>
      <c r="R23" s="166">
        <v>0</v>
      </c>
      <c r="S23" s="166">
        <v>0</v>
      </c>
      <c r="T23" s="166">
        <v>0</v>
      </c>
      <c r="U23" s="166">
        <v>0</v>
      </c>
      <c r="V23" s="166">
        <v>0</v>
      </c>
      <c r="W23" s="166">
        <v>0</v>
      </c>
      <c r="X23" s="166">
        <v>0</v>
      </c>
      <c r="Y23" s="166">
        <v>0</v>
      </c>
      <c r="Z23" s="107">
        <v>0</v>
      </c>
      <c r="AA23" s="107">
        <v>0</v>
      </c>
      <c r="AB23" s="107">
        <v>0</v>
      </c>
      <c r="AC23" s="166">
        <v>0</v>
      </c>
      <c r="AD23" s="166">
        <v>0.26017468556598128</v>
      </c>
      <c r="AE23" s="166">
        <v>0.154</v>
      </c>
      <c r="AF23" s="166">
        <v>0.14799999999999999</v>
      </c>
      <c r="AG23" s="166">
        <v>0.14754433068549011</v>
      </c>
      <c r="AH23" s="166">
        <v>0.18443041335686261</v>
      </c>
      <c r="AI23" s="166">
        <v>0.18443041335686261</v>
      </c>
      <c r="AJ23" s="166">
        <v>0</v>
      </c>
      <c r="AK23" s="166">
        <v>0</v>
      </c>
      <c r="AL23" s="107">
        <v>3.5999999999999997E-2</v>
      </c>
      <c r="AM23" s="107">
        <v>0.16179596525669199</v>
      </c>
      <c r="AN23" s="107">
        <v>0.41833489843231875</v>
      </c>
      <c r="AO23" s="107">
        <v>0.38198082958433865</v>
      </c>
      <c r="AP23" s="107">
        <v>0.34562676073635856</v>
      </c>
      <c r="AQ23" s="107">
        <v>0.63645931152019919</v>
      </c>
      <c r="AR23" s="107">
        <v>0.63645931152019919</v>
      </c>
      <c r="AS23" s="107">
        <v>0.52739710497625902</v>
      </c>
      <c r="AT23" s="107">
        <v>0.52739710497625902</v>
      </c>
      <c r="AU23" s="107">
        <v>0.52739710497625902</v>
      </c>
      <c r="AV23" s="107">
        <v>0.53846153846153855</v>
      </c>
      <c r="AW23" s="107">
        <v>0.53846153846153855</v>
      </c>
      <c r="AX23" s="107">
        <v>0.50000000000000022</v>
      </c>
      <c r="AY23" s="107">
        <v>0.50000000000000022</v>
      </c>
      <c r="AZ23" s="107">
        <v>0.65384615384615397</v>
      </c>
      <c r="BA23" s="107">
        <v>0.65384615384615397</v>
      </c>
      <c r="BB23" s="107">
        <v>0.69230769230769229</v>
      </c>
      <c r="BC23" s="107">
        <v>0.69230769230769229</v>
      </c>
      <c r="BD23" s="107">
        <v>0.73076923076923106</v>
      </c>
      <c r="BE23" s="107">
        <v>0.73076923076923106</v>
      </c>
      <c r="BF23" s="107">
        <v>0.73076923076923106</v>
      </c>
      <c r="BG23" s="107">
        <v>0.73076923076923106</v>
      </c>
      <c r="BH23" s="107">
        <v>0.76923076923076961</v>
      </c>
      <c r="BI23" s="107">
        <v>0.73076923076923106</v>
      </c>
      <c r="BJ23" s="107">
        <v>0.73076923076923106</v>
      </c>
      <c r="BK23" s="107">
        <v>0.73076923076923106</v>
      </c>
      <c r="BL23" s="107">
        <v>0.73076923076923106</v>
      </c>
      <c r="BM23" s="107">
        <v>0.73076923076923106</v>
      </c>
      <c r="BN23" s="107">
        <v>0.84615384615384648</v>
      </c>
      <c r="BO23" s="107">
        <v>0.84615384615384648</v>
      </c>
      <c r="BP23" s="107">
        <v>0.84615384615384648</v>
      </c>
      <c r="BQ23" s="107">
        <v>0.84615384615384637</v>
      </c>
      <c r="BR23" s="107">
        <v>0.84615384615384637</v>
      </c>
      <c r="BS23" s="107">
        <v>0.8571428571428571</v>
      </c>
      <c r="BT23" s="107">
        <v>1</v>
      </c>
    </row>
    <row r="24" spans="1:72" hidden="1" outlineLevel="1" x14ac:dyDescent="0.3">
      <c r="A24" t="s">
        <v>239</v>
      </c>
      <c r="B24" s="141" t="s">
        <v>239</v>
      </c>
      <c r="C24" s="166">
        <v>0</v>
      </c>
      <c r="D24" s="166">
        <v>0</v>
      </c>
      <c r="E24" s="166">
        <v>0</v>
      </c>
      <c r="F24" s="166">
        <v>0</v>
      </c>
      <c r="G24" s="166">
        <v>0</v>
      </c>
      <c r="H24" s="166">
        <v>0</v>
      </c>
      <c r="I24" s="166">
        <v>0</v>
      </c>
      <c r="J24" s="166">
        <v>0</v>
      </c>
      <c r="K24" s="166">
        <v>0</v>
      </c>
      <c r="L24" s="166">
        <v>1</v>
      </c>
      <c r="M24" s="166">
        <v>0</v>
      </c>
      <c r="N24" s="166">
        <v>0</v>
      </c>
      <c r="O24" s="166">
        <v>0</v>
      </c>
      <c r="P24" s="166">
        <v>0</v>
      </c>
      <c r="Q24" s="166">
        <v>0</v>
      </c>
      <c r="R24" s="166">
        <v>0</v>
      </c>
      <c r="S24" s="166">
        <v>0</v>
      </c>
      <c r="T24" s="166">
        <v>0</v>
      </c>
      <c r="U24" s="166">
        <v>0</v>
      </c>
      <c r="V24" s="166">
        <v>0</v>
      </c>
      <c r="W24" s="166">
        <v>0</v>
      </c>
      <c r="X24" s="166">
        <v>0</v>
      </c>
      <c r="Y24" s="166">
        <v>0</v>
      </c>
      <c r="Z24" s="107">
        <v>0</v>
      </c>
      <c r="AA24" s="107">
        <v>0</v>
      </c>
      <c r="AB24" s="107">
        <v>0</v>
      </c>
      <c r="AC24" s="166">
        <v>0</v>
      </c>
      <c r="AD24" s="166">
        <v>0</v>
      </c>
      <c r="AE24" s="166">
        <v>0</v>
      </c>
      <c r="AF24" s="166">
        <v>0</v>
      </c>
      <c r="AG24" s="166">
        <v>0</v>
      </c>
      <c r="AH24" s="166">
        <v>0</v>
      </c>
      <c r="AI24" s="166">
        <v>0</v>
      </c>
      <c r="AJ24" s="166">
        <v>0</v>
      </c>
      <c r="AK24" s="166">
        <v>0</v>
      </c>
      <c r="AL24" s="107">
        <v>0</v>
      </c>
      <c r="AM24" s="107">
        <v>0</v>
      </c>
      <c r="AN24" s="107">
        <v>0</v>
      </c>
      <c r="AO24" s="107">
        <v>0</v>
      </c>
      <c r="AP24" s="107">
        <v>0</v>
      </c>
      <c r="AQ24" s="107">
        <v>0</v>
      </c>
      <c r="AR24" s="107">
        <v>0</v>
      </c>
      <c r="AS24" s="107">
        <v>0</v>
      </c>
      <c r="AT24" s="107">
        <v>0</v>
      </c>
      <c r="AU24" s="107">
        <v>0</v>
      </c>
      <c r="AV24" s="107">
        <v>0</v>
      </c>
      <c r="AW24" s="107">
        <v>0</v>
      </c>
      <c r="AX24" s="107">
        <v>0</v>
      </c>
      <c r="AY24" s="107">
        <v>0</v>
      </c>
      <c r="AZ24" s="107">
        <v>0</v>
      </c>
      <c r="BA24" s="107">
        <v>0</v>
      </c>
      <c r="BB24" s="107">
        <v>0</v>
      </c>
      <c r="BC24" s="107">
        <v>0</v>
      </c>
      <c r="BD24" s="107">
        <v>0</v>
      </c>
      <c r="BE24" s="107">
        <v>0</v>
      </c>
      <c r="BF24" s="107">
        <v>0</v>
      </c>
      <c r="BG24" s="107">
        <v>0</v>
      </c>
      <c r="BH24" s="107">
        <v>0</v>
      </c>
      <c r="BI24" s="107">
        <v>0</v>
      </c>
      <c r="BJ24" s="107">
        <v>0</v>
      </c>
      <c r="BK24" s="107">
        <v>0</v>
      </c>
      <c r="BL24" s="107">
        <v>0</v>
      </c>
      <c r="BM24" s="107">
        <v>0</v>
      </c>
      <c r="BN24" s="107">
        <v>0</v>
      </c>
      <c r="BO24" s="107">
        <v>0</v>
      </c>
      <c r="BP24" s="107">
        <v>0</v>
      </c>
      <c r="BQ24" s="107">
        <v>0</v>
      </c>
      <c r="BR24" s="107">
        <v>0</v>
      </c>
      <c r="BS24" s="107">
        <v>0</v>
      </c>
      <c r="BT24" s="107">
        <v>0</v>
      </c>
    </row>
    <row r="25" spans="1:72" hidden="1" outlineLevel="1" x14ac:dyDescent="0.3">
      <c r="B25" s="141" t="s">
        <v>241</v>
      </c>
      <c r="C25" s="166" t="s">
        <v>73</v>
      </c>
      <c r="D25" s="166">
        <v>0</v>
      </c>
      <c r="E25" s="166">
        <v>0</v>
      </c>
      <c r="F25" s="166">
        <v>0</v>
      </c>
      <c r="G25" s="166">
        <v>0</v>
      </c>
      <c r="H25" s="166">
        <v>0</v>
      </c>
      <c r="I25" s="166">
        <v>0.2</v>
      </c>
      <c r="J25" s="166">
        <v>0</v>
      </c>
      <c r="K25" s="166">
        <v>0</v>
      </c>
      <c r="L25" s="166">
        <v>0</v>
      </c>
      <c r="M25" s="166">
        <v>0</v>
      </c>
      <c r="N25" s="166">
        <v>0.1</v>
      </c>
      <c r="O25" s="166">
        <v>0</v>
      </c>
      <c r="P25" s="166">
        <v>0</v>
      </c>
      <c r="Q25" s="166">
        <v>0</v>
      </c>
      <c r="R25" s="166">
        <v>0</v>
      </c>
      <c r="S25" s="166">
        <v>0</v>
      </c>
      <c r="T25" s="166">
        <v>0</v>
      </c>
      <c r="U25" s="166">
        <v>0</v>
      </c>
      <c r="V25" s="166">
        <v>0</v>
      </c>
      <c r="W25" s="166">
        <v>0</v>
      </c>
      <c r="X25" s="166">
        <v>0</v>
      </c>
      <c r="Y25" s="166">
        <v>0</v>
      </c>
      <c r="Z25" s="107">
        <v>0.1</v>
      </c>
      <c r="AA25" s="107">
        <v>0.2</v>
      </c>
      <c r="AB25" s="107">
        <v>0.2</v>
      </c>
      <c r="AC25" s="166">
        <v>0.2</v>
      </c>
      <c r="AD25" s="166">
        <v>0.2</v>
      </c>
      <c r="AE25" s="166">
        <v>0.2</v>
      </c>
      <c r="AF25" s="166">
        <v>0.4</v>
      </c>
      <c r="AG25" s="166">
        <v>0.3</v>
      </c>
      <c r="AH25" s="166">
        <v>0.3</v>
      </c>
      <c r="AI25" s="166">
        <v>0.3</v>
      </c>
      <c r="AJ25" s="166">
        <v>0.3</v>
      </c>
      <c r="AK25" s="166">
        <v>0.3</v>
      </c>
      <c r="AL25" s="107">
        <v>0.3</v>
      </c>
      <c r="AM25" s="107">
        <v>0.3</v>
      </c>
      <c r="AN25" s="107">
        <v>0.4</v>
      </c>
      <c r="AO25" s="107">
        <v>0.4</v>
      </c>
      <c r="AP25" s="107">
        <v>0.3</v>
      </c>
      <c r="AQ25" s="107">
        <v>0.3</v>
      </c>
      <c r="AR25" s="107">
        <v>0.3</v>
      </c>
      <c r="AS25" s="107">
        <v>0.3</v>
      </c>
      <c r="AT25" s="107">
        <v>0.3</v>
      </c>
      <c r="AU25" s="107">
        <v>0.4</v>
      </c>
      <c r="AV25" s="107">
        <v>0.5</v>
      </c>
      <c r="AW25" s="107">
        <v>0.5</v>
      </c>
      <c r="AX25" s="107">
        <v>0.5</v>
      </c>
      <c r="AY25" s="107">
        <v>0.5</v>
      </c>
      <c r="AZ25" s="107">
        <v>0.5</v>
      </c>
      <c r="BA25" s="107">
        <v>0.5</v>
      </c>
      <c r="BB25" s="107">
        <v>0.5</v>
      </c>
      <c r="BC25" s="107">
        <v>0.5</v>
      </c>
      <c r="BD25" s="107">
        <v>0.5</v>
      </c>
      <c r="BE25" s="107">
        <v>0.3</v>
      </c>
      <c r="BF25" s="107">
        <v>0.4</v>
      </c>
      <c r="BG25" s="107">
        <v>0.4</v>
      </c>
      <c r="BH25" s="107">
        <v>0.4</v>
      </c>
      <c r="BI25" s="107">
        <v>0.4</v>
      </c>
      <c r="BJ25" s="107">
        <v>0.4</v>
      </c>
      <c r="BK25" s="107">
        <v>0.4</v>
      </c>
      <c r="BL25" s="107">
        <v>0.4</v>
      </c>
      <c r="BM25" s="107">
        <v>0.4</v>
      </c>
      <c r="BN25" s="107">
        <v>0</v>
      </c>
      <c r="BO25" s="107">
        <v>0</v>
      </c>
      <c r="BP25" s="107" t="s">
        <v>73</v>
      </c>
      <c r="BQ25" s="107" t="s">
        <v>73</v>
      </c>
      <c r="BR25" s="107" t="s">
        <v>73</v>
      </c>
      <c r="BS25" s="107" t="s">
        <v>73</v>
      </c>
      <c r="BT25" s="107" t="s">
        <v>73</v>
      </c>
    </row>
    <row r="26" spans="1:72" hidden="1" outlineLevel="1" x14ac:dyDescent="0.3">
      <c r="B26" s="141" t="s">
        <v>243</v>
      </c>
      <c r="C26" s="166">
        <v>0</v>
      </c>
      <c r="D26" s="166">
        <v>0</v>
      </c>
      <c r="E26" s="166">
        <v>0</v>
      </c>
      <c r="F26" s="166">
        <v>0</v>
      </c>
      <c r="G26" s="166">
        <v>0</v>
      </c>
      <c r="H26" s="166">
        <v>0</v>
      </c>
      <c r="I26" s="166">
        <v>0</v>
      </c>
      <c r="J26" s="166">
        <v>0</v>
      </c>
      <c r="K26" s="166">
        <v>0</v>
      </c>
      <c r="L26" s="166">
        <v>1</v>
      </c>
      <c r="M26" s="166">
        <v>0</v>
      </c>
      <c r="N26" s="166">
        <v>0</v>
      </c>
      <c r="O26" s="166">
        <v>0</v>
      </c>
      <c r="P26" s="166">
        <v>0</v>
      </c>
      <c r="Q26" s="166">
        <v>0</v>
      </c>
      <c r="R26" s="166">
        <v>0.114</v>
      </c>
      <c r="S26" s="166">
        <v>0</v>
      </c>
      <c r="T26" s="166">
        <v>0</v>
      </c>
      <c r="U26" s="166">
        <v>0</v>
      </c>
      <c r="V26" s="166">
        <v>0</v>
      </c>
      <c r="W26" s="166">
        <v>0</v>
      </c>
      <c r="X26" s="166">
        <v>0</v>
      </c>
      <c r="Y26" s="166">
        <v>0</v>
      </c>
      <c r="Z26" s="107">
        <v>0</v>
      </c>
      <c r="AA26" s="107">
        <v>0</v>
      </c>
      <c r="AB26" s="107">
        <v>0</v>
      </c>
      <c r="AC26" s="166">
        <v>0</v>
      </c>
      <c r="AD26" s="166">
        <v>0</v>
      </c>
      <c r="AE26" s="166">
        <v>0</v>
      </c>
      <c r="AF26" s="166" t="s">
        <v>73</v>
      </c>
      <c r="AG26" s="166" t="s">
        <v>73</v>
      </c>
      <c r="AH26" s="166" t="s">
        <v>73</v>
      </c>
      <c r="AI26" s="166" t="s">
        <v>73</v>
      </c>
      <c r="AJ26" s="166" t="s">
        <v>73</v>
      </c>
      <c r="AK26" s="166" t="s">
        <v>73</v>
      </c>
      <c r="AL26" s="107" t="s">
        <v>73</v>
      </c>
      <c r="AM26" s="107" t="s">
        <v>73</v>
      </c>
      <c r="AN26" s="107" t="s">
        <v>73</v>
      </c>
      <c r="AO26" s="107" t="s">
        <v>73</v>
      </c>
      <c r="AP26" s="107" t="s">
        <v>73</v>
      </c>
      <c r="AQ26" s="107" t="s">
        <v>73</v>
      </c>
      <c r="AR26" s="107" t="s">
        <v>73</v>
      </c>
      <c r="AS26" s="107" t="s">
        <v>73</v>
      </c>
      <c r="AT26" s="107" t="s">
        <v>73</v>
      </c>
      <c r="AU26" s="107" t="s">
        <v>73</v>
      </c>
      <c r="AV26" s="107" t="s">
        <v>73</v>
      </c>
      <c r="AW26" s="107" t="s">
        <v>73</v>
      </c>
      <c r="AX26" s="107" t="s">
        <v>73</v>
      </c>
      <c r="AY26" s="107" t="s">
        <v>73</v>
      </c>
      <c r="AZ26" s="107" t="s">
        <v>73</v>
      </c>
      <c r="BA26" s="107" t="s">
        <v>73</v>
      </c>
      <c r="BB26" s="107" t="s">
        <v>73</v>
      </c>
      <c r="BC26" s="107" t="s">
        <v>73</v>
      </c>
      <c r="BD26" s="107" t="s">
        <v>73</v>
      </c>
      <c r="BE26" s="107" t="s">
        <v>73</v>
      </c>
      <c r="BF26" s="107" t="s">
        <v>73</v>
      </c>
      <c r="BG26" s="107" t="s">
        <v>73</v>
      </c>
      <c r="BH26" s="107" t="s">
        <v>73</v>
      </c>
      <c r="BI26" s="107" t="s">
        <v>73</v>
      </c>
      <c r="BJ26" s="107" t="s">
        <v>73</v>
      </c>
      <c r="BK26" s="107" t="s">
        <v>73</v>
      </c>
      <c r="BL26" s="107" t="s">
        <v>73</v>
      </c>
      <c r="BM26" s="107" t="s">
        <v>73</v>
      </c>
      <c r="BN26" s="107" t="s">
        <v>73</v>
      </c>
      <c r="BO26" s="107" t="s">
        <v>73</v>
      </c>
      <c r="BP26" s="107" t="s">
        <v>73</v>
      </c>
      <c r="BQ26" s="107" t="s">
        <v>73</v>
      </c>
      <c r="BR26" s="107" t="s">
        <v>73</v>
      </c>
      <c r="BS26" s="107" t="s">
        <v>73</v>
      </c>
      <c r="BT26" s="107" t="s">
        <v>73</v>
      </c>
    </row>
    <row r="27" spans="1:72" hidden="1" outlineLevel="1" x14ac:dyDescent="0.3">
      <c r="A27" t="s">
        <v>245</v>
      </c>
      <c r="B27" s="141" t="s">
        <v>245</v>
      </c>
      <c r="C27" s="166" t="s">
        <v>73</v>
      </c>
      <c r="D27" s="166" t="s">
        <v>73</v>
      </c>
      <c r="E27" s="166" t="s">
        <v>73</v>
      </c>
      <c r="F27" s="166" t="s">
        <v>73</v>
      </c>
      <c r="G27" s="166" t="s">
        <v>73</v>
      </c>
      <c r="H27" s="166" t="s">
        <v>73</v>
      </c>
      <c r="I27" s="166" t="s">
        <v>73</v>
      </c>
      <c r="J27" s="166" t="s">
        <v>73</v>
      </c>
      <c r="K27" s="166" t="s">
        <v>73</v>
      </c>
      <c r="L27" s="166" t="s">
        <v>73</v>
      </c>
      <c r="M27" s="166" t="s">
        <v>73</v>
      </c>
      <c r="N27" s="166" t="s">
        <v>73</v>
      </c>
      <c r="O27" s="166" t="s">
        <v>73</v>
      </c>
      <c r="P27" s="166" t="s">
        <v>73</v>
      </c>
      <c r="Q27" s="166" t="s">
        <v>73</v>
      </c>
      <c r="R27" s="166" t="s">
        <v>73</v>
      </c>
      <c r="S27" s="166" t="s">
        <v>73</v>
      </c>
      <c r="T27" s="166" t="s">
        <v>73</v>
      </c>
      <c r="U27" s="166" t="s">
        <v>73</v>
      </c>
      <c r="V27" s="166" t="s">
        <v>73</v>
      </c>
      <c r="W27" s="166" t="s">
        <v>73</v>
      </c>
      <c r="X27" s="166" t="s">
        <v>73</v>
      </c>
      <c r="Y27" s="166" t="s">
        <v>73</v>
      </c>
      <c r="Z27" s="166" t="s">
        <v>73</v>
      </c>
      <c r="AA27" s="166" t="s">
        <v>73</v>
      </c>
      <c r="AB27" s="166" t="s">
        <v>73</v>
      </c>
      <c r="AC27" s="166" t="s">
        <v>73</v>
      </c>
      <c r="AD27" s="166" t="s">
        <v>73</v>
      </c>
      <c r="AE27" s="166" t="s">
        <v>73</v>
      </c>
      <c r="AF27" s="166" t="s">
        <v>73</v>
      </c>
      <c r="AG27" s="166" t="s">
        <v>73</v>
      </c>
      <c r="AH27" s="166" t="s">
        <v>73</v>
      </c>
      <c r="AI27" s="166" t="s">
        <v>73</v>
      </c>
      <c r="AJ27" s="166" t="s">
        <v>73</v>
      </c>
      <c r="AK27" s="166" t="s">
        <v>73</v>
      </c>
      <c r="AL27" s="107" t="s">
        <v>73</v>
      </c>
      <c r="AM27" s="107" t="s">
        <v>73</v>
      </c>
      <c r="AN27" s="107" t="s">
        <v>73</v>
      </c>
      <c r="AO27" s="107" t="s">
        <v>73</v>
      </c>
      <c r="AP27" s="107" t="s">
        <v>73</v>
      </c>
      <c r="AQ27" s="107" t="s">
        <v>73</v>
      </c>
      <c r="AR27" s="107" t="s">
        <v>73</v>
      </c>
      <c r="AS27" s="107" t="s">
        <v>73</v>
      </c>
      <c r="AT27" s="107" t="s">
        <v>73</v>
      </c>
      <c r="AU27" s="107" t="s">
        <v>73</v>
      </c>
      <c r="AV27" s="107">
        <v>1</v>
      </c>
      <c r="AW27" s="107">
        <v>0.52474921887847392</v>
      </c>
      <c r="AX27" s="107">
        <v>0.52474921887847392</v>
      </c>
      <c r="AY27" s="107">
        <v>0.52474921887847392</v>
      </c>
      <c r="AZ27" s="107">
        <v>0.52474921887847392</v>
      </c>
      <c r="BA27" s="107">
        <v>0.52474921887847392</v>
      </c>
      <c r="BB27" s="107">
        <v>0.52474921887847392</v>
      </c>
      <c r="BC27" s="107">
        <v>0.52488488735405359</v>
      </c>
      <c r="BD27" s="107">
        <v>0.52488488735405359</v>
      </c>
      <c r="BE27" s="107">
        <v>0.52488488735405359</v>
      </c>
      <c r="BF27" s="107">
        <v>0</v>
      </c>
      <c r="BG27" s="107">
        <v>0</v>
      </c>
      <c r="BH27" s="107">
        <v>0</v>
      </c>
      <c r="BI27" s="107">
        <v>0</v>
      </c>
      <c r="BJ27" s="107">
        <v>0</v>
      </c>
      <c r="BK27" s="107">
        <v>0</v>
      </c>
      <c r="BL27" s="107">
        <v>0</v>
      </c>
      <c r="BM27" s="107">
        <v>0</v>
      </c>
      <c r="BN27" s="107">
        <v>0</v>
      </c>
      <c r="BO27" s="107">
        <v>0</v>
      </c>
      <c r="BP27" s="107">
        <v>0</v>
      </c>
      <c r="BQ27" s="107">
        <v>0</v>
      </c>
      <c r="BR27" s="107">
        <v>0</v>
      </c>
      <c r="BS27" s="107">
        <v>0</v>
      </c>
      <c r="BT27" s="107">
        <v>0</v>
      </c>
    </row>
    <row r="28" spans="1:72" collapsed="1" x14ac:dyDescent="0.3">
      <c r="B28" s="140" t="s">
        <v>246</v>
      </c>
      <c r="C28" s="22">
        <v>0.04</v>
      </c>
      <c r="D28" s="22">
        <v>3.1E-2</v>
      </c>
      <c r="E28" s="22">
        <v>2.98E-2</v>
      </c>
      <c r="F28" s="22">
        <v>2.87E-2</v>
      </c>
      <c r="G28" s="22">
        <v>8.3000000000000001E-3</v>
      </c>
      <c r="H28" s="22">
        <v>3.0000000000000001E-3</v>
      </c>
      <c r="I28" s="22">
        <v>3.5000000000000003E-2</v>
      </c>
      <c r="J28" s="22">
        <v>7.0999999999999994E-2</v>
      </c>
      <c r="K28" s="22">
        <v>6.4000000000000001E-2</v>
      </c>
      <c r="L28" s="22">
        <v>4.4999999999999998E-2</v>
      </c>
      <c r="M28" s="22">
        <v>1.4999999999999999E-2</v>
      </c>
      <c r="N28" s="22">
        <v>1.2999999999999999E-2</v>
      </c>
      <c r="O28" s="22">
        <v>1.4E-2</v>
      </c>
      <c r="P28" s="22">
        <v>2.1000000000000001E-2</v>
      </c>
      <c r="Q28" s="22">
        <v>6.0000000000000001E-3</v>
      </c>
      <c r="R28" s="22">
        <v>4.0000000000000001E-3</v>
      </c>
      <c r="S28" s="22">
        <v>5.0000000000000001E-3</v>
      </c>
      <c r="T28" s="22">
        <v>0.03</v>
      </c>
      <c r="U28" s="22">
        <v>1.7000000000000001E-2</v>
      </c>
      <c r="V28" s="22">
        <v>1.4E-2</v>
      </c>
      <c r="W28" s="22">
        <v>2.3E-2</v>
      </c>
      <c r="X28" s="22">
        <v>3.1E-2</v>
      </c>
      <c r="Y28" s="22">
        <v>1.2E-2</v>
      </c>
      <c r="Z28" s="23">
        <v>0.03</v>
      </c>
      <c r="AA28" s="23">
        <v>3.3000000000000002E-2</v>
      </c>
      <c r="AB28" s="23">
        <v>4.4999999999999998E-2</v>
      </c>
      <c r="AC28" s="22">
        <v>5.0999999999999997E-2</v>
      </c>
      <c r="AD28" s="22">
        <v>4.2999999999999997E-2</v>
      </c>
      <c r="AE28" s="22">
        <v>4.1000000000000002E-2</v>
      </c>
      <c r="AF28" s="22">
        <v>4.2000000000000003E-2</v>
      </c>
      <c r="AG28" s="22">
        <v>4.7E-2</v>
      </c>
      <c r="AH28" s="22">
        <v>4.2999999999999997E-2</v>
      </c>
      <c r="AI28" s="22">
        <v>5.8000000000000003E-2</v>
      </c>
      <c r="AJ28" s="22">
        <v>9.8000000000000004E-2</v>
      </c>
      <c r="AK28" s="22">
        <v>9.4E-2</v>
      </c>
      <c r="AL28" s="23">
        <v>7.2999999999999995E-2</v>
      </c>
      <c r="AM28" s="23">
        <v>8.0130468780342079E-2</v>
      </c>
      <c r="AN28" s="23">
        <v>8.1070931577748154E-2</v>
      </c>
      <c r="AO28" s="23">
        <v>6.7021776096013799E-2</v>
      </c>
      <c r="AP28" s="23">
        <v>6.2087345766736343E-2</v>
      </c>
      <c r="AQ28" s="23">
        <v>7.0894505541990421E-2</v>
      </c>
      <c r="AR28" s="23">
        <v>6.4421418102482128E-2</v>
      </c>
      <c r="AS28" s="23">
        <v>5.4329327272280709E-2</v>
      </c>
      <c r="AT28" s="23">
        <v>5.83151046185909E-2</v>
      </c>
      <c r="AU28" s="23">
        <v>5.8650971977450374E-2</v>
      </c>
      <c r="AV28" s="23">
        <v>5.2537366109621182E-2</v>
      </c>
      <c r="AW28" s="23">
        <v>4.743566952957861E-2</v>
      </c>
      <c r="AX28" s="23">
        <v>4.8986948122133132E-2</v>
      </c>
      <c r="AY28" s="23">
        <v>5.3084609131880678E-2</v>
      </c>
      <c r="AZ28" s="23">
        <v>6.4441036186573916E-2</v>
      </c>
      <c r="BA28" s="23">
        <v>7.4447092541827659E-2</v>
      </c>
      <c r="BB28" s="23">
        <v>6.1416160352096905E-2</v>
      </c>
      <c r="BC28" s="23">
        <v>8.2061012389375118E-2</v>
      </c>
      <c r="BD28" s="23">
        <v>9.2818796027425335E-2</v>
      </c>
      <c r="BE28" s="23">
        <v>8.1643095175420413E-2</v>
      </c>
      <c r="BF28" s="23">
        <v>7.6983981981993188E-2</v>
      </c>
      <c r="BG28" s="23">
        <v>7.6965582915132738E-2</v>
      </c>
      <c r="BH28" s="23">
        <v>7.3164838207461169E-2</v>
      </c>
      <c r="BI28" s="23">
        <v>6.5662922616573832E-2</v>
      </c>
      <c r="BJ28" s="23">
        <v>4.8476034545381533E-2</v>
      </c>
      <c r="BK28" s="23">
        <v>5.0568286238192539E-2</v>
      </c>
      <c r="BL28" s="23">
        <v>5.8114861487325697E-2</v>
      </c>
      <c r="BM28" s="23">
        <v>4.5863890346786555E-2</v>
      </c>
      <c r="BN28" s="23">
        <v>4.233295370313829E-2</v>
      </c>
      <c r="BO28" s="23">
        <v>5.1436382751305944E-2</v>
      </c>
      <c r="BP28" s="23">
        <v>4.0178798182121056E-2</v>
      </c>
      <c r="BQ28" s="23">
        <v>6.599273246748219E-2</v>
      </c>
      <c r="BR28" s="23">
        <v>5.1775944687671882E-2</v>
      </c>
      <c r="BS28" s="23">
        <v>4.8282017788265262E-2</v>
      </c>
      <c r="BT28" s="23">
        <v>5.6439972275131638E-2</v>
      </c>
    </row>
    <row r="29" spans="1:72" hidden="1" outlineLevel="1" x14ac:dyDescent="0.3">
      <c r="A29" t="s">
        <v>248</v>
      </c>
      <c r="B29" s="141" t="s">
        <v>248</v>
      </c>
      <c r="C29" s="166">
        <v>0.05</v>
      </c>
      <c r="D29" s="166">
        <v>2.4799999999999999E-2</v>
      </c>
      <c r="E29" s="166">
        <v>2.3300000000000001E-2</v>
      </c>
      <c r="F29" s="166">
        <v>1.52E-2</v>
      </c>
      <c r="G29" s="166">
        <v>1.9400000000000001E-2</v>
      </c>
      <c r="H29" s="166">
        <v>1.9099999999999999E-2</v>
      </c>
      <c r="I29" s="166">
        <v>2.0500000000000001E-2</v>
      </c>
      <c r="J29" s="166">
        <v>3.7100000000000001E-2</v>
      </c>
      <c r="K29" s="166">
        <v>3.32E-2</v>
      </c>
      <c r="L29" s="166">
        <v>3.3000000000000002E-2</v>
      </c>
      <c r="M29" s="166">
        <v>2.3E-2</v>
      </c>
      <c r="N29" s="166">
        <v>2.3E-2</v>
      </c>
      <c r="O29" s="166">
        <v>2.4E-2</v>
      </c>
      <c r="P29" s="166">
        <v>2.5000000000000001E-2</v>
      </c>
      <c r="Q29" s="166">
        <v>2.9000000000000001E-2</v>
      </c>
      <c r="R29" s="166">
        <v>0.02</v>
      </c>
      <c r="S29" s="166">
        <v>2.5000000000000001E-2</v>
      </c>
      <c r="T29" s="166">
        <v>2.1999999999999999E-2</v>
      </c>
      <c r="U29" s="166">
        <v>1.2E-2</v>
      </c>
      <c r="V29" s="166">
        <v>5.0000000000000001E-3</v>
      </c>
      <c r="W29" s="166">
        <v>7.0000000000000001E-3</v>
      </c>
      <c r="X29" s="166">
        <v>1.6E-2</v>
      </c>
      <c r="Y29" s="166">
        <v>1.7999999999999999E-2</v>
      </c>
      <c r="Z29" s="107">
        <v>8.3965054220348778E-3</v>
      </c>
      <c r="AA29" s="107">
        <v>1.7132950334840399E-2</v>
      </c>
      <c r="AB29" s="107">
        <v>1.5699999999999999E-2</v>
      </c>
      <c r="AC29" s="166">
        <v>2.2839275396798423E-2</v>
      </c>
      <c r="AD29" s="166">
        <v>1.55823675356014E-2</v>
      </c>
      <c r="AE29" s="166">
        <v>2.4E-2</v>
      </c>
      <c r="AF29" s="166">
        <v>4.6803638224880137E-2</v>
      </c>
      <c r="AG29" s="166">
        <v>3.5500289907875231E-2</v>
      </c>
      <c r="AH29" s="166">
        <v>5.1999999999999998E-2</v>
      </c>
      <c r="AI29" s="166">
        <v>8.9038567813321409E-2</v>
      </c>
      <c r="AJ29" s="166">
        <v>8.3055583611083061E-2</v>
      </c>
      <c r="AK29" s="166">
        <v>7.9000000000000001E-2</v>
      </c>
      <c r="AL29" s="107">
        <v>7.3999999999999996E-2</v>
      </c>
      <c r="AM29" s="107">
        <v>7.8827313318231451E-2</v>
      </c>
      <c r="AN29" s="107">
        <v>7.6883418392024047E-2</v>
      </c>
      <c r="AO29" s="107">
        <v>7.1596704520530172E-2</v>
      </c>
      <c r="AP29" s="107">
        <v>6.5977267839027381E-2</v>
      </c>
      <c r="AQ29" s="107">
        <v>6.292358820467521E-2</v>
      </c>
      <c r="AR29" s="107">
        <v>6.8486028726189474E-2</v>
      </c>
      <c r="AS29" s="107">
        <v>6.6065840556840158E-2</v>
      </c>
      <c r="AT29" s="107">
        <v>5.1088297658196627E-2</v>
      </c>
      <c r="AU29" s="107">
        <v>5.4690867051433646E-2</v>
      </c>
      <c r="AV29" s="107">
        <v>6.3916726383515782E-2</v>
      </c>
      <c r="AW29" s="107">
        <v>5.8140999553205577E-2</v>
      </c>
      <c r="AX29" s="107">
        <v>7.2487969068721222E-2</v>
      </c>
      <c r="AY29" s="107">
        <v>8.4136663357044283E-2</v>
      </c>
      <c r="AZ29" s="107">
        <v>0.10301728173185749</v>
      </c>
      <c r="BA29" s="107">
        <v>0.15357635569805134</v>
      </c>
      <c r="BB29" s="107">
        <v>0.15808730751057748</v>
      </c>
      <c r="BC29" s="107">
        <v>0.18661104518803287</v>
      </c>
      <c r="BD29" s="107">
        <v>0.18934938843667445</v>
      </c>
      <c r="BE29" s="107">
        <v>0.18044977287858935</v>
      </c>
      <c r="BF29" s="107">
        <v>0.17434942291403971</v>
      </c>
      <c r="BG29" s="107">
        <v>0.19207966218435388</v>
      </c>
      <c r="BH29" s="107">
        <v>0.19798819077609303</v>
      </c>
      <c r="BI29" s="107">
        <v>0.18279225384727935</v>
      </c>
      <c r="BJ29" s="107">
        <v>0.13231847106128772</v>
      </c>
      <c r="BK29" s="107">
        <v>0.13738843414281429</v>
      </c>
      <c r="BL29" s="107">
        <v>0.15131056045542646</v>
      </c>
      <c r="BM29" s="107">
        <v>0.13129336713361384</v>
      </c>
      <c r="BN29" s="107">
        <v>0.10408656230069346</v>
      </c>
      <c r="BO29" s="107">
        <v>0.15174455801158046</v>
      </c>
      <c r="BP29" s="107">
        <v>0.11259238134392428</v>
      </c>
      <c r="BQ29" s="107">
        <v>0.11528987383086908</v>
      </c>
      <c r="BR29" s="107">
        <v>8.7686087758396286E-2</v>
      </c>
      <c r="BS29" s="107">
        <v>8.6233697205800305E-2</v>
      </c>
      <c r="BT29" s="107">
        <v>8.9793983366369692E-2</v>
      </c>
    </row>
    <row r="30" spans="1:72" hidden="1" outlineLevel="1" x14ac:dyDescent="0.3">
      <c r="A30" t="s">
        <v>250</v>
      </c>
      <c r="B30" s="134" t="s">
        <v>250</v>
      </c>
      <c r="C30" s="166">
        <v>8.0000000000000002E-3</v>
      </c>
      <c r="D30" s="166">
        <v>3.3999999999999998E-3</v>
      </c>
      <c r="E30" s="166">
        <v>1.8E-3</v>
      </c>
      <c r="F30" s="166">
        <v>1.8E-3</v>
      </c>
      <c r="G30" s="166">
        <v>6.7000000000000002E-3</v>
      </c>
      <c r="H30" s="166">
        <v>1.1999999999999999E-3</v>
      </c>
      <c r="I30" s="166">
        <v>3.6799999999999999E-2</v>
      </c>
      <c r="J30" s="166">
        <v>7.9600000000000004E-2</v>
      </c>
      <c r="K30" s="166">
        <v>7.1800000000000003E-2</v>
      </c>
      <c r="L30" s="166">
        <v>4.8000000000000001E-2</v>
      </c>
      <c r="M30" s="166">
        <v>8.0000000000000002E-3</v>
      </c>
      <c r="N30" s="166">
        <v>0.01</v>
      </c>
      <c r="O30" s="166">
        <v>1.2E-2</v>
      </c>
      <c r="P30" s="166">
        <v>2.5999999999999999E-2</v>
      </c>
      <c r="Q30" s="166">
        <v>0</v>
      </c>
      <c r="R30" s="166">
        <v>0</v>
      </c>
      <c r="S30" s="166">
        <v>0</v>
      </c>
      <c r="T30" s="166">
        <v>5.0000000000000001E-3</v>
      </c>
      <c r="U30" s="166">
        <v>6.0000000000000001E-3</v>
      </c>
      <c r="V30" s="166">
        <v>8.0000000000000002E-3</v>
      </c>
      <c r="W30" s="166">
        <v>2.1000000000000001E-2</v>
      </c>
      <c r="X30" s="166">
        <v>0.03</v>
      </c>
      <c r="Y30" s="166">
        <v>2E-3</v>
      </c>
      <c r="Z30" s="107">
        <v>1.3718989367783241E-3</v>
      </c>
      <c r="AA30" s="107">
        <v>9.0316680004572988E-3</v>
      </c>
      <c r="AB30" s="107">
        <v>1.2699999999999999E-2</v>
      </c>
      <c r="AC30" s="166">
        <v>1.8298209019636053E-2</v>
      </c>
      <c r="AD30" s="166">
        <v>2.0683739825727455E-2</v>
      </c>
      <c r="AE30" s="166">
        <v>0.02</v>
      </c>
      <c r="AF30" s="166">
        <v>1.8183603800632216E-2</v>
      </c>
      <c r="AG30" s="166">
        <v>1.5720050264647508E-2</v>
      </c>
      <c r="AH30" s="166">
        <v>1.5720050264647508E-2</v>
      </c>
      <c r="AI30" s="166">
        <v>1.6526776740847095E-2</v>
      </c>
      <c r="AJ30" s="166">
        <v>1.7018282087001478E-2</v>
      </c>
      <c r="AK30" s="166">
        <v>1.7000000000000001E-2</v>
      </c>
      <c r="AL30" s="107">
        <v>1.2999999999999999E-2</v>
      </c>
      <c r="AM30" s="107">
        <v>1.4015810558299589E-2</v>
      </c>
      <c r="AN30" s="107">
        <v>1.5285869145352573E-2</v>
      </c>
      <c r="AO30" s="107">
        <v>1.031061020760337E-2</v>
      </c>
      <c r="AP30" s="107">
        <v>1.3405174826241338E-2</v>
      </c>
      <c r="AQ30" s="107">
        <v>2.080485435091229E-2</v>
      </c>
      <c r="AR30" s="107">
        <v>1.7158681329053231E-2</v>
      </c>
      <c r="AS30" s="107">
        <v>1.239111802496036E-2</v>
      </c>
      <c r="AT30" s="107">
        <v>8.3357540918012028E-3</v>
      </c>
      <c r="AU30" s="107">
        <v>1.0529517004409433E-2</v>
      </c>
      <c r="AV30" s="107">
        <v>1.2038526505520277E-2</v>
      </c>
      <c r="AW30" s="107">
        <v>1.1038400652428634E-2</v>
      </c>
      <c r="AX30" s="107">
        <v>9.7715942718668604E-3</v>
      </c>
      <c r="AY30" s="107">
        <v>1.3898016338111382E-2</v>
      </c>
      <c r="AZ30" s="107">
        <v>1.7816960981054699E-2</v>
      </c>
      <c r="BA30" s="107">
        <v>1.9833248076080945E-2</v>
      </c>
      <c r="BB30" s="107">
        <v>2.1709340773021446E-2</v>
      </c>
      <c r="BC30" s="107">
        <v>9.0508694868119521E-2</v>
      </c>
      <c r="BD30" s="107">
        <v>8.9166813574802689E-2</v>
      </c>
      <c r="BE30" s="107">
        <v>8.2358072663435145E-2</v>
      </c>
      <c r="BF30" s="107">
        <v>7.8460643636198923E-2</v>
      </c>
      <c r="BG30" s="107">
        <v>7.8200085052603438E-2</v>
      </c>
      <c r="BH30" s="107">
        <v>7.3953980925357085E-2</v>
      </c>
      <c r="BI30" s="107">
        <v>5.4411155236261076E-2</v>
      </c>
      <c r="BJ30" s="107">
        <v>3.2552190500239463E-2</v>
      </c>
      <c r="BK30" s="107">
        <v>3.6406123412131328E-2</v>
      </c>
      <c r="BL30" s="107">
        <v>5.5045955005441335E-2</v>
      </c>
      <c r="BM30" s="107">
        <v>1.9561167514495464E-2</v>
      </c>
      <c r="BN30" s="107">
        <v>2.0631242598229578E-2</v>
      </c>
      <c r="BO30" s="107">
        <v>3.0443004071776854E-2</v>
      </c>
      <c r="BP30" s="107">
        <v>2.2660591899248579E-2</v>
      </c>
      <c r="BQ30" s="107">
        <v>0.12156706755794852</v>
      </c>
      <c r="BR30" s="107">
        <v>8.2981478990345942E-2</v>
      </c>
      <c r="BS30" s="107">
        <v>1.9982140148316913E-2</v>
      </c>
      <c r="BT30" s="107">
        <v>2.5260790503528516E-2</v>
      </c>
    </row>
    <row r="31" spans="1:72" hidden="1" outlineLevel="1" x14ac:dyDescent="0.3">
      <c r="B31" s="134" t="s">
        <v>251</v>
      </c>
      <c r="C31" s="166" t="s">
        <v>73</v>
      </c>
      <c r="D31" s="166" t="s">
        <v>73</v>
      </c>
      <c r="E31" s="166" t="s">
        <v>73</v>
      </c>
      <c r="F31" s="166" t="s">
        <v>73</v>
      </c>
      <c r="G31" s="166" t="s">
        <v>73</v>
      </c>
      <c r="H31" s="166" t="s">
        <v>73</v>
      </c>
      <c r="I31" s="166" t="s">
        <v>73</v>
      </c>
      <c r="J31" s="166" t="s">
        <v>73</v>
      </c>
      <c r="K31" s="166" t="s">
        <v>73</v>
      </c>
      <c r="L31" s="166" t="s">
        <v>73</v>
      </c>
      <c r="M31" s="166" t="s">
        <v>73</v>
      </c>
      <c r="N31" s="166" t="s">
        <v>73</v>
      </c>
      <c r="O31" s="166" t="s">
        <v>73</v>
      </c>
      <c r="P31" s="166" t="s">
        <v>73</v>
      </c>
      <c r="Q31" s="166" t="s">
        <v>73</v>
      </c>
      <c r="R31" s="166" t="s">
        <v>73</v>
      </c>
      <c r="S31" s="166" t="s">
        <v>73</v>
      </c>
      <c r="T31" s="166">
        <v>4.5999999999999999E-2</v>
      </c>
      <c r="U31" s="166">
        <v>3.7999999999999999E-2</v>
      </c>
      <c r="V31" s="166">
        <v>1.6E-2</v>
      </c>
      <c r="W31" s="166">
        <v>2.7E-2</v>
      </c>
      <c r="X31" s="166">
        <v>0.04</v>
      </c>
      <c r="Y31" s="166">
        <v>2.3E-2</v>
      </c>
      <c r="Z31" s="107">
        <v>1.29E-2</v>
      </c>
      <c r="AA31" s="107">
        <v>1.47E-2</v>
      </c>
      <c r="AB31" s="107">
        <v>2.24E-2</v>
      </c>
      <c r="AC31" s="166">
        <v>3.4478362490261351E-2</v>
      </c>
      <c r="AD31" s="166">
        <v>2.7088841268348297E-2</v>
      </c>
      <c r="AE31" s="166">
        <v>4.1000000000000002E-2</v>
      </c>
      <c r="AF31" s="166">
        <v>3.8945511303091832E-2</v>
      </c>
      <c r="AG31" s="166">
        <v>4.0258154010133385E-2</v>
      </c>
      <c r="AH31" s="166">
        <v>1.4E-2</v>
      </c>
      <c r="AI31" s="166">
        <v>6.7998728064744884E-2</v>
      </c>
      <c r="AJ31" s="166">
        <v>6.6214923289922442E-2</v>
      </c>
      <c r="AK31" s="166">
        <v>0.06</v>
      </c>
      <c r="AL31" s="107">
        <v>4.1000000000000002E-2</v>
      </c>
      <c r="AM31" s="107">
        <v>6.5210882362872979E-2</v>
      </c>
      <c r="AN31" s="107">
        <v>4.5571301538703972E-2</v>
      </c>
      <c r="AO31" s="107">
        <v>5.3021409034117124E-2</v>
      </c>
      <c r="AP31" s="107">
        <v>8.0793214844497464E-3</v>
      </c>
      <c r="AQ31" s="107">
        <v>2.5109781574149118E-2</v>
      </c>
      <c r="AR31" s="107">
        <v>1.4657012644302858E-2</v>
      </c>
      <c r="AS31" s="107">
        <v>1.5725924065290782E-2</v>
      </c>
      <c r="AT31" s="107">
        <v>1.1428036630400439E-2</v>
      </c>
      <c r="AU31" s="107">
        <v>1.0951837878299739E-2</v>
      </c>
      <c r="AV31" s="107">
        <v>1.5627856675689139E-2</v>
      </c>
      <c r="AW31" s="107">
        <v>1.6659794884043396E-2</v>
      </c>
      <c r="AX31" s="107">
        <v>2.8911081523707825E-2</v>
      </c>
      <c r="AY31" s="107">
        <v>3.0761100411786552E-2</v>
      </c>
      <c r="AZ31" s="107">
        <v>6.6208804012333977E-2</v>
      </c>
      <c r="BA31" s="107">
        <v>4.1161722041734961E-2</v>
      </c>
      <c r="BB31" s="107">
        <v>1.4852956240501253E-2</v>
      </c>
      <c r="BC31" s="107">
        <v>2.1507635233197136E-2</v>
      </c>
      <c r="BD31" s="107" t="s">
        <v>73</v>
      </c>
      <c r="BE31" s="107" t="s">
        <v>73</v>
      </c>
      <c r="BF31" s="107" t="s">
        <v>73</v>
      </c>
      <c r="BG31" s="107" t="s">
        <v>73</v>
      </c>
      <c r="BH31" s="107" t="s">
        <v>73</v>
      </c>
      <c r="BI31" s="107" t="s">
        <v>73</v>
      </c>
      <c r="BJ31" s="107" t="s">
        <v>73</v>
      </c>
      <c r="BK31" s="107" t="s">
        <v>73</v>
      </c>
      <c r="BL31" s="107" t="s">
        <v>73</v>
      </c>
      <c r="BM31" s="107" t="s">
        <v>73</v>
      </c>
      <c r="BN31" s="107" t="s">
        <v>73</v>
      </c>
      <c r="BO31" s="107" t="s">
        <v>73</v>
      </c>
      <c r="BP31" s="107" t="s">
        <v>73</v>
      </c>
      <c r="BQ31" s="107" t="s">
        <v>73</v>
      </c>
      <c r="BR31" s="107" t="s">
        <v>73</v>
      </c>
      <c r="BS31" s="107" t="s">
        <v>73</v>
      </c>
      <c r="BT31" s="107" t="s">
        <v>73</v>
      </c>
    </row>
    <row r="32" spans="1:72" hidden="1" outlineLevel="1" x14ac:dyDescent="0.3">
      <c r="A32" t="s">
        <v>253</v>
      </c>
      <c r="B32" s="134" t="s">
        <v>253</v>
      </c>
      <c r="C32" s="166" t="s">
        <v>73</v>
      </c>
      <c r="D32" s="166" t="s">
        <v>73</v>
      </c>
      <c r="E32" s="166" t="s">
        <v>73</v>
      </c>
      <c r="F32" s="166" t="s">
        <v>73</v>
      </c>
      <c r="G32" s="166" t="s">
        <v>73</v>
      </c>
      <c r="H32" s="166" t="s">
        <v>73</v>
      </c>
      <c r="I32" s="166" t="s">
        <v>73</v>
      </c>
      <c r="J32" s="166" t="s">
        <v>73</v>
      </c>
      <c r="K32" s="166" t="s">
        <v>73</v>
      </c>
      <c r="L32" s="166" t="s">
        <v>73</v>
      </c>
      <c r="M32" s="166" t="s">
        <v>73</v>
      </c>
      <c r="N32" s="166" t="s">
        <v>73</v>
      </c>
      <c r="O32" s="166" t="s">
        <v>73</v>
      </c>
      <c r="P32" s="166" t="s">
        <v>73</v>
      </c>
      <c r="Q32" s="166" t="s">
        <v>73</v>
      </c>
      <c r="R32" s="166" t="s">
        <v>73</v>
      </c>
      <c r="S32" s="166" t="s">
        <v>73</v>
      </c>
      <c r="T32" s="166" t="s">
        <v>73</v>
      </c>
      <c r="U32" s="166" t="s">
        <v>73</v>
      </c>
      <c r="V32" s="166" t="s">
        <v>73</v>
      </c>
      <c r="W32" s="166" t="s">
        <v>73</v>
      </c>
      <c r="X32" s="166" t="s">
        <v>73</v>
      </c>
      <c r="Y32" s="166" t="s">
        <v>73</v>
      </c>
      <c r="Z32" s="107">
        <v>6.688873483535529E-2</v>
      </c>
      <c r="AA32" s="107">
        <v>6.3190737316511328E-2</v>
      </c>
      <c r="AB32" s="107">
        <v>8.3900000000000002E-2</v>
      </c>
      <c r="AC32" s="166">
        <v>9.7293376252436864E-2</v>
      </c>
      <c r="AD32" s="166">
        <v>7.3516441508406319E-2</v>
      </c>
      <c r="AE32" s="166">
        <v>5.8000000000000003E-2</v>
      </c>
      <c r="AF32" s="166">
        <v>6.5095209144575283E-2</v>
      </c>
      <c r="AG32" s="166">
        <v>8.1841645573809602E-2</v>
      </c>
      <c r="AH32" s="166">
        <v>8.1000000000000003E-2</v>
      </c>
      <c r="AI32" s="166">
        <v>0.10911092351481308</v>
      </c>
      <c r="AJ32" s="166">
        <v>0.17290968384817465</v>
      </c>
      <c r="AK32" s="166">
        <v>0.16300000000000001</v>
      </c>
      <c r="AL32" s="107">
        <v>9.5000000000000001E-2</v>
      </c>
      <c r="AM32" s="107">
        <v>9.2559929075039959E-2</v>
      </c>
      <c r="AN32" s="107">
        <v>0.10859957440098023</v>
      </c>
      <c r="AO32" s="107">
        <v>9.9814570784838658E-2</v>
      </c>
      <c r="AP32" s="107">
        <v>0.10329544692428577</v>
      </c>
      <c r="AQ32" s="107">
        <v>0.10256077845743168</v>
      </c>
      <c r="AR32" s="107">
        <v>0.10850382789770122</v>
      </c>
      <c r="AS32" s="107">
        <v>8.8033827922632008E-2</v>
      </c>
      <c r="AT32" s="107">
        <v>0.11402718540927653</v>
      </c>
      <c r="AU32" s="107">
        <v>0.12223300948868104</v>
      </c>
      <c r="AV32" s="107">
        <v>8.7214950059089399E-2</v>
      </c>
      <c r="AW32" s="107">
        <v>7.8248693274607151E-2</v>
      </c>
      <c r="AX32" s="107">
        <v>8.2839901369520227E-2</v>
      </c>
      <c r="AY32" s="107">
        <v>8.8165158452069056E-2</v>
      </c>
      <c r="AZ32" s="107">
        <v>9.3178511829446697E-2</v>
      </c>
      <c r="BA32" s="107">
        <v>0.11325731284984328</v>
      </c>
      <c r="BB32" s="107">
        <v>7.3950595918688133E-2</v>
      </c>
      <c r="BC32" s="107">
        <v>5.2697160736423138E-2</v>
      </c>
      <c r="BD32" s="107">
        <v>4.9162927407079046E-2</v>
      </c>
      <c r="BE32" s="107">
        <v>4.8490507893605567E-2</v>
      </c>
      <c r="BF32" s="107">
        <v>3.3173765673789733E-2</v>
      </c>
      <c r="BG32" s="107">
        <v>3.5064154198857181E-2</v>
      </c>
      <c r="BH32" s="107">
        <v>3.5654963327285863E-2</v>
      </c>
      <c r="BI32" s="107">
        <v>3.3231671776238599E-2</v>
      </c>
      <c r="BJ32" s="107">
        <v>2.2917452026796868E-2</v>
      </c>
      <c r="BK32" s="107">
        <v>2.8705953597517132E-2</v>
      </c>
      <c r="BL32" s="107">
        <v>3.2060784981643393E-2</v>
      </c>
      <c r="BM32" s="107">
        <v>3.9405397221906814E-2</v>
      </c>
      <c r="BN32" s="107">
        <v>3.9394950985958146E-2</v>
      </c>
      <c r="BO32" s="107">
        <v>3.8853260663865866E-2</v>
      </c>
      <c r="BP32" s="107">
        <v>4.3905075508118542E-2</v>
      </c>
      <c r="BQ32" s="107">
        <v>5.4330570379622259E-2</v>
      </c>
      <c r="BR32" s="107">
        <v>4.6082055940350468E-2</v>
      </c>
      <c r="BS32" s="107">
        <v>6.3803035464214064E-2</v>
      </c>
      <c r="BT32" s="107">
        <v>7.8962794746603046E-2</v>
      </c>
    </row>
    <row r="33" spans="1:72" hidden="1" outlineLevel="1" x14ac:dyDescent="0.3">
      <c r="A33" t="s">
        <v>255</v>
      </c>
      <c r="B33" s="134" t="s">
        <v>255</v>
      </c>
      <c r="C33" s="166" t="s">
        <v>73</v>
      </c>
      <c r="D33" s="166" t="s">
        <v>73</v>
      </c>
      <c r="E33" s="166" t="s">
        <v>73</v>
      </c>
      <c r="F33" s="166" t="s">
        <v>73</v>
      </c>
      <c r="G33" s="166" t="s">
        <v>73</v>
      </c>
      <c r="H33" s="166" t="s">
        <v>73</v>
      </c>
      <c r="I33" s="166" t="s">
        <v>73</v>
      </c>
      <c r="J33" s="166" t="s">
        <v>73</v>
      </c>
      <c r="K33" s="166" t="s">
        <v>73</v>
      </c>
      <c r="L33" s="166" t="s">
        <v>73</v>
      </c>
      <c r="M33" s="166" t="s">
        <v>73</v>
      </c>
      <c r="N33" s="166" t="s">
        <v>73</v>
      </c>
      <c r="O33" s="166" t="s">
        <v>73</v>
      </c>
      <c r="P33" s="166" t="s">
        <v>73</v>
      </c>
      <c r="Q33" s="166" t="s">
        <v>73</v>
      </c>
      <c r="R33" s="166" t="s">
        <v>73</v>
      </c>
      <c r="S33" s="166" t="s">
        <v>73</v>
      </c>
      <c r="T33" s="166" t="s">
        <v>73</v>
      </c>
      <c r="U33" s="166" t="s">
        <v>73</v>
      </c>
      <c r="V33" s="166" t="s">
        <v>73</v>
      </c>
      <c r="W33" s="166" t="s">
        <v>73</v>
      </c>
      <c r="X33" s="166" t="s">
        <v>73</v>
      </c>
      <c r="Y33" s="166" t="s">
        <v>73</v>
      </c>
      <c r="Z33" s="107">
        <v>7.164669994453661E-2</v>
      </c>
      <c r="AA33" s="107">
        <v>6.9679700499168051E-2</v>
      </c>
      <c r="AB33" s="107">
        <v>8.6699999999999999E-2</v>
      </c>
      <c r="AC33" s="166">
        <v>8.2403644199558118E-2</v>
      </c>
      <c r="AD33" s="166">
        <v>8.2073497068696724E-2</v>
      </c>
      <c r="AE33" s="166">
        <v>0.08</v>
      </c>
      <c r="AF33" s="166">
        <v>7.725786678120912E-2</v>
      </c>
      <c r="AG33" s="166">
        <v>8.0895152528218661E-2</v>
      </c>
      <c r="AH33" s="166">
        <v>8.3000000000000004E-2</v>
      </c>
      <c r="AI33" s="166">
        <v>9.0422542895332664E-2</v>
      </c>
      <c r="AJ33" s="166">
        <v>8.6422784188558796E-2</v>
      </c>
      <c r="AK33" s="166">
        <v>8.1000000000000003E-2</v>
      </c>
      <c r="AL33" s="107">
        <v>6.6000000000000003E-2</v>
      </c>
      <c r="AM33" s="107">
        <v>7.2512070204422852E-2</v>
      </c>
      <c r="AN33" s="107">
        <v>7.4115065371976221E-2</v>
      </c>
      <c r="AO33" s="107">
        <v>4.7603690332932207E-2</v>
      </c>
      <c r="AP33" s="107">
        <v>3.6722823906939428E-2</v>
      </c>
      <c r="AQ33" s="107">
        <v>4.0419121606936184E-2</v>
      </c>
      <c r="AR33" s="107">
        <v>3.3840702526014434E-2</v>
      </c>
      <c r="AS33" s="107">
        <v>3.7062326485731829E-2</v>
      </c>
      <c r="AT33" s="107">
        <v>3.3374696600967244E-2</v>
      </c>
      <c r="AU33" s="107">
        <v>5.3096213672861881E-2</v>
      </c>
      <c r="AV33" s="107">
        <v>7.9790064464599075E-2</v>
      </c>
      <c r="AW33" s="107">
        <v>5.4121640840498746E-2</v>
      </c>
      <c r="AX33" s="107">
        <v>4.7494863495863508E-2</v>
      </c>
      <c r="AY33" s="107">
        <v>4.8471843177898113E-2</v>
      </c>
      <c r="AZ33" s="107">
        <v>7.6313087459221149E-2</v>
      </c>
      <c r="BA33" s="107">
        <v>7.9232516881673584E-2</v>
      </c>
      <c r="BB33" s="107">
        <v>7.9900797154948022E-2</v>
      </c>
      <c r="BC33" s="107">
        <v>9.6027506928270182E-2</v>
      </c>
      <c r="BD33" s="107">
        <v>9.9286424222161801E-2</v>
      </c>
      <c r="BE33" s="107">
        <v>5.7365822419268055E-2</v>
      </c>
      <c r="BF33" s="107">
        <v>5.4083972519292985E-2</v>
      </c>
      <c r="BG33" s="107">
        <v>5.2589694175005385E-2</v>
      </c>
      <c r="BH33" s="107">
        <v>5.9334393718442728E-2</v>
      </c>
      <c r="BI33" s="107">
        <v>5.1317011132680689E-2</v>
      </c>
      <c r="BJ33" s="107">
        <v>3.4943429988255628E-2</v>
      </c>
      <c r="BK33" s="107">
        <v>3.7256996912294317E-2</v>
      </c>
      <c r="BL33" s="107">
        <v>3.7813874755491167E-2</v>
      </c>
      <c r="BM33" s="107">
        <v>3.5934016973802815E-2</v>
      </c>
      <c r="BN33" s="107">
        <v>3.3853694004519687E-2</v>
      </c>
      <c r="BO33" s="107">
        <v>4.8949264428210994E-2</v>
      </c>
      <c r="BP33" s="107">
        <v>4.4713760093015843E-2</v>
      </c>
      <c r="BQ33" s="107">
        <v>3.0536627247264417E-2</v>
      </c>
      <c r="BR33" s="107">
        <v>2.1453206458735496E-2</v>
      </c>
      <c r="BS33" s="107">
        <v>2.1187183736819177E-2</v>
      </c>
      <c r="BT33" s="107">
        <v>1.9665273704511776E-2</v>
      </c>
    </row>
    <row r="34" spans="1:72" hidden="1" outlineLevel="1" x14ac:dyDescent="0.3">
      <c r="A34" t="s">
        <v>257</v>
      </c>
      <c r="B34" s="134" t="s">
        <v>257</v>
      </c>
      <c r="C34" s="166" t="s">
        <v>73</v>
      </c>
      <c r="D34" s="166" t="s">
        <v>73</v>
      </c>
      <c r="E34" s="166" t="s">
        <v>73</v>
      </c>
      <c r="F34" s="166" t="s">
        <v>73</v>
      </c>
      <c r="G34" s="166" t="s">
        <v>73</v>
      </c>
      <c r="H34" s="166" t="s">
        <v>73</v>
      </c>
      <c r="I34" s="166" t="s">
        <v>73</v>
      </c>
      <c r="J34" s="166" t="s">
        <v>73</v>
      </c>
      <c r="K34" s="166" t="s">
        <v>73</v>
      </c>
      <c r="L34" s="166" t="s">
        <v>73</v>
      </c>
      <c r="M34" s="166" t="s">
        <v>73</v>
      </c>
      <c r="N34" s="166" t="s">
        <v>73</v>
      </c>
      <c r="O34" s="166" t="s">
        <v>73</v>
      </c>
      <c r="P34" s="166" t="s">
        <v>73</v>
      </c>
      <c r="Q34" s="166" t="s">
        <v>73</v>
      </c>
      <c r="R34" s="166" t="s">
        <v>73</v>
      </c>
      <c r="S34" s="166" t="s">
        <v>73</v>
      </c>
      <c r="T34" s="166" t="s">
        <v>73</v>
      </c>
      <c r="U34" s="166" t="s">
        <v>73</v>
      </c>
      <c r="V34" s="166" t="s">
        <v>73</v>
      </c>
      <c r="W34" s="166" t="s">
        <v>73</v>
      </c>
      <c r="X34" s="166" t="s">
        <v>73</v>
      </c>
      <c r="Y34" s="166" t="s">
        <v>73</v>
      </c>
      <c r="Z34" s="107" t="s">
        <v>73</v>
      </c>
      <c r="AA34" s="107" t="s">
        <v>73</v>
      </c>
      <c r="AB34" s="107" t="s">
        <v>73</v>
      </c>
      <c r="AC34" s="166" t="s">
        <v>73</v>
      </c>
      <c r="AD34" s="166" t="s">
        <v>73</v>
      </c>
      <c r="AE34" s="166" t="s">
        <v>73</v>
      </c>
      <c r="AF34" s="166">
        <v>3.1E-2</v>
      </c>
      <c r="AG34" s="166">
        <v>4.438804886242935E-2</v>
      </c>
      <c r="AH34" s="166">
        <v>2.1999999999999999E-2</v>
      </c>
      <c r="AI34" s="166">
        <v>9.7801878570736925E-3</v>
      </c>
      <c r="AJ34" s="166">
        <v>5.4168170335618911E-3</v>
      </c>
      <c r="AK34" s="166">
        <v>0</v>
      </c>
      <c r="AL34" s="107">
        <v>0</v>
      </c>
      <c r="AM34" s="107">
        <v>4.4313074272530506E-2</v>
      </c>
      <c r="AN34" s="107">
        <v>4.4331898665476092E-2</v>
      </c>
      <c r="AO34" s="107">
        <v>8.7897223788329423E-3</v>
      </c>
      <c r="AP34" s="107">
        <v>5.7144026171807539E-3</v>
      </c>
      <c r="AQ34" s="107">
        <v>1.4785955265873717E-2</v>
      </c>
      <c r="AR34" s="107">
        <v>3.0010680748986771E-3</v>
      </c>
      <c r="AS34" s="107">
        <v>6.74203496818315E-3</v>
      </c>
      <c r="AT34" s="107">
        <v>8.928072338182446E-3</v>
      </c>
      <c r="AU34" s="107">
        <v>5.8362449443753548E-3</v>
      </c>
      <c r="AV34" s="107">
        <v>8.8759808968663593E-3</v>
      </c>
      <c r="AW34" s="107">
        <v>1.6903272003675248E-2</v>
      </c>
      <c r="AX34" s="107">
        <v>6.6124323571637774E-3</v>
      </c>
      <c r="AY34" s="107">
        <v>1.0643993412175951E-2</v>
      </c>
      <c r="AZ34" s="107">
        <v>3.794000854688543E-2</v>
      </c>
      <c r="BA34" s="107">
        <v>3.9133211372159242E-2</v>
      </c>
      <c r="BB34" s="107">
        <v>2.9241426663330742E-2</v>
      </c>
      <c r="BC34" s="107">
        <v>4.3181036579739658E-2</v>
      </c>
      <c r="BD34" s="107">
        <v>6.0227097071056515E-2</v>
      </c>
      <c r="BE34" s="107">
        <v>3.9473573843095487E-2</v>
      </c>
      <c r="BF34" s="107">
        <v>3.6487479274546826E-2</v>
      </c>
      <c r="BG34" s="107">
        <v>3.3468911721339138E-2</v>
      </c>
      <c r="BH34" s="107">
        <v>3.981799184947199E-2</v>
      </c>
      <c r="BI34" s="107">
        <v>5.3461877628141752E-2</v>
      </c>
      <c r="BJ34" s="107">
        <v>3.3741563324784604E-2</v>
      </c>
      <c r="BK34" s="107">
        <v>2.1498939604376609E-2</v>
      </c>
      <c r="BL34" s="107">
        <v>2.4897213789796386E-2</v>
      </c>
      <c r="BM34" s="107">
        <v>2.0141010140205674E-2</v>
      </c>
      <c r="BN34" s="107">
        <v>7.7729483572740619E-3</v>
      </c>
      <c r="BO34" s="107">
        <v>1.0213948323360332E-2</v>
      </c>
      <c r="BP34" s="107">
        <v>2.1715238228188931E-2</v>
      </c>
      <c r="BQ34" s="107">
        <v>2.5695369513763843E-2</v>
      </c>
      <c r="BR34" s="107">
        <v>2.9209581338929883E-2</v>
      </c>
      <c r="BS34" s="107">
        <v>5.7252293711842123E-2</v>
      </c>
      <c r="BT34" s="107">
        <v>6.970139353888212E-2</v>
      </c>
    </row>
    <row r="35" spans="1:72" hidden="1" outlineLevel="1" x14ac:dyDescent="0.3">
      <c r="A35" t="s">
        <v>259</v>
      </c>
      <c r="B35" s="134" t="s">
        <v>259</v>
      </c>
      <c r="C35" s="166" t="s">
        <v>73</v>
      </c>
      <c r="D35" s="166" t="s">
        <v>73</v>
      </c>
      <c r="E35" s="166" t="s">
        <v>73</v>
      </c>
      <c r="F35" s="166" t="s">
        <v>73</v>
      </c>
      <c r="G35" s="166" t="s">
        <v>73</v>
      </c>
      <c r="H35" s="166" t="s">
        <v>73</v>
      </c>
      <c r="I35" s="166" t="s">
        <v>73</v>
      </c>
      <c r="J35" s="166" t="s">
        <v>73</v>
      </c>
      <c r="K35" s="166" t="s">
        <v>73</v>
      </c>
      <c r="L35" s="166" t="s">
        <v>73</v>
      </c>
      <c r="M35" s="166" t="s">
        <v>73</v>
      </c>
      <c r="N35" s="166" t="s">
        <v>73</v>
      </c>
      <c r="O35" s="166" t="s">
        <v>73</v>
      </c>
      <c r="P35" s="166" t="s">
        <v>73</v>
      </c>
      <c r="Q35" s="166" t="s">
        <v>73</v>
      </c>
      <c r="R35" s="166" t="s">
        <v>73</v>
      </c>
      <c r="S35" s="166" t="s">
        <v>73</v>
      </c>
      <c r="T35" s="166" t="s">
        <v>73</v>
      </c>
      <c r="U35" s="166" t="s">
        <v>73</v>
      </c>
      <c r="V35" s="166" t="s">
        <v>73</v>
      </c>
      <c r="W35" s="166" t="s">
        <v>73</v>
      </c>
      <c r="X35" s="166" t="s">
        <v>73</v>
      </c>
      <c r="Y35" s="166" t="s">
        <v>73</v>
      </c>
      <c r="Z35" s="107" t="s">
        <v>73</v>
      </c>
      <c r="AA35" s="107" t="s">
        <v>73</v>
      </c>
      <c r="AB35" s="107" t="s">
        <v>73</v>
      </c>
      <c r="AC35" s="166" t="s">
        <v>73</v>
      </c>
      <c r="AD35" s="166" t="s">
        <v>73</v>
      </c>
      <c r="AE35" s="166" t="s">
        <v>73</v>
      </c>
      <c r="AF35" s="166" t="s">
        <v>73</v>
      </c>
      <c r="AG35" s="166" t="s">
        <v>73</v>
      </c>
      <c r="AH35" s="166" t="s">
        <v>73</v>
      </c>
      <c r="AI35" s="166" t="s">
        <v>73</v>
      </c>
      <c r="AJ35" s="166">
        <v>0.33776376060674324</v>
      </c>
      <c r="AK35" s="166">
        <v>0.33500000000000002</v>
      </c>
      <c r="AL35" s="107">
        <v>0.32900000000000001</v>
      </c>
      <c r="AM35" s="107">
        <v>0.32736189556135176</v>
      </c>
      <c r="AN35" s="107">
        <v>0.28065903941368991</v>
      </c>
      <c r="AO35" s="107">
        <v>0.25346872173580615</v>
      </c>
      <c r="AP35" s="107">
        <v>0.24126901767592565</v>
      </c>
      <c r="AQ35" s="107">
        <v>0.26233377488485943</v>
      </c>
      <c r="AR35" s="107">
        <v>0.22229134993737973</v>
      </c>
      <c r="AS35" s="107">
        <v>0.18303177277308511</v>
      </c>
      <c r="AT35" s="107">
        <v>0.18439736976891219</v>
      </c>
      <c r="AU35" s="107">
        <v>0.15498124175113073</v>
      </c>
      <c r="AV35" s="107">
        <v>0.14524507452396504</v>
      </c>
      <c r="AW35" s="107">
        <v>0.13081842460594925</v>
      </c>
      <c r="AX35" s="107">
        <v>0.13161177500534518</v>
      </c>
      <c r="AY35" s="107">
        <v>0.13220299561406043</v>
      </c>
      <c r="AZ35" s="107">
        <v>0.12389520840436168</v>
      </c>
      <c r="BA35" s="107">
        <v>0.15624981941948424</v>
      </c>
      <c r="BB35" s="107">
        <v>0.15348260359543031</v>
      </c>
      <c r="BC35" s="107">
        <v>0.1544357075578002</v>
      </c>
      <c r="BD35" s="107">
        <v>0.1760613078074347</v>
      </c>
      <c r="BE35" s="107">
        <v>0.22320618538829146</v>
      </c>
      <c r="BF35" s="107">
        <v>0.17255130412840769</v>
      </c>
      <c r="BG35" s="107">
        <v>0.16114824649095941</v>
      </c>
      <c r="BH35" s="107">
        <v>0.1246695376560938</v>
      </c>
      <c r="BI35" s="107">
        <v>0.12294378986013919</v>
      </c>
      <c r="BJ35" s="107">
        <v>0.12632028434448792</v>
      </c>
      <c r="BK35" s="107">
        <v>0.1272121113184978</v>
      </c>
      <c r="BL35" s="107">
        <v>0.11690942958677729</v>
      </c>
      <c r="BM35" s="107">
        <v>0.11600740683788811</v>
      </c>
      <c r="BN35" s="107">
        <v>0.11432228175827851</v>
      </c>
      <c r="BO35" s="107">
        <v>0.12290455157421652</v>
      </c>
      <c r="BP35" s="107" t="s">
        <v>73</v>
      </c>
      <c r="BQ35" s="107" t="s">
        <v>73</v>
      </c>
      <c r="BR35" s="107" t="s">
        <v>73</v>
      </c>
      <c r="BS35" s="107" t="s">
        <v>73</v>
      </c>
      <c r="BT35" s="107" t="s">
        <v>73</v>
      </c>
    </row>
    <row r="36" spans="1:72" hidden="1" outlineLevel="1" x14ac:dyDescent="0.3">
      <c r="B36" s="141" t="s">
        <v>260</v>
      </c>
      <c r="C36" s="166" t="s">
        <v>73</v>
      </c>
      <c r="D36" s="166" t="s">
        <v>73</v>
      </c>
      <c r="E36" s="166" t="s">
        <v>73</v>
      </c>
      <c r="F36" s="166" t="s">
        <v>73</v>
      </c>
      <c r="G36" s="166" t="s">
        <v>73</v>
      </c>
      <c r="H36" s="166" t="s">
        <v>73</v>
      </c>
      <c r="I36" s="166" t="s">
        <v>73</v>
      </c>
      <c r="J36" s="166" t="s">
        <v>73</v>
      </c>
      <c r="K36" s="166" t="s">
        <v>73</v>
      </c>
      <c r="L36" s="166" t="s">
        <v>73</v>
      </c>
      <c r="M36" s="166" t="s">
        <v>73</v>
      </c>
      <c r="N36" s="166" t="s">
        <v>73</v>
      </c>
      <c r="O36" s="166" t="s">
        <v>73</v>
      </c>
      <c r="P36" s="166" t="s">
        <v>73</v>
      </c>
      <c r="Q36" s="166" t="s">
        <v>73</v>
      </c>
      <c r="R36" s="166" t="s">
        <v>73</v>
      </c>
      <c r="S36" s="166" t="s">
        <v>73</v>
      </c>
      <c r="T36" s="166">
        <v>0.122</v>
      </c>
      <c r="U36" s="166">
        <v>3.7999999999999999E-2</v>
      </c>
      <c r="V36" s="166">
        <v>5.1999999999999998E-2</v>
      </c>
      <c r="W36" s="166">
        <v>4.2000000000000003E-2</v>
      </c>
      <c r="X36" s="166">
        <v>0.04</v>
      </c>
      <c r="Y36" s="166">
        <v>4.2000000000000003E-2</v>
      </c>
      <c r="Z36" s="107">
        <v>3.7100000000000001E-2</v>
      </c>
      <c r="AA36" s="107">
        <v>3.6499999999999998E-2</v>
      </c>
      <c r="AB36" s="107">
        <v>7.3200000000000001E-2</v>
      </c>
      <c r="AC36" s="166">
        <v>4.2693942792668756E-2</v>
      </c>
      <c r="AD36" s="166">
        <v>4.1671830999055096E-2</v>
      </c>
      <c r="AE36" s="166">
        <v>4.4999999999999998E-2</v>
      </c>
      <c r="AF36" s="166">
        <v>5.2178748538993715E-2</v>
      </c>
      <c r="AG36" s="166">
        <v>4.8556052664195791E-2</v>
      </c>
      <c r="AH36" s="166">
        <v>5.7000000000000002E-2</v>
      </c>
      <c r="AI36" s="166">
        <v>5.6075093808865176E-2</v>
      </c>
      <c r="AJ36" s="166">
        <v>5.2404964779066268E-2</v>
      </c>
      <c r="AK36" s="166">
        <v>5.3999999999999999E-2</v>
      </c>
      <c r="AL36" s="107">
        <v>5.8999999999999997E-2</v>
      </c>
      <c r="AM36" s="107">
        <v>5.0582207265452817E-2</v>
      </c>
      <c r="AN36" s="107">
        <v>0.10903451532225369</v>
      </c>
      <c r="AO36" s="107">
        <v>5.5130988187088628E-2</v>
      </c>
      <c r="AP36" s="107">
        <v>3.8286386818360149E-2</v>
      </c>
      <c r="AQ36" s="107" t="s">
        <v>73</v>
      </c>
      <c r="AR36" s="107" t="s">
        <v>73</v>
      </c>
      <c r="AS36" s="107" t="s">
        <v>73</v>
      </c>
      <c r="AT36" s="107" t="s">
        <v>73</v>
      </c>
      <c r="AU36" s="107" t="s">
        <v>73</v>
      </c>
      <c r="AV36" s="107" t="s">
        <v>73</v>
      </c>
      <c r="AW36" s="107" t="s">
        <v>73</v>
      </c>
      <c r="AX36" s="107" t="s">
        <v>73</v>
      </c>
      <c r="AY36" s="107" t="s">
        <v>73</v>
      </c>
      <c r="AZ36" s="107" t="s">
        <v>73</v>
      </c>
      <c r="BA36" s="107" t="s">
        <v>73</v>
      </c>
      <c r="BB36" s="107" t="s">
        <v>73</v>
      </c>
      <c r="BC36" s="107" t="s">
        <v>73</v>
      </c>
      <c r="BD36" s="107" t="s">
        <v>73</v>
      </c>
      <c r="BE36" s="107" t="s">
        <v>73</v>
      </c>
      <c r="BF36" s="107" t="s">
        <v>73</v>
      </c>
      <c r="BG36" s="107" t="s">
        <v>73</v>
      </c>
      <c r="BH36" s="107" t="s">
        <v>73</v>
      </c>
      <c r="BI36" s="107" t="s">
        <v>73</v>
      </c>
      <c r="BJ36" s="107" t="s">
        <v>73</v>
      </c>
      <c r="BK36" s="107" t="s">
        <v>73</v>
      </c>
      <c r="BL36" s="107" t="s">
        <v>73</v>
      </c>
      <c r="BM36" s="107" t="s">
        <v>73</v>
      </c>
      <c r="BN36" s="107" t="s">
        <v>73</v>
      </c>
      <c r="BO36" s="107" t="s">
        <v>73</v>
      </c>
      <c r="BP36" s="107" t="s">
        <v>73</v>
      </c>
      <c r="BQ36" s="107" t="s">
        <v>73</v>
      </c>
      <c r="BR36" s="107" t="s">
        <v>73</v>
      </c>
      <c r="BS36" s="107" t="s">
        <v>73</v>
      </c>
      <c r="BT36" s="107" t="s">
        <v>73</v>
      </c>
    </row>
    <row r="37" spans="1:72" collapsed="1" x14ac:dyDescent="0.3">
      <c r="B37" s="140" t="str">
        <f>IF('Sumário | Summary'!P1=1,"Galpões Logísticos","Distribution Centers")</f>
        <v>Galpões Logísticos</v>
      </c>
      <c r="C37" s="22">
        <v>0</v>
      </c>
      <c r="D37" s="22">
        <v>0</v>
      </c>
      <c r="E37" s="22">
        <v>0</v>
      </c>
      <c r="F37" s="22">
        <v>0</v>
      </c>
      <c r="G37" s="22">
        <v>0</v>
      </c>
      <c r="H37" s="22">
        <v>0.36199999999999999</v>
      </c>
      <c r="I37" s="22">
        <v>0</v>
      </c>
      <c r="J37" s="22">
        <v>0</v>
      </c>
      <c r="K37" s="22">
        <v>0</v>
      </c>
      <c r="L37" s="22">
        <v>0</v>
      </c>
      <c r="M37" s="22">
        <v>0</v>
      </c>
      <c r="N37" s="22">
        <v>0</v>
      </c>
      <c r="O37" s="22">
        <v>0</v>
      </c>
      <c r="P37" s="22">
        <v>0</v>
      </c>
      <c r="Q37" s="22">
        <v>0</v>
      </c>
      <c r="R37" s="22">
        <v>0</v>
      </c>
      <c r="S37" s="22">
        <v>0</v>
      </c>
      <c r="T37" s="22">
        <v>0</v>
      </c>
      <c r="U37" s="22">
        <v>0</v>
      </c>
      <c r="V37" s="22">
        <v>0</v>
      </c>
      <c r="W37" s="22">
        <v>0</v>
      </c>
      <c r="X37" s="22">
        <v>0.15</v>
      </c>
      <c r="Y37" s="22">
        <v>0.15</v>
      </c>
      <c r="Z37" s="23">
        <v>0.29299999999999998</v>
      </c>
      <c r="AA37" s="23">
        <v>7.9000000000000001E-2</v>
      </c>
      <c r="AB37" s="23">
        <v>0.17199999999999999</v>
      </c>
      <c r="AC37" s="22">
        <v>0.13900000000000001</v>
      </c>
      <c r="AD37" s="22">
        <v>0.11600000000000001</v>
      </c>
      <c r="AE37" s="22">
        <v>0.13900000000000001</v>
      </c>
      <c r="AF37" s="22">
        <v>0.113</v>
      </c>
      <c r="AG37" s="22">
        <v>0.113</v>
      </c>
      <c r="AH37" s="22">
        <v>0.105</v>
      </c>
      <c r="AI37" s="22">
        <v>0.154</v>
      </c>
      <c r="AJ37" s="22">
        <v>0.19800000000000001</v>
      </c>
      <c r="AK37" s="22">
        <v>0.184</v>
      </c>
      <c r="AL37" s="23">
        <v>0.184</v>
      </c>
      <c r="AM37" s="23">
        <v>0.31943269684893216</v>
      </c>
      <c r="AN37" s="23">
        <v>0.32158656080612547</v>
      </c>
      <c r="AO37" s="23">
        <v>1</v>
      </c>
      <c r="AP37" s="23">
        <v>1</v>
      </c>
      <c r="AQ37" s="23">
        <v>1</v>
      </c>
      <c r="AR37" s="23" t="s">
        <v>73</v>
      </c>
      <c r="AS37" s="23" t="s">
        <v>73</v>
      </c>
      <c r="AT37" s="23" t="s">
        <v>73</v>
      </c>
      <c r="AU37" s="23" t="s">
        <v>73</v>
      </c>
      <c r="AV37" s="23" t="s">
        <v>73</v>
      </c>
      <c r="AW37" s="23" t="s">
        <v>73</v>
      </c>
      <c r="AX37" s="23" t="s">
        <v>73</v>
      </c>
      <c r="AY37" s="23" t="s">
        <v>73</v>
      </c>
      <c r="AZ37" s="23" t="s">
        <v>73</v>
      </c>
      <c r="BA37" s="23" t="s">
        <v>73</v>
      </c>
      <c r="BB37" s="23" t="s">
        <v>73</v>
      </c>
      <c r="BC37" s="23" t="s">
        <v>73</v>
      </c>
      <c r="BD37" s="23" t="s">
        <v>73</v>
      </c>
      <c r="BE37" s="23" t="s">
        <v>73</v>
      </c>
      <c r="BF37" s="23" t="s">
        <v>73</v>
      </c>
      <c r="BG37" s="23" t="s">
        <v>73</v>
      </c>
      <c r="BH37" s="23" t="s">
        <v>73</v>
      </c>
      <c r="BI37" s="23" t="s">
        <v>73</v>
      </c>
      <c r="BJ37" s="23" t="s">
        <v>73</v>
      </c>
      <c r="BK37" s="23" t="s">
        <v>73</v>
      </c>
      <c r="BL37" s="23" t="s">
        <v>73</v>
      </c>
      <c r="BM37" s="23" t="s">
        <v>73</v>
      </c>
      <c r="BN37" s="23">
        <v>0.50211295666435518</v>
      </c>
      <c r="BO37" s="23">
        <v>0.50211295666435518</v>
      </c>
      <c r="BP37" s="23">
        <v>0.33573776266111899</v>
      </c>
      <c r="BQ37" s="23">
        <v>0.28028596902552583</v>
      </c>
      <c r="BR37" s="23">
        <v>0.16637519400323617</v>
      </c>
      <c r="BS37" s="23">
        <v>0</v>
      </c>
      <c r="BT37" s="23">
        <f>BT38</f>
        <v>-1.3488175805575536E-7</v>
      </c>
    </row>
    <row r="38" spans="1:72" hidden="1" outlineLevel="1" x14ac:dyDescent="0.3">
      <c r="A38" t="s">
        <v>262</v>
      </c>
      <c r="B38" s="134" t="s">
        <v>262</v>
      </c>
      <c r="C38" s="166" t="s">
        <v>73</v>
      </c>
      <c r="D38" s="166" t="s">
        <v>73</v>
      </c>
      <c r="E38" s="166" t="s">
        <v>73</v>
      </c>
      <c r="F38" s="166" t="s">
        <v>73</v>
      </c>
      <c r="G38" s="166" t="s">
        <v>73</v>
      </c>
      <c r="H38" s="166" t="s">
        <v>73</v>
      </c>
      <c r="I38" s="166" t="s">
        <v>73</v>
      </c>
      <c r="J38" s="166" t="s">
        <v>73</v>
      </c>
      <c r="K38" s="166" t="s">
        <v>73</v>
      </c>
      <c r="L38" s="166" t="s">
        <v>73</v>
      </c>
      <c r="M38" s="166" t="s">
        <v>73</v>
      </c>
      <c r="N38" s="166" t="s">
        <v>73</v>
      </c>
      <c r="O38" s="166" t="s">
        <v>73</v>
      </c>
      <c r="P38" s="166" t="s">
        <v>73</v>
      </c>
      <c r="Q38" s="166" t="s">
        <v>73</v>
      </c>
      <c r="R38" s="166" t="s">
        <v>73</v>
      </c>
      <c r="S38" s="166" t="s">
        <v>73</v>
      </c>
      <c r="T38" s="166" t="s">
        <v>73</v>
      </c>
      <c r="U38" s="166" t="s">
        <v>73</v>
      </c>
      <c r="V38" s="166" t="s">
        <v>73</v>
      </c>
      <c r="W38" s="166" t="s">
        <v>73</v>
      </c>
      <c r="X38" s="166" t="s">
        <v>73</v>
      </c>
      <c r="Y38" s="166" t="s">
        <v>73</v>
      </c>
      <c r="Z38" s="166" t="s">
        <v>73</v>
      </c>
      <c r="AA38" s="166" t="s">
        <v>73</v>
      </c>
      <c r="AB38" s="166" t="s">
        <v>73</v>
      </c>
      <c r="AC38" s="166" t="s">
        <v>73</v>
      </c>
      <c r="AD38" s="166" t="s">
        <v>73</v>
      </c>
      <c r="AE38" s="166" t="s">
        <v>73</v>
      </c>
      <c r="AF38" s="166" t="s">
        <v>73</v>
      </c>
      <c r="AG38" s="166" t="s">
        <v>73</v>
      </c>
      <c r="AH38" s="166" t="s">
        <v>73</v>
      </c>
      <c r="AI38" s="166" t="s">
        <v>73</v>
      </c>
      <c r="AJ38" s="166" t="s">
        <v>73</v>
      </c>
      <c r="AK38" s="166" t="s">
        <v>73</v>
      </c>
      <c r="AL38" s="107" t="s">
        <v>73</v>
      </c>
      <c r="AM38" s="107" t="s">
        <v>73</v>
      </c>
      <c r="AN38" s="107" t="s">
        <v>73</v>
      </c>
      <c r="AO38" s="107" t="s">
        <v>73</v>
      </c>
      <c r="AP38" s="107" t="s">
        <v>73</v>
      </c>
      <c r="AQ38" s="107" t="s">
        <v>73</v>
      </c>
      <c r="AR38" s="107" t="s">
        <v>73</v>
      </c>
      <c r="AS38" s="107" t="s">
        <v>73</v>
      </c>
      <c r="AT38" s="107" t="s">
        <v>73</v>
      </c>
      <c r="AU38" s="107" t="s">
        <v>73</v>
      </c>
      <c r="AV38" s="107" t="s">
        <v>73</v>
      </c>
      <c r="AW38" s="107" t="s">
        <v>73</v>
      </c>
      <c r="AX38" s="107" t="s">
        <v>73</v>
      </c>
      <c r="AY38" s="107" t="s">
        <v>73</v>
      </c>
      <c r="AZ38" s="107" t="s">
        <v>73</v>
      </c>
      <c r="BA38" s="107" t="s">
        <v>73</v>
      </c>
      <c r="BB38" s="107" t="s">
        <v>73</v>
      </c>
      <c r="BC38" s="107" t="s">
        <v>73</v>
      </c>
      <c r="BD38" s="107" t="s">
        <v>73</v>
      </c>
      <c r="BE38" s="107" t="s">
        <v>73</v>
      </c>
      <c r="BF38" s="107" t="s">
        <v>73</v>
      </c>
      <c r="BG38" s="107" t="s">
        <v>73</v>
      </c>
      <c r="BH38" s="107" t="s">
        <v>73</v>
      </c>
      <c r="BI38" s="107" t="s">
        <v>73</v>
      </c>
      <c r="BJ38" s="107" t="s">
        <v>73</v>
      </c>
      <c r="BK38" s="107" t="s">
        <v>73</v>
      </c>
      <c r="BL38" s="107" t="s">
        <v>73</v>
      </c>
      <c r="BM38" s="107" t="s">
        <v>73</v>
      </c>
      <c r="BN38" s="107">
        <v>0.50211295666435518</v>
      </c>
      <c r="BO38" s="107">
        <v>0.50211295666435518</v>
      </c>
      <c r="BP38" s="107">
        <v>0.33573776266111899</v>
      </c>
      <c r="BQ38" s="107">
        <v>0.28028596902552583</v>
      </c>
      <c r="BR38" s="107">
        <v>0.16637519400323617</v>
      </c>
      <c r="BS38" s="107">
        <v>0</v>
      </c>
      <c r="BT38" s="107">
        <v>-1.3488175805575536E-7</v>
      </c>
    </row>
    <row r="39" spans="1:72" hidden="1" outlineLevel="1" x14ac:dyDescent="0.3">
      <c r="B39" s="134" t="s">
        <v>263</v>
      </c>
      <c r="C39" s="166" t="s">
        <v>73</v>
      </c>
      <c r="D39" s="166">
        <v>0</v>
      </c>
      <c r="E39" s="166">
        <v>0</v>
      </c>
      <c r="F39" s="166">
        <v>0</v>
      </c>
      <c r="G39" s="166">
        <v>0</v>
      </c>
      <c r="H39" s="166">
        <v>0.36199999999999999</v>
      </c>
      <c r="I39" s="166">
        <v>0</v>
      </c>
      <c r="J39" s="166">
        <v>0</v>
      </c>
      <c r="K39" s="166">
        <v>0</v>
      </c>
      <c r="L39" s="166">
        <v>0</v>
      </c>
      <c r="M39" s="166">
        <v>0</v>
      </c>
      <c r="N39" s="166">
        <v>0</v>
      </c>
      <c r="O39" s="166">
        <v>0</v>
      </c>
      <c r="P39" s="166">
        <v>0</v>
      </c>
      <c r="Q39" s="166">
        <v>0</v>
      </c>
      <c r="R39" s="166">
        <v>0</v>
      </c>
      <c r="S39" s="166">
        <v>0</v>
      </c>
      <c r="T39" s="166">
        <v>0</v>
      </c>
      <c r="U39" s="166">
        <v>0</v>
      </c>
      <c r="V39" s="166">
        <v>0</v>
      </c>
      <c r="W39" s="166">
        <v>0</v>
      </c>
      <c r="X39" s="166">
        <v>0</v>
      </c>
      <c r="Y39" s="166">
        <v>0</v>
      </c>
      <c r="Z39" s="166">
        <v>0.31877672873052287</v>
      </c>
      <c r="AA39" s="166">
        <v>0</v>
      </c>
      <c r="AB39" s="166">
        <v>0</v>
      </c>
      <c r="AC39" s="166">
        <v>0</v>
      </c>
      <c r="AD39" s="166">
        <v>0</v>
      </c>
      <c r="AE39" s="166">
        <v>0</v>
      </c>
      <c r="AF39" s="166">
        <v>0.36244654253895431</v>
      </c>
      <c r="AG39" s="166">
        <v>0.36244654253895431</v>
      </c>
      <c r="AH39" s="166">
        <v>0.36244654253895431</v>
      </c>
      <c r="AI39" s="166">
        <v>0</v>
      </c>
      <c r="AJ39" s="166">
        <v>0.31877672873052287</v>
      </c>
      <c r="AK39" s="166">
        <v>0.46800000000000003</v>
      </c>
      <c r="AL39" s="107">
        <v>0.46800000000000003</v>
      </c>
      <c r="AM39" s="107">
        <v>0.46794750293317811</v>
      </c>
      <c r="AN39" s="107">
        <v>0.46795295072967408</v>
      </c>
      <c r="AO39" s="107">
        <v>1</v>
      </c>
      <c r="AP39" s="107">
        <v>1</v>
      </c>
      <c r="AQ39" s="107">
        <v>1</v>
      </c>
      <c r="AR39" s="107" t="s">
        <v>73</v>
      </c>
      <c r="AS39" s="107" t="s">
        <v>73</v>
      </c>
      <c r="AT39" s="107" t="s">
        <v>73</v>
      </c>
      <c r="AU39" s="107" t="s">
        <v>73</v>
      </c>
      <c r="AV39" s="107" t="s">
        <v>73</v>
      </c>
      <c r="AW39" s="107" t="s">
        <v>73</v>
      </c>
      <c r="AX39" s="107" t="s">
        <v>73</v>
      </c>
      <c r="AY39" s="107" t="s">
        <v>73</v>
      </c>
      <c r="AZ39" s="107" t="s">
        <v>73</v>
      </c>
      <c r="BA39" s="107" t="s">
        <v>73</v>
      </c>
      <c r="BB39" s="107" t="s">
        <v>73</v>
      </c>
      <c r="BC39" s="107" t="s">
        <v>73</v>
      </c>
      <c r="BD39" s="107" t="s">
        <v>73</v>
      </c>
      <c r="BE39" s="107" t="s">
        <v>73</v>
      </c>
      <c r="BF39" s="107" t="s">
        <v>73</v>
      </c>
      <c r="BG39" s="107" t="s">
        <v>73</v>
      </c>
      <c r="BH39" s="107" t="s">
        <v>73</v>
      </c>
      <c r="BI39" s="107" t="s">
        <v>73</v>
      </c>
      <c r="BJ39" s="107" t="s">
        <v>73</v>
      </c>
      <c r="BK39" s="107" t="s">
        <v>73</v>
      </c>
      <c r="BL39" s="107" t="s">
        <v>73</v>
      </c>
      <c r="BM39" s="107" t="s">
        <v>73</v>
      </c>
      <c r="BN39" s="107" t="s">
        <v>73</v>
      </c>
      <c r="BO39" s="107" t="s">
        <v>73</v>
      </c>
      <c r="BP39" s="107" t="s">
        <v>73</v>
      </c>
      <c r="BQ39" s="107" t="s">
        <v>73</v>
      </c>
      <c r="BR39" s="107" t="s">
        <v>73</v>
      </c>
      <c r="BS39" s="107" t="s">
        <v>73</v>
      </c>
      <c r="BT39" s="107" t="s">
        <v>73</v>
      </c>
    </row>
    <row r="40" spans="1:72" hidden="1" outlineLevel="1" x14ac:dyDescent="0.3">
      <c r="A40" s="131"/>
      <c r="B40" s="134" t="s">
        <v>264</v>
      </c>
      <c r="C40" s="166" t="s">
        <v>73</v>
      </c>
      <c r="D40" s="166" t="s">
        <v>73</v>
      </c>
      <c r="E40" s="166" t="s">
        <v>73</v>
      </c>
      <c r="F40" s="166" t="s">
        <v>73</v>
      </c>
      <c r="G40" s="166" t="s">
        <v>73</v>
      </c>
      <c r="H40" s="166" t="s">
        <v>73</v>
      </c>
      <c r="I40" s="166" t="s">
        <v>73</v>
      </c>
      <c r="J40" s="166" t="s">
        <v>73</v>
      </c>
      <c r="K40" s="166" t="s">
        <v>73</v>
      </c>
      <c r="L40" s="166" t="s">
        <v>73</v>
      </c>
      <c r="M40" s="166" t="s">
        <v>73</v>
      </c>
      <c r="N40" s="166" t="s">
        <v>73</v>
      </c>
      <c r="O40" s="166" t="s">
        <v>73</v>
      </c>
      <c r="P40" s="166" t="s">
        <v>73</v>
      </c>
      <c r="Q40" s="166" t="s">
        <v>73</v>
      </c>
      <c r="R40" s="166" t="s">
        <v>73</v>
      </c>
      <c r="S40" s="166">
        <v>0</v>
      </c>
      <c r="T40" s="166">
        <v>0</v>
      </c>
      <c r="U40" s="166">
        <v>0</v>
      </c>
      <c r="V40" s="166">
        <v>0</v>
      </c>
      <c r="W40" s="166">
        <v>0</v>
      </c>
      <c r="X40" s="166">
        <v>0</v>
      </c>
      <c r="Y40" s="166">
        <v>0</v>
      </c>
      <c r="Z40" s="166">
        <v>0</v>
      </c>
      <c r="AA40" s="166">
        <v>0</v>
      </c>
      <c r="AB40" s="166">
        <v>0</v>
      </c>
      <c r="AC40" s="166">
        <v>0</v>
      </c>
      <c r="AD40" s="166">
        <v>0</v>
      </c>
      <c r="AE40" s="166">
        <v>0</v>
      </c>
      <c r="AF40" s="166">
        <v>0</v>
      </c>
      <c r="AG40" s="166">
        <v>0</v>
      </c>
      <c r="AH40" s="166">
        <v>0</v>
      </c>
      <c r="AI40" s="166">
        <v>0</v>
      </c>
      <c r="AJ40" s="166">
        <v>0</v>
      </c>
      <c r="AK40" s="166">
        <v>0</v>
      </c>
      <c r="AL40" s="107">
        <v>0</v>
      </c>
      <c r="AM40" s="107">
        <v>0</v>
      </c>
      <c r="AN40" s="107">
        <v>8.1327470444028049E-2</v>
      </c>
      <c r="AO40" s="107" t="s">
        <v>73</v>
      </c>
      <c r="AP40" s="107" t="s">
        <v>73</v>
      </c>
      <c r="AQ40" s="107" t="s">
        <v>73</v>
      </c>
      <c r="AR40" s="107" t="s">
        <v>73</v>
      </c>
      <c r="AS40" s="107" t="s">
        <v>73</v>
      </c>
      <c r="AT40" s="107" t="s">
        <v>73</v>
      </c>
      <c r="AU40" s="107" t="s">
        <v>73</v>
      </c>
      <c r="AV40" s="107" t="s">
        <v>73</v>
      </c>
      <c r="AW40" s="107" t="s">
        <v>73</v>
      </c>
      <c r="AX40" s="107" t="s">
        <v>73</v>
      </c>
      <c r="AY40" s="107" t="s">
        <v>73</v>
      </c>
      <c r="AZ40" s="107" t="s">
        <v>73</v>
      </c>
      <c r="BA40" s="107" t="s">
        <v>73</v>
      </c>
      <c r="BB40" s="107" t="s">
        <v>73</v>
      </c>
      <c r="BC40" s="107" t="s">
        <v>73</v>
      </c>
      <c r="BD40" s="107" t="s">
        <v>73</v>
      </c>
      <c r="BE40" s="107" t="s">
        <v>73</v>
      </c>
      <c r="BF40" s="107" t="s">
        <v>73</v>
      </c>
      <c r="BG40" s="107" t="s">
        <v>73</v>
      </c>
      <c r="BH40" s="107" t="s">
        <v>73</v>
      </c>
      <c r="BI40" s="107" t="s">
        <v>73</v>
      </c>
      <c r="BJ40" s="107" t="s">
        <v>73</v>
      </c>
      <c r="BK40" s="107" t="s">
        <v>73</v>
      </c>
      <c r="BL40" s="107" t="s">
        <v>73</v>
      </c>
      <c r="BM40" s="107" t="s">
        <v>73</v>
      </c>
      <c r="BN40" s="107" t="s">
        <v>73</v>
      </c>
      <c r="BO40" s="107" t="s">
        <v>73</v>
      </c>
      <c r="BP40" s="107" t="s">
        <v>73</v>
      </c>
      <c r="BQ40" s="107" t="s">
        <v>73</v>
      </c>
      <c r="BR40" s="107" t="s">
        <v>73</v>
      </c>
      <c r="BS40" s="107" t="s">
        <v>73</v>
      </c>
      <c r="BT40" s="107" t="s">
        <v>73</v>
      </c>
    </row>
    <row r="41" spans="1:72" hidden="1" outlineLevel="1" x14ac:dyDescent="0.3">
      <c r="B41" s="134" t="s">
        <v>266</v>
      </c>
      <c r="C41" s="166" t="s">
        <v>73</v>
      </c>
      <c r="D41" s="166" t="s">
        <v>73</v>
      </c>
      <c r="E41" s="166" t="s">
        <v>73</v>
      </c>
      <c r="F41" s="166" t="s">
        <v>73</v>
      </c>
      <c r="G41" s="166" t="s">
        <v>73</v>
      </c>
      <c r="H41" s="166" t="s">
        <v>73</v>
      </c>
      <c r="I41" s="166" t="s">
        <v>73</v>
      </c>
      <c r="J41" s="166" t="s">
        <v>73</v>
      </c>
      <c r="K41" s="166" t="s">
        <v>73</v>
      </c>
      <c r="L41" s="166" t="s">
        <v>73</v>
      </c>
      <c r="M41" s="166" t="s">
        <v>73</v>
      </c>
      <c r="N41" s="166" t="s">
        <v>73</v>
      </c>
      <c r="O41" s="166" t="s">
        <v>73</v>
      </c>
      <c r="P41" s="166" t="s">
        <v>73</v>
      </c>
      <c r="Q41" s="166" t="s">
        <v>73</v>
      </c>
      <c r="R41" s="166" t="s">
        <v>73</v>
      </c>
      <c r="S41" s="166" t="s">
        <v>73</v>
      </c>
      <c r="T41" s="166" t="s">
        <v>73</v>
      </c>
      <c r="U41" s="166" t="s">
        <v>73</v>
      </c>
      <c r="V41" s="166" t="s">
        <v>73</v>
      </c>
      <c r="W41" s="166">
        <v>0</v>
      </c>
      <c r="X41" s="166">
        <v>0</v>
      </c>
      <c r="Y41" s="166">
        <v>0</v>
      </c>
      <c r="Z41" s="166">
        <v>0</v>
      </c>
      <c r="AA41" s="166">
        <v>0</v>
      </c>
      <c r="AB41" s="166">
        <v>0</v>
      </c>
      <c r="AC41" s="166">
        <v>0</v>
      </c>
      <c r="AD41" s="166">
        <v>0</v>
      </c>
      <c r="AE41" s="166">
        <v>0</v>
      </c>
      <c r="AF41" s="166">
        <v>0</v>
      </c>
      <c r="AG41" s="166">
        <v>0</v>
      </c>
      <c r="AH41" s="166">
        <v>0</v>
      </c>
      <c r="AI41" s="166">
        <v>0</v>
      </c>
      <c r="AJ41" s="166">
        <v>0</v>
      </c>
      <c r="AK41" s="166">
        <v>0</v>
      </c>
      <c r="AL41" s="107">
        <v>0</v>
      </c>
      <c r="AM41" s="107">
        <v>0</v>
      </c>
      <c r="AN41" s="107">
        <v>0</v>
      </c>
      <c r="AO41" s="107" t="s">
        <v>73</v>
      </c>
      <c r="AP41" s="107" t="s">
        <v>73</v>
      </c>
      <c r="AQ41" s="107" t="s">
        <v>73</v>
      </c>
      <c r="AR41" s="107" t="s">
        <v>73</v>
      </c>
      <c r="AS41" s="107" t="s">
        <v>73</v>
      </c>
      <c r="AT41" s="107" t="s">
        <v>73</v>
      </c>
      <c r="AU41" s="107" t="s">
        <v>73</v>
      </c>
      <c r="AV41" s="107" t="s">
        <v>73</v>
      </c>
      <c r="AW41" s="107" t="s">
        <v>73</v>
      </c>
      <c r="AX41" s="107" t="s">
        <v>73</v>
      </c>
      <c r="AY41" s="107" t="s">
        <v>73</v>
      </c>
      <c r="AZ41" s="107" t="s">
        <v>73</v>
      </c>
      <c r="BA41" s="107" t="s">
        <v>73</v>
      </c>
      <c r="BB41" s="107" t="s">
        <v>73</v>
      </c>
      <c r="BC41" s="107" t="s">
        <v>73</v>
      </c>
      <c r="BD41" s="107" t="s">
        <v>73</v>
      </c>
      <c r="BE41" s="107" t="s">
        <v>73</v>
      </c>
      <c r="BF41" s="107" t="s">
        <v>73</v>
      </c>
      <c r="BG41" s="107" t="s">
        <v>73</v>
      </c>
      <c r="BH41" s="107" t="s">
        <v>73</v>
      </c>
      <c r="BI41" s="107" t="s">
        <v>73</v>
      </c>
      <c r="BJ41" s="107" t="s">
        <v>73</v>
      </c>
      <c r="BK41" s="107" t="s">
        <v>73</v>
      </c>
      <c r="BL41" s="107" t="s">
        <v>73</v>
      </c>
      <c r="BM41" s="107" t="s">
        <v>73</v>
      </c>
      <c r="BN41" s="107" t="s">
        <v>73</v>
      </c>
      <c r="BO41" s="107" t="s">
        <v>73</v>
      </c>
      <c r="BP41" s="107" t="s">
        <v>73</v>
      </c>
      <c r="BQ41" s="107" t="s">
        <v>73</v>
      </c>
      <c r="BR41" s="107" t="s">
        <v>73</v>
      </c>
      <c r="BS41" s="107" t="s">
        <v>73</v>
      </c>
      <c r="BT41" s="107" t="s">
        <v>73</v>
      </c>
    </row>
    <row r="42" spans="1:72" hidden="1" outlineLevel="1" x14ac:dyDescent="0.3">
      <c r="B42" s="141" t="s">
        <v>267</v>
      </c>
      <c r="C42" s="166" t="s">
        <v>73</v>
      </c>
      <c r="D42" s="166" t="s">
        <v>73</v>
      </c>
      <c r="E42" s="166" t="s">
        <v>73</v>
      </c>
      <c r="F42" s="166" t="s">
        <v>73</v>
      </c>
      <c r="G42" s="166" t="s">
        <v>73</v>
      </c>
      <c r="H42" s="166" t="s">
        <v>73</v>
      </c>
      <c r="I42" s="166" t="s">
        <v>73</v>
      </c>
      <c r="J42" s="166" t="s">
        <v>73</v>
      </c>
      <c r="K42" s="166" t="s">
        <v>73</v>
      </c>
      <c r="L42" s="166" t="s">
        <v>73</v>
      </c>
      <c r="M42" s="166" t="s">
        <v>73</v>
      </c>
      <c r="N42" s="166" t="s">
        <v>73</v>
      </c>
      <c r="O42" s="166" t="s">
        <v>73</v>
      </c>
      <c r="P42" s="166" t="s">
        <v>73</v>
      </c>
      <c r="Q42" s="166" t="s">
        <v>73</v>
      </c>
      <c r="R42" s="166" t="s">
        <v>73</v>
      </c>
      <c r="S42" s="166" t="s">
        <v>73</v>
      </c>
      <c r="T42" s="166" t="s">
        <v>73</v>
      </c>
      <c r="U42" s="166" t="s">
        <v>73</v>
      </c>
      <c r="V42" s="166" t="s">
        <v>73</v>
      </c>
      <c r="W42" s="166" t="s">
        <v>73</v>
      </c>
      <c r="X42" s="166">
        <v>1</v>
      </c>
      <c r="Y42" s="166">
        <v>1</v>
      </c>
      <c r="Z42" s="166">
        <v>0.7551714770126321</v>
      </c>
      <c r="AA42" s="166">
        <v>0.43720701785629806</v>
      </c>
      <c r="AB42" s="166">
        <v>0.29160000000000003</v>
      </c>
      <c r="AC42" s="166">
        <v>0.29157201036162883</v>
      </c>
      <c r="AD42" s="166">
        <v>0.29157201036162883</v>
      </c>
      <c r="AE42" s="166">
        <v>0.29157201036162883</v>
      </c>
      <c r="AF42" s="166">
        <v>0.14600782901963061</v>
      </c>
      <c r="AG42" s="166">
        <v>0.14610611515142716</v>
      </c>
      <c r="AH42" s="166">
        <v>0</v>
      </c>
      <c r="AI42" s="166">
        <v>0</v>
      </c>
      <c r="AJ42" s="166">
        <v>0</v>
      </c>
      <c r="AK42" s="166">
        <v>0</v>
      </c>
      <c r="AL42" s="107">
        <v>0</v>
      </c>
      <c r="AM42" s="107">
        <v>0.53681949706532728</v>
      </c>
      <c r="AN42" s="107">
        <v>0.53681949706532728</v>
      </c>
      <c r="AO42" s="107" t="s">
        <v>73</v>
      </c>
      <c r="AP42" s="107" t="s">
        <v>73</v>
      </c>
      <c r="AQ42" s="107" t="s">
        <v>73</v>
      </c>
      <c r="AR42" s="107" t="s">
        <v>73</v>
      </c>
      <c r="AS42" s="107" t="s">
        <v>73</v>
      </c>
      <c r="AT42" s="107" t="s">
        <v>73</v>
      </c>
      <c r="AU42" s="107" t="s">
        <v>73</v>
      </c>
      <c r="AV42" s="107" t="s">
        <v>73</v>
      </c>
      <c r="AW42" s="107" t="s">
        <v>73</v>
      </c>
      <c r="AX42" s="107" t="s">
        <v>73</v>
      </c>
      <c r="AY42" s="107" t="s">
        <v>73</v>
      </c>
      <c r="AZ42" s="107" t="s">
        <v>73</v>
      </c>
      <c r="BA42" s="107" t="s">
        <v>73</v>
      </c>
      <c r="BB42" s="107" t="s">
        <v>73</v>
      </c>
      <c r="BC42" s="107" t="s">
        <v>73</v>
      </c>
      <c r="BD42" s="107" t="s">
        <v>73</v>
      </c>
      <c r="BE42" s="107" t="s">
        <v>73</v>
      </c>
      <c r="BF42" s="107" t="s">
        <v>73</v>
      </c>
      <c r="BG42" s="107" t="s">
        <v>73</v>
      </c>
      <c r="BH42" s="107" t="s">
        <v>73</v>
      </c>
      <c r="BI42" s="107" t="s">
        <v>73</v>
      </c>
      <c r="BJ42" s="107" t="s">
        <v>73</v>
      </c>
      <c r="BK42" s="107" t="s">
        <v>73</v>
      </c>
      <c r="BL42" s="107" t="s">
        <v>73</v>
      </c>
      <c r="BM42" s="107" t="s">
        <v>73</v>
      </c>
      <c r="BN42" s="107" t="s">
        <v>73</v>
      </c>
      <c r="BO42" s="107" t="s">
        <v>73</v>
      </c>
      <c r="BP42" s="107" t="s">
        <v>73</v>
      </c>
      <c r="BQ42" s="107" t="s">
        <v>73</v>
      </c>
      <c r="BR42" s="107" t="s">
        <v>73</v>
      </c>
      <c r="BS42" s="107" t="s">
        <v>73</v>
      </c>
      <c r="BT42" s="107" t="s">
        <v>73</v>
      </c>
    </row>
    <row r="43" spans="1:72" hidden="1" outlineLevel="1" x14ac:dyDescent="0.3">
      <c r="B43" s="141" t="s">
        <v>268</v>
      </c>
      <c r="C43" s="166" t="s">
        <v>73</v>
      </c>
      <c r="D43" s="166" t="s">
        <v>73</v>
      </c>
      <c r="E43" s="166" t="s">
        <v>73</v>
      </c>
      <c r="F43" s="166" t="s">
        <v>73</v>
      </c>
      <c r="G43" s="166" t="s">
        <v>73</v>
      </c>
      <c r="H43" s="166" t="s">
        <v>73</v>
      </c>
      <c r="I43" s="166" t="s">
        <v>73</v>
      </c>
      <c r="J43" s="166" t="s">
        <v>73</v>
      </c>
      <c r="K43" s="166" t="s">
        <v>73</v>
      </c>
      <c r="L43" s="166" t="s">
        <v>73</v>
      </c>
      <c r="M43" s="166" t="s">
        <v>73</v>
      </c>
      <c r="N43" s="166" t="s">
        <v>73</v>
      </c>
      <c r="O43" s="166" t="s">
        <v>73</v>
      </c>
      <c r="P43" s="166" t="s">
        <v>73</v>
      </c>
      <c r="Q43" s="166" t="s">
        <v>73</v>
      </c>
      <c r="R43" s="166" t="s">
        <v>73</v>
      </c>
      <c r="S43" s="166" t="s">
        <v>73</v>
      </c>
      <c r="T43" s="166" t="s">
        <v>73</v>
      </c>
      <c r="U43" s="166" t="s">
        <v>73</v>
      </c>
      <c r="V43" s="166" t="s">
        <v>73</v>
      </c>
      <c r="W43" s="166" t="s">
        <v>73</v>
      </c>
      <c r="X43" s="166" t="s">
        <v>73</v>
      </c>
      <c r="Y43" s="166" t="s">
        <v>73</v>
      </c>
      <c r="Z43" s="166">
        <v>0.22168443925515871</v>
      </c>
      <c r="AA43" s="166">
        <v>0.12342890871050263</v>
      </c>
      <c r="AB43" s="166">
        <v>0.1239</v>
      </c>
      <c r="AC43" s="166">
        <v>5.5350892754359511E-2</v>
      </c>
      <c r="AD43" s="166">
        <v>0</v>
      </c>
      <c r="AE43" s="166">
        <v>0</v>
      </c>
      <c r="AF43" s="166">
        <v>0</v>
      </c>
      <c r="AG43" s="166">
        <v>0</v>
      </c>
      <c r="AH43" s="166">
        <v>0</v>
      </c>
      <c r="AI43" s="166">
        <v>0</v>
      </c>
      <c r="AJ43" s="166">
        <v>0</v>
      </c>
      <c r="AK43" s="166">
        <v>0</v>
      </c>
      <c r="AL43" s="107">
        <v>0</v>
      </c>
      <c r="AM43" s="107">
        <v>0</v>
      </c>
      <c r="AN43" s="107">
        <v>0</v>
      </c>
      <c r="AO43" s="107" t="s">
        <v>73</v>
      </c>
      <c r="AP43" s="107" t="s">
        <v>73</v>
      </c>
      <c r="AQ43" s="107" t="s">
        <v>73</v>
      </c>
      <c r="AR43" s="107" t="s">
        <v>73</v>
      </c>
      <c r="AS43" s="107" t="s">
        <v>73</v>
      </c>
      <c r="AT43" s="107" t="s">
        <v>73</v>
      </c>
      <c r="AU43" s="107" t="s">
        <v>73</v>
      </c>
      <c r="AV43" s="107" t="s">
        <v>73</v>
      </c>
      <c r="AW43" s="107" t="s">
        <v>73</v>
      </c>
      <c r="AX43" s="107" t="s">
        <v>73</v>
      </c>
      <c r="AY43" s="107" t="s">
        <v>73</v>
      </c>
      <c r="AZ43" s="107" t="s">
        <v>73</v>
      </c>
      <c r="BA43" s="107" t="s">
        <v>73</v>
      </c>
      <c r="BB43" s="107" t="s">
        <v>73</v>
      </c>
      <c r="BC43" s="107" t="s">
        <v>73</v>
      </c>
      <c r="BD43" s="107" t="s">
        <v>73</v>
      </c>
      <c r="BE43" s="107" t="s">
        <v>73</v>
      </c>
      <c r="BF43" s="107" t="s">
        <v>73</v>
      </c>
      <c r="BG43" s="107" t="s">
        <v>73</v>
      </c>
      <c r="BH43" s="107" t="s">
        <v>73</v>
      </c>
      <c r="BI43" s="107" t="s">
        <v>73</v>
      </c>
      <c r="BJ43" s="107" t="s">
        <v>73</v>
      </c>
      <c r="BK43" s="107" t="s">
        <v>73</v>
      </c>
      <c r="BL43" s="107" t="s">
        <v>73</v>
      </c>
      <c r="BM43" s="107" t="s">
        <v>73</v>
      </c>
      <c r="BN43" s="107" t="s">
        <v>73</v>
      </c>
      <c r="BO43" s="107" t="s">
        <v>73</v>
      </c>
      <c r="BP43" s="107" t="s">
        <v>73</v>
      </c>
      <c r="BQ43" s="107" t="s">
        <v>73</v>
      </c>
      <c r="BR43" s="107" t="s">
        <v>73</v>
      </c>
      <c r="BS43" s="107" t="s">
        <v>73</v>
      </c>
      <c r="BT43" s="107" t="s">
        <v>73</v>
      </c>
    </row>
    <row r="44" spans="1:72" hidden="1" outlineLevel="1" x14ac:dyDescent="0.3">
      <c r="B44" s="134" t="s">
        <v>265</v>
      </c>
      <c r="C44" s="166" t="s">
        <v>73</v>
      </c>
      <c r="D44" s="166" t="s">
        <v>73</v>
      </c>
      <c r="E44" s="166" t="s">
        <v>73</v>
      </c>
      <c r="F44" s="166" t="s">
        <v>73</v>
      </c>
      <c r="G44" s="166" t="s">
        <v>73</v>
      </c>
      <c r="H44" s="166" t="s">
        <v>73</v>
      </c>
      <c r="I44" s="166" t="s">
        <v>73</v>
      </c>
      <c r="J44" s="166" t="s">
        <v>73</v>
      </c>
      <c r="K44" s="166" t="s">
        <v>73</v>
      </c>
      <c r="L44" s="166" t="s">
        <v>73</v>
      </c>
      <c r="M44" s="166" t="s">
        <v>73</v>
      </c>
      <c r="N44" s="166" t="s">
        <v>73</v>
      </c>
      <c r="O44" s="166" t="s">
        <v>73</v>
      </c>
      <c r="P44" s="166" t="s">
        <v>73</v>
      </c>
      <c r="Q44" s="166" t="s">
        <v>73</v>
      </c>
      <c r="R44" s="166" t="s">
        <v>73</v>
      </c>
      <c r="S44" s="166" t="s">
        <v>73</v>
      </c>
      <c r="T44" s="166" t="s">
        <v>73</v>
      </c>
      <c r="U44" s="166" t="s">
        <v>73</v>
      </c>
      <c r="V44" s="166" t="s">
        <v>73</v>
      </c>
      <c r="W44" s="166">
        <v>0</v>
      </c>
      <c r="X44" s="166">
        <v>0</v>
      </c>
      <c r="Y44" s="166">
        <v>0</v>
      </c>
      <c r="Z44" s="166">
        <v>0</v>
      </c>
      <c r="AA44" s="166">
        <v>0</v>
      </c>
      <c r="AB44" s="166">
        <v>0</v>
      </c>
      <c r="AC44" s="166">
        <v>0</v>
      </c>
      <c r="AD44" s="166">
        <v>0</v>
      </c>
      <c r="AE44" s="166">
        <v>0</v>
      </c>
      <c r="AF44" s="166">
        <v>0</v>
      </c>
      <c r="AG44" s="166">
        <v>0</v>
      </c>
      <c r="AH44" s="166">
        <v>0</v>
      </c>
      <c r="AI44" s="166">
        <v>0</v>
      </c>
      <c r="AJ44" s="166">
        <v>0</v>
      </c>
      <c r="AK44" s="166">
        <v>0</v>
      </c>
      <c r="AL44" s="107">
        <v>0</v>
      </c>
      <c r="AM44" s="107">
        <v>0</v>
      </c>
      <c r="AN44" s="107">
        <v>0</v>
      </c>
      <c r="AO44" s="107" t="s">
        <v>73</v>
      </c>
      <c r="AP44" s="107" t="s">
        <v>73</v>
      </c>
      <c r="AQ44" s="107" t="s">
        <v>73</v>
      </c>
      <c r="AR44" s="107" t="s">
        <v>73</v>
      </c>
      <c r="AS44" s="107" t="s">
        <v>73</v>
      </c>
      <c r="AT44" s="107" t="s">
        <v>73</v>
      </c>
      <c r="AU44" s="107" t="s">
        <v>73</v>
      </c>
      <c r="AV44" s="107" t="s">
        <v>73</v>
      </c>
      <c r="AW44" s="107" t="s">
        <v>73</v>
      </c>
      <c r="AX44" s="107" t="s">
        <v>73</v>
      </c>
      <c r="AY44" s="107" t="s">
        <v>73</v>
      </c>
      <c r="AZ44" s="107" t="s">
        <v>73</v>
      </c>
      <c r="BA44" s="107" t="s">
        <v>73</v>
      </c>
      <c r="BB44" s="107" t="s">
        <v>73</v>
      </c>
      <c r="BC44" s="107" t="s">
        <v>73</v>
      </c>
      <c r="BD44" s="107" t="s">
        <v>73</v>
      </c>
      <c r="BE44" s="107" t="s">
        <v>73</v>
      </c>
      <c r="BF44" s="107" t="s">
        <v>73</v>
      </c>
      <c r="BG44" s="107" t="s">
        <v>73</v>
      </c>
      <c r="BH44" s="107" t="s">
        <v>73</v>
      </c>
      <c r="BI44" s="107" t="s">
        <v>73</v>
      </c>
      <c r="BJ44" s="107" t="s">
        <v>73</v>
      </c>
      <c r="BK44" s="107" t="s">
        <v>73</v>
      </c>
      <c r="BL44" s="107" t="s">
        <v>73</v>
      </c>
      <c r="BM44" s="107" t="s">
        <v>73</v>
      </c>
      <c r="BN44" s="107" t="s">
        <v>73</v>
      </c>
      <c r="BO44" s="107" t="s">
        <v>73</v>
      </c>
      <c r="BP44" s="107" t="s">
        <v>73</v>
      </c>
      <c r="BQ44" s="107" t="s">
        <v>73</v>
      </c>
      <c r="BR44" s="107" t="s">
        <v>73</v>
      </c>
      <c r="BS44" s="107" t="s">
        <v>73</v>
      </c>
      <c r="BT44" s="107" t="s">
        <v>73</v>
      </c>
    </row>
    <row r="45" spans="1:72" hidden="1" outlineLevel="1" x14ac:dyDescent="0.3">
      <c r="B45" s="141" t="s">
        <v>269</v>
      </c>
      <c r="C45" s="166" t="s">
        <v>73</v>
      </c>
      <c r="D45" s="166" t="s">
        <v>73</v>
      </c>
      <c r="E45" s="166" t="s">
        <v>73</v>
      </c>
      <c r="F45" s="166" t="s">
        <v>73</v>
      </c>
      <c r="G45" s="166" t="s">
        <v>73</v>
      </c>
      <c r="H45" s="166" t="s">
        <v>73</v>
      </c>
      <c r="I45" s="166" t="s">
        <v>73</v>
      </c>
      <c r="J45" s="166" t="s">
        <v>73</v>
      </c>
      <c r="K45" s="166" t="s">
        <v>73</v>
      </c>
      <c r="L45" s="166" t="s">
        <v>73</v>
      </c>
      <c r="M45" s="166" t="s">
        <v>73</v>
      </c>
      <c r="N45" s="166" t="s">
        <v>73</v>
      </c>
      <c r="O45" s="166" t="s">
        <v>73</v>
      </c>
      <c r="P45" s="166" t="s">
        <v>73</v>
      </c>
      <c r="Q45" s="166" t="s">
        <v>73</v>
      </c>
      <c r="R45" s="166" t="s">
        <v>73</v>
      </c>
      <c r="S45" s="166" t="s">
        <v>73</v>
      </c>
      <c r="T45" s="166" t="s">
        <v>73</v>
      </c>
      <c r="U45" s="166" t="s">
        <v>73</v>
      </c>
      <c r="V45" s="166" t="s">
        <v>73</v>
      </c>
      <c r="W45" s="166" t="s">
        <v>73</v>
      </c>
      <c r="X45" s="166" t="s">
        <v>73</v>
      </c>
      <c r="Y45" s="166" t="s">
        <v>73</v>
      </c>
      <c r="Z45" s="166" t="s">
        <v>73</v>
      </c>
      <c r="AA45" s="166" t="s">
        <v>73</v>
      </c>
      <c r="AB45" s="166">
        <v>0.50539999999999996</v>
      </c>
      <c r="AC45" s="166">
        <v>0.50561609157196019</v>
      </c>
      <c r="AD45" s="166">
        <v>0.50561609157196019</v>
      </c>
      <c r="AE45" s="166">
        <v>0.50561609157196019</v>
      </c>
      <c r="AF45" s="166">
        <v>0</v>
      </c>
      <c r="AG45" s="166">
        <v>0</v>
      </c>
      <c r="AH45" s="166">
        <v>0</v>
      </c>
      <c r="AI45" s="166">
        <v>0</v>
      </c>
      <c r="AJ45" s="166">
        <v>0</v>
      </c>
      <c r="AK45" s="166">
        <v>0</v>
      </c>
      <c r="AL45" s="107">
        <v>0</v>
      </c>
      <c r="AM45" s="107">
        <v>0.50561609157196019</v>
      </c>
      <c r="AN45" s="107">
        <v>0.50561609157196019</v>
      </c>
      <c r="AO45" s="107" t="s">
        <v>73</v>
      </c>
      <c r="AP45" s="107" t="s">
        <v>73</v>
      </c>
      <c r="AQ45" s="107" t="s">
        <v>73</v>
      </c>
      <c r="AR45" s="107" t="s">
        <v>73</v>
      </c>
      <c r="AS45" s="107" t="s">
        <v>73</v>
      </c>
      <c r="AT45" s="107" t="s">
        <v>73</v>
      </c>
      <c r="AU45" s="107" t="s">
        <v>73</v>
      </c>
      <c r="AV45" s="107" t="s">
        <v>73</v>
      </c>
      <c r="AW45" s="107" t="s">
        <v>73</v>
      </c>
      <c r="AX45" s="107" t="s">
        <v>73</v>
      </c>
      <c r="AY45" s="107" t="s">
        <v>73</v>
      </c>
      <c r="AZ45" s="107" t="s">
        <v>73</v>
      </c>
      <c r="BA45" s="107" t="s">
        <v>73</v>
      </c>
      <c r="BB45" s="107" t="s">
        <v>73</v>
      </c>
      <c r="BC45" s="107" t="s">
        <v>73</v>
      </c>
      <c r="BD45" s="107" t="s">
        <v>73</v>
      </c>
      <c r="BE45" s="107" t="s">
        <v>73</v>
      </c>
      <c r="BF45" s="107" t="s">
        <v>73</v>
      </c>
      <c r="BG45" s="107" t="s">
        <v>73</v>
      </c>
      <c r="BH45" s="107" t="s">
        <v>73</v>
      </c>
      <c r="BI45" s="107" t="s">
        <v>73</v>
      </c>
      <c r="BJ45" s="107" t="s">
        <v>73</v>
      </c>
      <c r="BK45" s="107" t="s">
        <v>73</v>
      </c>
      <c r="BL45" s="107" t="s">
        <v>73</v>
      </c>
      <c r="BM45" s="107" t="s">
        <v>73</v>
      </c>
      <c r="BN45" s="107" t="s">
        <v>73</v>
      </c>
      <c r="BO45" s="107" t="s">
        <v>73</v>
      </c>
      <c r="BP45" s="107" t="s">
        <v>73</v>
      </c>
      <c r="BQ45" s="107" t="s">
        <v>73</v>
      </c>
      <c r="BR45" s="107" t="s">
        <v>73</v>
      </c>
      <c r="BS45" s="107" t="s">
        <v>73</v>
      </c>
      <c r="BT45" s="107" t="s">
        <v>73</v>
      </c>
    </row>
    <row r="46" spans="1:72" hidden="1" outlineLevel="1" x14ac:dyDescent="0.3">
      <c r="B46" s="141" t="s">
        <v>270</v>
      </c>
      <c r="C46" s="166" t="s">
        <v>73</v>
      </c>
      <c r="D46" s="166" t="s">
        <v>73</v>
      </c>
      <c r="E46" s="166" t="s">
        <v>73</v>
      </c>
      <c r="F46" s="166" t="s">
        <v>73</v>
      </c>
      <c r="G46" s="166" t="s">
        <v>73</v>
      </c>
      <c r="H46" s="166" t="s">
        <v>73</v>
      </c>
      <c r="I46" s="166" t="s">
        <v>73</v>
      </c>
      <c r="J46" s="166" t="s">
        <v>73</v>
      </c>
      <c r="K46" s="166" t="s">
        <v>73</v>
      </c>
      <c r="L46" s="166" t="s">
        <v>73</v>
      </c>
      <c r="M46" s="166" t="s">
        <v>73</v>
      </c>
      <c r="N46" s="166" t="s">
        <v>73</v>
      </c>
      <c r="O46" s="166" t="s">
        <v>73</v>
      </c>
      <c r="P46" s="166" t="s">
        <v>73</v>
      </c>
      <c r="Q46" s="166" t="s">
        <v>73</v>
      </c>
      <c r="R46" s="166" t="s">
        <v>73</v>
      </c>
      <c r="S46" s="166" t="s">
        <v>73</v>
      </c>
      <c r="T46" s="166" t="s">
        <v>73</v>
      </c>
      <c r="U46" s="166" t="s">
        <v>73</v>
      </c>
      <c r="V46" s="166" t="s">
        <v>73</v>
      </c>
      <c r="W46" s="166" t="s">
        <v>73</v>
      </c>
      <c r="X46" s="166" t="s">
        <v>73</v>
      </c>
      <c r="Y46" s="166" t="s">
        <v>73</v>
      </c>
      <c r="Z46" s="166" t="s">
        <v>73</v>
      </c>
      <c r="AA46" s="166" t="s">
        <v>73</v>
      </c>
      <c r="AB46" s="166" t="s">
        <v>73</v>
      </c>
      <c r="AC46" s="166" t="s">
        <v>73</v>
      </c>
      <c r="AD46" s="166" t="s">
        <v>73</v>
      </c>
      <c r="AE46" s="166" t="s">
        <v>73</v>
      </c>
      <c r="AF46" s="166" t="s">
        <v>73</v>
      </c>
      <c r="AG46" s="166" t="s">
        <v>73</v>
      </c>
      <c r="AH46" s="166" t="s">
        <v>73</v>
      </c>
      <c r="AI46" s="166">
        <v>0.60433115552581773</v>
      </c>
      <c r="AJ46" s="166">
        <v>0.6041693581763844</v>
      </c>
      <c r="AK46" s="166">
        <v>0.42299999999999999</v>
      </c>
      <c r="AL46" s="107">
        <v>0.42299999999999999</v>
      </c>
      <c r="AM46" s="107">
        <v>0.42319972328197319</v>
      </c>
      <c r="AN46" s="107">
        <v>0.42669229187278079</v>
      </c>
      <c r="AO46" s="107" t="s">
        <v>73</v>
      </c>
      <c r="AP46" s="107" t="s">
        <v>73</v>
      </c>
      <c r="AQ46" s="107" t="s">
        <v>73</v>
      </c>
      <c r="AR46" s="107" t="s">
        <v>73</v>
      </c>
      <c r="AS46" s="107" t="s">
        <v>73</v>
      </c>
      <c r="AT46" s="107" t="s">
        <v>73</v>
      </c>
      <c r="AU46" s="107" t="s">
        <v>73</v>
      </c>
      <c r="AV46" s="107" t="s">
        <v>73</v>
      </c>
      <c r="AW46" s="107" t="s">
        <v>73</v>
      </c>
      <c r="AX46" s="107" t="s">
        <v>73</v>
      </c>
      <c r="AY46" s="107" t="s">
        <v>73</v>
      </c>
      <c r="AZ46" s="107" t="s">
        <v>73</v>
      </c>
      <c r="BA46" s="107" t="s">
        <v>73</v>
      </c>
      <c r="BB46" s="107" t="s">
        <v>73</v>
      </c>
      <c r="BC46" s="107" t="s">
        <v>73</v>
      </c>
      <c r="BD46" s="107" t="s">
        <v>73</v>
      </c>
      <c r="BE46" s="107" t="s">
        <v>73</v>
      </c>
      <c r="BF46" s="107" t="s">
        <v>73</v>
      </c>
      <c r="BG46" s="107" t="s">
        <v>73</v>
      </c>
      <c r="BH46" s="107" t="s">
        <v>73</v>
      </c>
      <c r="BI46" s="107" t="s">
        <v>73</v>
      </c>
      <c r="BJ46" s="107" t="s">
        <v>73</v>
      </c>
      <c r="BK46" s="107" t="s">
        <v>73</v>
      </c>
      <c r="BL46" s="107" t="s">
        <v>73</v>
      </c>
      <c r="BM46" s="107" t="s">
        <v>73</v>
      </c>
      <c r="BN46" s="107" t="s">
        <v>73</v>
      </c>
      <c r="BO46" s="107" t="s">
        <v>73</v>
      </c>
      <c r="BP46" s="107" t="s">
        <v>73</v>
      </c>
      <c r="BQ46" s="107" t="s">
        <v>73</v>
      </c>
      <c r="BR46" s="107" t="s">
        <v>73</v>
      </c>
      <c r="BS46" s="107" t="s">
        <v>73</v>
      </c>
      <c r="BT46" s="107" t="s">
        <v>73</v>
      </c>
    </row>
    <row r="47" spans="1:72" hidden="1" outlineLevel="1" x14ac:dyDescent="0.3">
      <c r="B47" s="141" t="s">
        <v>271</v>
      </c>
      <c r="C47" s="166" t="s">
        <v>73</v>
      </c>
      <c r="D47" s="166" t="s">
        <v>73</v>
      </c>
      <c r="E47" s="166" t="s">
        <v>73</v>
      </c>
      <c r="F47" s="166" t="s">
        <v>73</v>
      </c>
      <c r="G47" s="166" t="s">
        <v>73</v>
      </c>
      <c r="H47" s="166" t="s">
        <v>73</v>
      </c>
      <c r="I47" s="166" t="s">
        <v>73</v>
      </c>
      <c r="J47" s="166" t="s">
        <v>73</v>
      </c>
      <c r="K47" s="166" t="s">
        <v>73</v>
      </c>
      <c r="L47" s="166" t="s">
        <v>73</v>
      </c>
      <c r="M47" s="166" t="s">
        <v>73</v>
      </c>
      <c r="N47" s="166" t="s">
        <v>73</v>
      </c>
      <c r="O47" s="166" t="s">
        <v>73</v>
      </c>
      <c r="P47" s="166" t="s">
        <v>73</v>
      </c>
      <c r="Q47" s="166" t="s">
        <v>73</v>
      </c>
      <c r="R47" s="166" t="s">
        <v>73</v>
      </c>
      <c r="S47" s="166" t="s">
        <v>73</v>
      </c>
      <c r="T47" s="166" t="s">
        <v>73</v>
      </c>
      <c r="U47" s="166" t="s">
        <v>73</v>
      </c>
      <c r="V47" s="166" t="s">
        <v>73</v>
      </c>
      <c r="W47" s="166" t="s">
        <v>73</v>
      </c>
      <c r="X47" s="166" t="s">
        <v>73</v>
      </c>
      <c r="Y47" s="166" t="s">
        <v>73</v>
      </c>
      <c r="Z47" s="166" t="s">
        <v>73</v>
      </c>
      <c r="AA47" s="166" t="s">
        <v>73</v>
      </c>
      <c r="AB47" s="166" t="s">
        <v>73</v>
      </c>
      <c r="AC47" s="166" t="s">
        <v>73</v>
      </c>
      <c r="AD47" s="166" t="s">
        <v>73</v>
      </c>
      <c r="AE47" s="166" t="s">
        <v>73</v>
      </c>
      <c r="AF47" s="166" t="s">
        <v>73</v>
      </c>
      <c r="AG47" s="166" t="s">
        <v>73</v>
      </c>
      <c r="AH47" s="166" t="s">
        <v>73</v>
      </c>
      <c r="AI47" s="166">
        <v>0.58095659585628112</v>
      </c>
      <c r="AJ47" s="166">
        <v>0.58818318908995537</v>
      </c>
      <c r="AK47" s="166">
        <v>0.57799999999999996</v>
      </c>
      <c r="AL47" s="107">
        <v>0.57799999999999996</v>
      </c>
      <c r="AM47" s="107">
        <v>0.57822579314668476</v>
      </c>
      <c r="AN47" s="107">
        <v>0.58095659585628112</v>
      </c>
      <c r="AO47" s="107" t="s">
        <v>73</v>
      </c>
      <c r="AP47" s="107" t="s">
        <v>73</v>
      </c>
      <c r="AQ47" s="107" t="s">
        <v>73</v>
      </c>
      <c r="AR47" s="107" t="s">
        <v>73</v>
      </c>
      <c r="AS47" s="107" t="s">
        <v>73</v>
      </c>
      <c r="AT47" s="107" t="s">
        <v>73</v>
      </c>
      <c r="AU47" s="107" t="s">
        <v>73</v>
      </c>
      <c r="AV47" s="107" t="s">
        <v>73</v>
      </c>
      <c r="AW47" s="107" t="s">
        <v>73</v>
      </c>
      <c r="AX47" s="107" t="s">
        <v>73</v>
      </c>
      <c r="AY47" s="107" t="s">
        <v>73</v>
      </c>
      <c r="AZ47" s="107" t="s">
        <v>73</v>
      </c>
      <c r="BA47" s="107" t="s">
        <v>73</v>
      </c>
      <c r="BB47" s="107" t="s">
        <v>73</v>
      </c>
      <c r="BC47" s="107" t="s">
        <v>73</v>
      </c>
      <c r="BD47" s="107" t="s">
        <v>73</v>
      </c>
      <c r="BE47" s="107" t="s">
        <v>73</v>
      </c>
      <c r="BF47" s="107" t="s">
        <v>73</v>
      </c>
      <c r="BG47" s="107" t="s">
        <v>73</v>
      </c>
      <c r="BH47" s="107" t="s">
        <v>73</v>
      </c>
      <c r="BI47" s="107" t="s">
        <v>73</v>
      </c>
      <c r="BJ47" s="107" t="s">
        <v>73</v>
      </c>
      <c r="BK47" s="107" t="s">
        <v>73</v>
      </c>
      <c r="BL47" s="107" t="s">
        <v>73</v>
      </c>
      <c r="BM47" s="107" t="s">
        <v>73</v>
      </c>
      <c r="BN47" s="107" t="s">
        <v>73</v>
      </c>
      <c r="BO47" s="107" t="s">
        <v>73</v>
      </c>
      <c r="BP47" s="107" t="s">
        <v>73</v>
      </c>
      <c r="BQ47" s="107" t="s">
        <v>73</v>
      </c>
      <c r="BR47" s="107" t="s">
        <v>73</v>
      </c>
      <c r="BS47" s="107" t="s">
        <v>73</v>
      </c>
      <c r="BT47" s="107" t="s">
        <v>73</v>
      </c>
    </row>
    <row r="48" spans="1:72" hidden="1" outlineLevel="1" x14ac:dyDescent="0.3">
      <c r="B48" s="141" t="s">
        <v>272</v>
      </c>
      <c r="C48" s="166" t="s">
        <v>73</v>
      </c>
      <c r="D48" s="166" t="s">
        <v>73</v>
      </c>
      <c r="E48" s="166" t="s">
        <v>73</v>
      </c>
      <c r="F48" s="166" t="s">
        <v>73</v>
      </c>
      <c r="G48" s="166" t="s">
        <v>73</v>
      </c>
      <c r="H48" s="166" t="s">
        <v>73</v>
      </c>
      <c r="I48" s="166" t="s">
        <v>73</v>
      </c>
      <c r="J48" s="166" t="s">
        <v>73</v>
      </c>
      <c r="K48" s="166" t="s">
        <v>73</v>
      </c>
      <c r="L48" s="166" t="s">
        <v>73</v>
      </c>
      <c r="M48" s="166" t="s">
        <v>73</v>
      </c>
      <c r="N48" s="166" t="s">
        <v>73</v>
      </c>
      <c r="O48" s="166" t="s">
        <v>73</v>
      </c>
      <c r="P48" s="166" t="s">
        <v>73</v>
      </c>
      <c r="Q48" s="166" t="s">
        <v>73</v>
      </c>
      <c r="R48" s="166" t="s">
        <v>73</v>
      </c>
      <c r="S48" s="166" t="s">
        <v>73</v>
      </c>
      <c r="T48" s="166" t="s">
        <v>73</v>
      </c>
      <c r="U48" s="166" t="s">
        <v>73</v>
      </c>
      <c r="V48" s="166" t="s">
        <v>73</v>
      </c>
      <c r="W48" s="166" t="s">
        <v>73</v>
      </c>
      <c r="X48" s="166" t="s">
        <v>73</v>
      </c>
      <c r="Y48" s="166" t="s">
        <v>73</v>
      </c>
      <c r="Z48" s="166" t="s">
        <v>73</v>
      </c>
      <c r="AA48" s="166" t="s">
        <v>73</v>
      </c>
      <c r="AB48" s="166" t="s">
        <v>73</v>
      </c>
      <c r="AC48" s="166" t="s">
        <v>73</v>
      </c>
      <c r="AD48" s="166" t="s">
        <v>73</v>
      </c>
      <c r="AE48" s="166" t="s">
        <v>73</v>
      </c>
      <c r="AF48" s="166" t="s">
        <v>73</v>
      </c>
      <c r="AG48" s="166" t="s">
        <v>73</v>
      </c>
      <c r="AH48" s="166" t="s">
        <v>73</v>
      </c>
      <c r="AI48" s="166" t="s">
        <v>73</v>
      </c>
      <c r="AJ48" s="166">
        <v>0</v>
      </c>
      <c r="AK48" s="166">
        <v>0</v>
      </c>
      <c r="AL48" s="107">
        <v>0</v>
      </c>
      <c r="AM48" s="107">
        <v>0.35348407937240428</v>
      </c>
      <c r="AN48" s="107">
        <v>0.35391240525074857</v>
      </c>
      <c r="AO48" s="107" t="s">
        <v>73</v>
      </c>
      <c r="AP48" s="107" t="s">
        <v>73</v>
      </c>
      <c r="AQ48" s="107" t="s">
        <v>73</v>
      </c>
      <c r="AR48" s="107" t="s">
        <v>73</v>
      </c>
      <c r="AS48" s="107" t="s">
        <v>73</v>
      </c>
      <c r="AT48" s="107" t="s">
        <v>73</v>
      </c>
      <c r="AU48" s="107" t="s">
        <v>73</v>
      </c>
      <c r="AV48" s="107" t="s">
        <v>73</v>
      </c>
      <c r="AW48" s="107" t="s">
        <v>73</v>
      </c>
      <c r="AX48" s="107" t="s">
        <v>73</v>
      </c>
      <c r="AY48" s="107" t="s">
        <v>73</v>
      </c>
      <c r="AZ48" s="107" t="s">
        <v>73</v>
      </c>
      <c r="BA48" s="107" t="s">
        <v>73</v>
      </c>
      <c r="BB48" s="107" t="s">
        <v>73</v>
      </c>
      <c r="BC48" s="107" t="s">
        <v>73</v>
      </c>
      <c r="BD48" s="107" t="s">
        <v>73</v>
      </c>
      <c r="BE48" s="107" t="s">
        <v>73</v>
      </c>
      <c r="BF48" s="107" t="s">
        <v>73</v>
      </c>
      <c r="BG48" s="107" t="s">
        <v>73</v>
      </c>
      <c r="BH48" s="107" t="s">
        <v>73</v>
      </c>
      <c r="BI48" s="107" t="s">
        <v>73</v>
      </c>
      <c r="BJ48" s="107" t="s">
        <v>73</v>
      </c>
      <c r="BK48" s="107" t="s">
        <v>73</v>
      </c>
      <c r="BL48" s="107" t="s">
        <v>73</v>
      </c>
      <c r="BM48" s="107" t="s">
        <v>73</v>
      </c>
      <c r="BN48" s="107" t="s">
        <v>73</v>
      </c>
      <c r="BO48" s="107" t="s">
        <v>73</v>
      </c>
      <c r="BP48" s="107" t="s">
        <v>73</v>
      </c>
      <c r="BQ48" s="107" t="s">
        <v>73</v>
      </c>
      <c r="BR48" s="107" t="s">
        <v>73</v>
      </c>
      <c r="BS48" s="107" t="s">
        <v>73</v>
      </c>
      <c r="BT48" s="107" t="s">
        <v>73</v>
      </c>
    </row>
    <row r="49" spans="1:72" s="123" customFormat="1" collapsed="1" x14ac:dyDescent="0.3">
      <c r="A49"/>
      <c r="B49" s="140" t="str">
        <f>IF('Sumário | Summary'!P1=1,"Outros","Others")</f>
        <v>Outros</v>
      </c>
      <c r="C49" s="22" t="s">
        <v>73</v>
      </c>
      <c r="D49" s="22" t="s">
        <v>73</v>
      </c>
      <c r="E49" s="22" t="s">
        <v>73</v>
      </c>
      <c r="F49" s="22" t="s">
        <v>73</v>
      </c>
      <c r="G49" s="22" t="s">
        <v>73</v>
      </c>
      <c r="H49" s="22" t="s">
        <v>73</v>
      </c>
      <c r="I49" s="22" t="s">
        <v>73</v>
      </c>
      <c r="J49" s="22" t="s">
        <v>73</v>
      </c>
      <c r="K49" s="22" t="s">
        <v>73</v>
      </c>
      <c r="L49" s="22" t="s">
        <v>73</v>
      </c>
      <c r="M49" s="22" t="s">
        <v>73</v>
      </c>
      <c r="N49" s="22" t="s">
        <v>73</v>
      </c>
      <c r="O49" s="22" t="s">
        <v>73</v>
      </c>
      <c r="P49" s="22" t="s">
        <v>73</v>
      </c>
      <c r="Q49" s="22" t="s">
        <v>73</v>
      </c>
      <c r="R49" s="22" t="s">
        <v>73</v>
      </c>
      <c r="S49" s="22" t="s">
        <v>73</v>
      </c>
      <c r="T49" s="22" t="s">
        <v>73</v>
      </c>
      <c r="U49" s="22" t="s">
        <v>73</v>
      </c>
      <c r="V49" s="22" t="s">
        <v>73</v>
      </c>
      <c r="W49" s="22">
        <v>0.10569580638431046</v>
      </c>
      <c r="X49" s="22">
        <v>0.10719580638431046</v>
      </c>
      <c r="Y49" s="22">
        <v>0.10331733778426873</v>
      </c>
      <c r="Z49" s="22">
        <v>0.10037554767369081</v>
      </c>
      <c r="AA49" s="22">
        <v>4.0500000000000001E-2</v>
      </c>
      <c r="AB49" s="22">
        <v>3.9262187088274045E-2</v>
      </c>
      <c r="AC49" s="22">
        <v>3.9262187088274045E-2</v>
      </c>
      <c r="AD49" s="22">
        <v>3.9262187088274045E-2</v>
      </c>
      <c r="AE49" s="22">
        <v>3.9262187088274045E-2</v>
      </c>
      <c r="AF49" s="22">
        <v>3.9262187088274045E-2</v>
      </c>
      <c r="AG49" s="22">
        <v>3.5265700483091793E-2</v>
      </c>
      <c r="AH49" s="22">
        <v>3.5180722891566263E-2</v>
      </c>
      <c r="AI49" s="22">
        <v>3.5180722891566263E-2</v>
      </c>
      <c r="AJ49" s="22">
        <v>2.8696604600219056E-2</v>
      </c>
      <c r="AK49" s="22">
        <v>2.8696604600219056E-2</v>
      </c>
      <c r="AL49" s="23">
        <v>3.832523953274708E-2</v>
      </c>
      <c r="AM49" s="23">
        <v>2.1785307877101926E-2</v>
      </c>
      <c r="AN49" s="23">
        <v>4.3352836794398358E-2</v>
      </c>
      <c r="AO49" s="23">
        <v>4.8061571060468003E-2</v>
      </c>
      <c r="AP49" s="23">
        <v>4.4878815491735738E-2</v>
      </c>
      <c r="AQ49" s="23">
        <v>7.9745260498101392E-2</v>
      </c>
      <c r="AR49" s="23">
        <v>7.8109294728612916E-2</v>
      </c>
      <c r="AS49" s="23">
        <v>7.5182442902613347E-2</v>
      </c>
      <c r="AT49" s="23">
        <v>7.0470861486486486E-2</v>
      </c>
      <c r="AU49" s="23">
        <v>7.0470861486486486E-2</v>
      </c>
      <c r="AV49" s="23">
        <v>9.3418008013178469E-2</v>
      </c>
      <c r="AW49" s="23">
        <v>0.12455864816915337</v>
      </c>
      <c r="AX49" s="23">
        <v>0.12966756827501963</v>
      </c>
      <c r="AY49" s="23">
        <v>0.12966756827501963</v>
      </c>
      <c r="AZ49" s="23">
        <v>0.12966756827501963</v>
      </c>
      <c r="BA49" s="23">
        <v>0.43280022103946719</v>
      </c>
      <c r="BB49" s="23">
        <v>0.57580294040659619</v>
      </c>
      <c r="BC49" s="23">
        <v>0.58325074309385505</v>
      </c>
      <c r="BD49" s="23">
        <v>0.96271148922644867</v>
      </c>
      <c r="BE49" s="23">
        <v>0.96271148922644867</v>
      </c>
      <c r="BF49" s="23">
        <v>0.96271148922644867</v>
      </c>
      <c r="BG49" s="23">
        <v>0.96271148922644867</v>
      </c>
      <c r="BH49" s="23">
        <v>0.96271148922644867</v>
      </c>
      <c r="BI49" s="23">
        <v>0.9823864489718932</v>
      </c>
      <c r="BJ49" s="23">
        <v>0.9823864489718932</v>
      </c>
      <c r="BK49" s="23">
        <v>0.9823864489718932</v>
      </c>
      <c r="BL49" s="23">
        <v>0.98855727117463077</v>
      </c>
      <c r="BM49" s="23">
        <v>0.98859999999999992</v>
      </c>
      <c r="BN49" s="23">
        <v>0.98859999999999992</v>
      </c>
      <c r="BO49" s="23">
        <f>BO50</f>
        <v>0.98860000000000003</v>
      </c>
      <c r="BP49" s="23">
        <v>0.98856107490967826</v>
      </c>
      <c r="BQ49" s="23">
        <v>0.98856107490967837</v>
      </c>
      <c r="BR49" s="23">
        <v>1</v>
      </c>
      <c r="BS49" s="23">
        <v>1</v>
      </c>
      <c r="BT49" s="23">
        <f>BT50</f>
        <v>1</v>
      </c>
    </row>
    <row r="50" spans="1:72" hidden="1" outlineLevel="1" x14ac:dyDescent="0.3">
      <c r="A50" t="s">
        <v>274</v>
      </c>
      <c r="B50" s="141" t="s">
        <v>274</v>
      </c>
      <c r="C50" s="107" t="s">
        <v>73</v>
      </c>
      <c r="D50" s="107" t="s">
        <v>73</v>
      </c>
      <c r="E50" s="107" t="s">
        <v>73</v>
      </c>
      <c r="F50" s="107" t="s">
        <v>73</v>
      </c>
      <c r="G50" s="107" t="s">
        <v>73</v>
      </c>
      <c r="H50" s="107" t="s">
        <v>73</v>
      </c>
      <c r="I50" s="107" t="s">
        <v>73</v>
      </c>
      <c r="J50" s="107" t="s">
        <v>73</v>
      </c>
      <c r="K50" s="107" t="s">
        <v>73</v>
      </c>
      <c r="L50" s="107" t="s">
        <v>73</v>
      </c>
      <c r="M50" s="107" t="s">
        <v>73</v>
      </c>
      <c r="N50" s="107" t="s">
        <v>73</v>
      </c>
      <c r="O50" s="107" t="s">
        <v>73</v>
      </c>
      <c r="P50" s="107" t="s">
        <v>73</v>
      </c>
      <c r="Q50" s="107" t="s">
        <v>73</v>
      </c>
      <c r="R50" s="107" t="s">
        <v>73</v>
      </c>
      <c r="S50" s="107" t="s">
        <v>73</v>
      </c>
      <c r="T50" s="107" t="s">
        <v>73</v>
      </c>
      <c r="U50" s="107" t="s">
        <v>73</v>
      </c>
      <c r="V50" s="107" t="s">
        <v>73</v>
      </c>
      <c r="W50" s="107">
        <v>0.10569580638431046</v>
      </c>
      <c r="X50" s="107">
        <v>0.10719580638431046</v>
      </c>
      <c r="Y50" s="107">
        <v>0.10331733778426873</v>
      </c>
      <c r="Z50" s="107">
        <v>0.10037554767369081</v>
      </c>
      <c r="AA50" s="107">
        <v>4.0500000000000001E-2</v>
      </c>
      <c r="AB50" s="107">
        <v>3.9262187088274045E-2</v>
      </c>
      <c r="AC50" s="107">
        <v>3.9262187088274045E-2</v>
      </c>
      <c r="AD50" s="107">
        <v>3.9262187088274045E-2</v>
      </c>
      <c r="AE50" s="107">
        <v>3.9262187088274045E-2</v>
      </c>
      <c r="AF50" s="107">
        <v>3.9262187088274045E-2</v>
      </c>
      <c r="AG50" s="107">
        <v>3.5265700483091793E-2</v>
      </c>
      <c r="AH50" s="107">
        <v>3.5180722891566263E-2</v>
      </c>
      <c r="AI50" s="107">
        <v>3.5180722891566263E-2</v>
      </c>
      <c r="AJ50" s="107">
        <v>2.8696604600219056E-2</v>
      </c>
      <c r="AK50" s="107">
        <v>2.8696604600219056E-2</v>
      </c>
      <c r="AL50" s="107">
        <v>3.832523953274708E-2</v>
      </c>
      <c r="AM50" s="107">
        <v>2.1785307877101926E-2</v>
      </c>
      <c r="AN50" s="107">
        <v>4.3352836794398358E-2</v>
      </c>
      <c r="AO50" s="107">
        <v>4.8061571060468003E-2</v>
      </c>
      <c r="AP50" s="107">
        <v>4.4878815491735738E-2</v>
      </c>
      <c r="AQ50" s="107">
        <v>7.9745260498101392E-2</v>
      </c>
      <c r="AR50" s="107">
        <v>7.8109294728612916E-2</v>
      </c>
      <c r="AS50" s="107">
        <v>7.5182442902613347E-2</v>
      </c>
      <c r="AT50" s="107">
        <v>7.0470861486486486E-2</v>
      </c>
      <c r="AU50" s="107">
        <v>7.0470861486486486E-2</v>
      </c>
      <c r="AV50" s="107">
        <v>9.3418008013178469E-2</v>
      </c>
      <c r="AW50" s="107">
        <v>0.12455864816915337</v>
      </c>
      <c r="AX50" s="107">
        <v>0.12966756827501963</v>
      </c>
      <c r="AY50" s="107">
        <v>0.12966756827501963</v>
      </c>
      <c r="AZ50" s="107">
        <v>0.12966756827501963</v>
      </c>
      <c r="BA50" s="107">
        <v>0.43280022103946719</v>
      </c>
      <c r="BB50" s="107">
        <v>0.57580294040659619</v>
      </c>
      <c r="BC50" s="107">
        <v>0.58325074309385505</v>
      </c>
      <c r="BD50" s="107">
        <v>0.96271148922644867</v>
      </c>
      <c r="BE50" s="107">
        <v>0.96271148922644867</v>
      </c>
      <c r="BF50" s="107">
        <v>0.96271148922644867</v>
      </c>
      <c r="BG50" s="107">
        <v>0.96271148922644867</v>
      </c>
      <c r="BH50" s="107">
        <v>0.96271148922644867</v>
      </c>
      <c r="BI50" s="107">
        <v>0.9823864489718932</v>
      </c>
      <c r="BJ50" s="107">
        <v>0.9823864489718932</v>
      </c>
      <c r="BK50" s="107">
        <v>0.9823864489718932</v>
      </c>
      <c r="BL50" s="107">
        <v>0.98855727117463077</v>
      </c>
      <c r="BM50" s="107">
        <v>0.98859999999999992</v>
      </c>
      <c r="BN50" s="107">
        <v>0.98859999999999992</v>
      </c>
      <c r="BO50" s="107">
        <v>0.98860000000000003</v>
      </c>
      <c r="BP50" s="107">
        <v>0.98856107490967826</v>
      </c>
      <c r="BQ50" s="107">
        <v>0.98856107490967837</v>
      </c>
      <c r="BR50" s="107">
        <v>1</v>
      </c>
      <c r="BS50" s="107">
        <v>1</v>
      </c>
      <c r="BT50" s="107">
        <v>1</v>
      </c>
    </row>
    <row r="51" spans="1:72" s="123" customFormat="1" collapsed="1" x14ac:dyDescent="0.3">
      <c r="B51" s="167" t="s">
        <v>275</v>
      </c>
      <c r="C51" s="22">
        <v>3.3000000000000002E-2</v>
      </c>
      <c r="D51" s="22">
        <v>1.0999999999999999E-2</v>
      </c>
      <c r="E51" s="22">
        <v>8.9999999999999993E-3</v>
      </c>
      <c r="F51" s="22">
        <v>8.9999999999999993E-3</v>
      </c>
      <c r="G51" s="22">
        <v>4.0300000000000002E-2</v>
      </c>
      <c r="H51" s="22">
        <v>0.114</v>
      </c>
      <c r="I51" s="22">
        <v>3.1E-2</v>
      </c>
      <c r="J51" s="22">
        <v>0.02</v>
      </c>
      <c r="K51" s="22">
        <v>1.4999999999999999E-2</v>
      </c>
      <c r="L51" s="22">
        <v>3.3000000000000002E-2</v>
      </c>
      <c r="M51" s="22">
        <v>8.0000000000000002E-3</v>
      </c>
      <c r="N51" s="22">
        <v>8.9999999999999993E-3</v>
      </c>
      <c r="O51" s="22">
        <v>5.0000000000000001E-3</v>
      </c>
      <c r="P51" s="22">
        <v>5.0000000000000001E-3</v>
      </c>
      <c r="Q51" s="22">
        <v>2E-3</v>
      </c>
      <c r="R51" s="22">
        <v>8.0000000000000002E-3</v>
      </c>
      <c r="S51" s="22">
        <v>8.0000000000000002E-3</v>
      </c>
      <c r="T51" s="22">
        <v>8.9999999999999993E-3</v>
      </c>
      <c r="U51" s="22">
        <v>5.0000000000000001E-3</v>
      </c>
      <c r="V51" s="22">
        <v>5.0000000000000001E-3</v>
      </c>
      <c r="W51" s="22">
        <v>0.02</v>
      </c>
      <c r="X51" s="22">
        <v>6.3E-2</v>
      </c>
      <c r="Y51" s="22">
        <v>6.9000000000000006E-2</v>
      </c>
      <c r="Z51" s="22">
        <v>0.12556853083191005</v>
      </c>
      <c r="AA51" s="22">
        <v>6.1219734941137798E-2</v>
      </c>
      <c r="AB51" s="22">
        <v>9.7468294973413458E-2</v>
      </c>
      <c r="AC51" s="22">
        <v>0.11840925018164593</v>
      </c>
      <c r="AD51" s="22">
        <v>0.113</v>
      </c>
      <c r="AE51" s="22">
        <v>0.11899999999999999</v>
      </c>
      <c r="AF51" s="22">
        <v>0.10214046831217374</v>
      </c>
      <c r="AG51" s="22">
        <v>9.2700000000000005E-2</v>
      </c>
      <c r="AH51" s="22">
        <v>8.3299999999999999E-2</v>
      </c>
      <c r="AI51" s="22">
        <v>0.10829999999999999</v>
      </c>
      <c r="AJ51" s="22">
        <v>0.13896814675056898</v>
      </c>
      <c r="AK51" s="22">
        <v>0.12986538359926098</v>
      </c>
      <c r="AL51" s="23">
        <v>0.12570000000000001</v>
      </c>
      <c r="AM51" s="23">
        <v>0.18841134137987495</v>
      </c>
      <c r="AN51" s="23">
        <v>0.19919878485438058</v>
      </c>
      <c r="AO51" s="23">
        <v>0.13969082591298365</v>
      </c>
      <c r="AP51" s="23">
        <v>0.12798374396630768</v>
      </c>
      <c r="AQ51" s="23">
        <v>0.14066293853407189</v>
      </c>
      <c r="AR51" s="23">
        <v>9.1158023678169803E-2</v>
      </c>
      <c r="AS51" s="23">
        <v>8.2276295401970137E-2</v>
      </c>
      <c r="AT51" s="23">
        <v>7.3910892516731413E-2</v>
      </c>
      <c r="AU51" s="23">
        <v>7.8031559507371451E-2</v>
      </c>
      <c r="AV51" s="23">
        <v>0.11504349466187663</v>
      </c>
      <c r="AW51" s="23">
        <v>8.9913723371832774E-2</v>
      </c>
      <c r="AX51" s="23">
        <v>8.5730160160020288E-2</v>
      </c>
      <c r="AY51" s="23">
        <v>8.5631522603020885E-2</v>
      </c>
      <c r="AZ51" s="23">
        <v>9.7768079708404829E-2</v>
      </c>
      <c r="BA51" s="23">
        <v>0.12013102276690021</v>
      </c>
      <c r="BB51" s="23">
        <v>0.13997683906110833</v>
      </c>
      <c r="BC51" s="23">
        <v>0.15468399002268268</v>
      </c>
      <c r="BD51" s="23">
        <v>0.18443647147504</v>
      </c>
      <c r="BE51" s="23">
        <v>0.16359290871578283</v>
      </c>
      <c r="BF51" s="23">
        <v>0.17536671022920311</v>
      </c>
      <c r="BG51" s="23">
        <v>0.17648281108777203</v>
      </c>
      <c r="BH51" s="23">
        <v>0.17363577221224027</v>
      </c>
      <c r="BI51" s="23">
        <v>0.17622319694026786</v>
      </c>
      <c r="BJ51" s="23">
        <v>0.1639680007070986</v>
      </c>
      <c r="BK51" s="23">
        <v>0.17218495574344458</v>
      </c>
      <c r="BL51" s="23">
        <v>0.18118759310236873</v>
      </c>
      <c r="BM51" s="23">
        <v>0.17467973561574224</v>
      </c>
      <c r="BN51" s="23">
        <v>0.17233776561736111</v>
      </c>
      <c r="BO51" s="23">
        <v>0.19463805630629397</v>
      </c>
      <c r="BP51" s="23">
        <v>0.33376851522273021</v>
      </c>
      <c r="BQ51" s="23">
        <v>0.3429691787510451</v>
      </c>
      <c r="BR51" s="23">
        <v>0.33104685534160405</v>
      </c>
      <c r="BS51" s="23">
        <v>0.30425429135825721</v>
      </c>
      <c r="BT51" s="23">
        <v>0.29986848730840582</v>
      </c>
    </row>
    <row r="52" spans="1:72" s="123" customFormat="1" x14ac:dyDescent="0.3">
      <c r="B52" s="167" t="s">
        <v>328</v>
      </c>
      <c r="C52" s="22">
        <v>3.3000000000000002E-2</v>
      </c>
      <c r="D52" s="22">
        <v>1.0999999999999999E-2</v>
      </c>
      <c r="E52" s="22">
        <v>8.9999999999999993E-3</v>
      </c>
      <c r="F52" s="22">
        <v>8.9999999999999993E-3</v>
      </c>
      <c r="G52" s="22">
        <v>4.0300000000000002E-2</v>
      </c>
      <c r="H52" s="22">
        <v>0.114</v>
      </c>
      <c r="I52" s="22">
        <v>3.1E-2</v>
      </c>
      <c r="J52" s="22">
        <v>0.02</v>
      </c>
      <c r="K52" s="22">
        <v>1.4999999999999999E-2</v>
      </c>
      <c r="L52" s="22">
        <v>3.3000000000000002E-2</v>
      </c>
      <c r="M52" s="22">
        <v>8.0000000000000002E-3</v>
      </c>
      <c r="N52" s="22">
        <v>8.9999999999999993E-3</v>
      </c>
      <c r="O52" s="22">
        <v>5.0000000000000001E-3</v>
      </c>
      <c r="P52" s="22">
        <v>5.0000000000000001E-3</v>
      </c>
      <c r="Q52" s="22">
        <v>2E-3</v>
      </c>
      <c r="R52" s="22">
        <v>8.0000000000000002E-3</v>
      </c>
      <c r="S52" s="22">
        <v>8.0000000000000002E-3</v>
      </c>
      <c r="T52" s="22">
        <v>8.9999999999999993E-3</v>
      </c>
      <c r="U52" s="22">
        <v>5.0000000000000001E-3</v>
      </c>
      <c r="V52" s="22">
        <v>5.0000000000000001E-3</v>
      </c>
      <c r="W52" s="22">
        <v>1.2779416294174329E-2</v>
      </c>
      <c r="X52" s="22">
        <v>5.828609695952422E-2</v>
      </c>
      <c r="Y52" s="22">
        <v>6.5451604062153265E-2</v>
      </c>
      <c r="Z52" s="22">
        <v>0.12755632461215388</v>
      </c>
      <c r="AA52" s="22">
        <v>6.2785459077240341E-2</v>
      </c>
      <c r="AB52" s="22">
        <v>0.10147630288166479</v>
      </c>
      <c r="AC52" s="22">
        <v>0.12333966534831874</v>
      </c>
      <c r="AD52" s="22">
        <v>0.11770112661746988</v>
      </c>
      <c r="AE52" s="22">
        <v>0.12413634415880317</v>
      </c>
      <c r="AF52" s="22">
        <v>0.1059180497054597</v>
      </c>
      <c r="AG52" s="22">
        <v>9.5241090773156248E-2</v>
      </c>
      <c r="AH52" s="22">
        <v>8.5556961884625346E-2</v>
      </c>
      <c r="AI52" s="22">
        <v>0.11141268814802745</v>
      </c>
      <c r="AJ52" s="22">
        <v>0.14327752236305741</v>
      </c>
      <c r="AK52" s="22">
        <v>0.1339439899119402</v>
      </c>
      <c r="AL52" s="23">
        <v>0.12925218336625413</v>
      </c>
      <c r="AM52" s="23">
        <v>0.20244192261166161</v>
      </c>
      <c r="AN52" s="23">
        <v>0.21426942497675283</v>
      </c>
      <c r="AO52" s="23">
        <v>0.14898738203984419</v>
      </c>
      <c r="AP52" s="23">
        <v>0.13637553296570548</v>
      </c>
      <c r="AQ52" s="23">
        <v>0.14713043876648702</v>
      </c>
      <c r="AR52" s="23">
        <v>9.2537450554728284E-2</v>
      </c>
      <c r="AS52" s="23">
        <v>8.3026522886750942E-2</v>
      </c>
      <c r="AT52" s="23">
        <v>7.4274588095554206E-2</v>
      </c>
      <c r="AU52" s="23">
        <v>7.8652847547112145E-2</v>
      </c>
      <c r="AV52" s="23">
        <v>0.11672612477674894</v>
      </c>
      <c r="AW52" s="23">
        <v>8.7894437284059421E-2</v>
      </c>
      <c r="AX52" s="23">
        <v>8.3250975194390162E-2</v>
      </c>
      <c r="AY52" s="23">
        <v>8.3146959604271931E-2</v>
      </c>
      <c r="AZ52" s="23">
        <v>9.5974930753262896E-2</v>
      </c>
      <c r="BA52" s="23">
        <v>0.10247658841187028</v>
      </c>
      <c r="BB52" s="23">
        <v>0.10730172862438529</v>
      </c>
      <c r="BC52" s="23">
        <v>0.1225672109869179</v>
      </c>
      <c r="BD52" s="23">
        <v>0.12212777052193236</v>
      </c>
      <c r="BE52" s="23">
        <v>0.10367283729360041</v>
      </c>
      <c r="BF52" s="23">
        <v>9.513086957240037E-2</v>
      </c>
      <c r="BG52" s="23">
        <v>9.6599584098636268E-2</v>
      </c>
      <c r="BH52" s="23">
        <v>9.3472456137223686E-2</v>
      </c>
      <c r="BI52" s="23">
        <v>8.6853475094694613E-2</v>
      </c>
      <c r="BJ52" s="23">
        <v>7.3251388421217256E-2</v>
      </c>
      <c r="BK52" s="23">
        <v>7.6739359972764987E-2</v>
      </c>
      <c r="BL52" s="23">
        <v>8.1283854340527664E-2</v>
      </c>
      <c r="BM52" s="23">
        <v>7.4042372075551477E-2</v>
      </c>
      <c r="BN52" s="23">
        <v>9.1747000645450813E-2</v>
      </c>
      <c r="BO52" s="23">
        <v>9.3412993442355527E-2</v>
      </c>
      <c r="BP52" s="23">
        <v>0.13302570750590217</v>
      </c>
      <c r="BQ52" s="23">
        <v>0.14197661329487421</v>
      </c>
      <c r="BR52" s="23">
        <v>0.12303094299098434</v>
      </c>
      <c r="BS52" s="23">
        <v>8.0946225112561873E-2</v>
      </c>
      <c r="BT52" s="23">
        <v>7.1731432423678923E-2</v>
      </c>
    </row>
    <row r="54" spans="1:72" ht="18.75" customHeight="1" x14ac:dyDescent="0.3">
      <c r="B54" s="168" t="str">
        <f>IF('Sumário | Summary'!P1=1,"Vacância Financeira","Financial Vacancy")</f>
        <v>Vacância Financeira</v>
      </c>
      <c r="C54" s="128" t="str">
        <f t="shared" ref="C54:BM54" si="0">C5</f>
        <v>1T08</v>
      </c>
      <c r="D54" s="128" t="str">
        <f t="shared" si="0"/>
        <v>2T08</v>
      </c>
      <c r="E54" s="128" t="str">
        <f t="shared" si="0"/>
        <v>3T08</v>
      </c>
      <c r="F54" s="128" t="str">
        <f t="shared" si="0"/>
        <v>4T08</v>
      </c>
      <c r="G54" s="128" t="str">
        <f t="shared" si="0"/>
        <v>1T09</v>
      </c>
      <c r="H54" s="128" t="str">
        <f t="shared" si="0"/>
        <v>2T09</v>
      </c>
      <c r="I54" s="128" t="str">
        <f t="shared" si="0"/>
        <v>3T09</v>
      </c>
      <c r="J54" s="128" t="str">
        <f t="shared" si="0"/>
        <v>4T09</v>
      </c>
      <c r="K54" s="128" t="str">
        <f t="shared" si="0"/>
        <v>1T10</v>
      </c>
      <c r="L54" s="128" t="str">
        <f t="shared" si="0"/>
        <v>2T10</v>
      </c>
      <c r="M54" s="128" t="str">
        <f t="shared" si="0"/>
        <v>3T10</v>
      </c>
      <c r="N54" s="128" t="str">
        <f t="shared" si="0"/>
        <v>4T10</v>
      </c>
      <c r="O54" s="128" t="str">
        <f t="shared" si="0"/>
        <v>1T11</v>
      </c>
      <c r="P54" s="128" t="str">
        <f t="shared" si="0"/>
        <v>2T11</v>
      </c>
      <c r="Q54" s="128" t="str">
        <f t="shared" si="0"/>
        <v>3T11</v>
      </c>
      <c r="R54" s="128" t="str">
        <f t="shared" si="0"/>
        <v>4T11</v>
      </c>
      <c r="S54" s="128" t="str">
        <f t="shared" si="0"/>
        <v>1T12</v>
      </c>
      <c r="T54" s="128" t="str">
        <f t="shared" si="0"/>
        <v>2T12</v>
      </c>
      <c r="U54" s="128" t="str">
        <f t="shared" si="0"/>
        <v>3T12</v>
      </c>
      <c r="V54" s="128" t="str">
        <f t="shared" si="0"/>
        <v>4T12</v>
      </c>
      <c r="W54" s="128" t="str">
        <f t="shared" si="0"/>
        <v>1T13</v>
      </c>
      <c r="X54" s="128" t="str">
        <f t="shared" si="0"/>
        <v>2T13</v>
      </c>
      <c r="Y54" s="128" t="str">
        <f t="shared" si="0"/>
        <v>3T13</v>
      </c>
      <c r="Z54" s="128" t="str">
        <f t="shared" si="0"/>
        <v>4T13</v>
      </c>
      <c r="AA54" s="128" t="str">
        <f t="shared" si="0"/>
        <v>1T14</v>
      </c>
      <c r="AB54" s="128" t="str">
        <f t="shared" si="0"/>
        <v>2T14</v>
      </c>
      <c r="AC54" s="128" t="str">
        <f t="shared" si="0"/>
        <v>3T14</v>
      </c>
      <c r="AD54" s="128" t="str">
        <f t="shared" si="0"/>
        <v>4T14</v>
      </c>
      <c r="AE54" s="128" t="str">
        <f t="shared" si="0"/>
        <v>1T15</v>
      </c>
      <c r="AF54" s="128" t="str">
        <f t="shared" si="0"/>
        <v>2T15</v>
      </c>
      <c r="AG54" s="128" t="str">
        <f t="shared" si="0"/>
        <v>3T15</v>
      </c>
      <c r="AH54" s="128" t="str">
        <f t="shared" si="0"/>
        <v>4T15</v>
      </c>
      <c r="AI54" s="128" t="str">
        <f t="shared" si="0"/>
        <v>1T16</v>
      </c>
      <c r="AJ54" s="128" t="str">
        <f t="shared" si="0"/>
        <v>2T16</v>
      </c>
      <c r="AK54" s="128" t="str">
        <f t="shared" si="0"/>
        <v>3T16</v>
      </c>
      <c r="AL54" s="128" t="str">
        <f t="shared" si="0"/>
        <v>4T16</v>
      </c>
      <c r="AM54" s="128" t="str">
        <f t="shared" si="0"/>
        <v>1T17</v>
      </c>
      <c r="AN54" s="128" t="str">
        <f t="shared" si="0"/>
        <v>2T17</v>
      </c>
      <c r="AO54" s="128" t="str">
        <f t="shared" si="0"/>
        <v>3T17</v>
      </c>
      <c r="AP54" s="128" t="str">
        <f t="shared" si="0"/>
        <v>4T17</v>
      </c>
      <c r="AQ54" s="128" t="str">
        <f t="shared" si="0"/>
        <v>1T18</v>
      </c>
      <c r="AR54" s="128" t="str">
        <f t="shared" si="0"/>
        <v>2T18</v>
      </c>
      <c r="AS54" s="128" t="str">
        <f t="shared" si="0"/>
        <v>3T18</v>
      </c>
      <c r="AT54" s="128" t="str">
        <f t="shared" si="0"/>
        <v>4T18</v>
      </c>
      <c r="AU54" s="128" t="str">
        <f t="shared" si="0"/>
        <v>1T19</v>
      </c>
      <c r="AV54" s="128" t="str">
        <f t="shared" si="0"/>
        <v>2T19</v>
      </c>
      <c r="AW54" s="128" t="str">
        <f t="shared" si="0"/>
        <v>3T19</v>
      </c>
      <c r="AX54" s="128" t="str">
        <f t="shared" si="0"/>
        <v>4T19</v>
      </c>
      <c r="AY54" s="128" t="str">
        <f t="shared" si="0"/>
        <v>1T20</v>
      </c>
      <c r="AZ54" s="128" t="str">
        <f t="shared" si="0"/>
        <v>2T20</v>
      </c>
      <c r="BA54" s="128" t="str">
        <f t="shared" si="0"/>
        <v>3T20</v>
      </c>
      <c r="BB54" s="128" t="str">
        <f t="shared" si="0"/>
        <v>4T20</v>
      </c>
      <c r="BC54" s="128" t="str">
        <f t="shared" si="0"/>
        <v>1T21</v>
      </c>
      <c r="BD54" s="128" t="str">
        <f t="shared" si="0"/>
        <v>2T21</v>
      </c>
      <c r="BE54" s="128" t="str">
        <f t="shared" si="0"/>
        <v>3T21</v>
      </c>
      <c r="BF54" s="128" t="str">
        <f t="shared" si="0"/>
        <v>4T21</v>
      </c>
      <c r="BG54" s="128" t="str">
        <f t="shared" si="0"/>
        <v>1T22</v>
      </c>
      <c r="BH54" s="128" t="str">
        <f t="shared" si="0"/>
        <v>2T22</v>
      </c>
      <c r="BI54" s="128" t="str">
        <f t="shared" si="0"/>
        <v>3T22</v>
      </c>
      <c r="BJ54" s="128" t="str">
        <f t="shared" si="0"/>
        <v>4T22</v>
      </c>
      <c r="BK54" s="128" t="str">
        <f t="shared" si="0"/>
        <v>1T23</v>
      </c>
      <c r="BL54" s="128" t="str">
        <f t="shared" si="0"/>
        <v>2T23</v>
      </c>
      <c r="BM54" s="128" t="str">
        <f t="shared" si="0"/>
        <v>3T23</v>
      </c>
      <c r="BN54" s="128" t="s">
        <v>50</v>
      </c>
      <c r="BO54" s="128" t="str">
        <f t="shared" ref="BO54" si="1">BO5</f>
        <v>1T24</v>
      </c>
      <c r="BP54" s="128" t="s">
        <v>53</v>
      </c>
      <c r="BQ54" s="128" t="s">
        <v>54</v>
      </c>
      <c r="BR54" s="128" t="s">
        <v>55</v>
      </c>
      <c r="BS54" s="128" t="s">
        <v>56</v>
      </c>
      <c r="BT54" s="128" t="str">
        <f>BT5</f>
        <v>2T25</v>
      </c>
    </row>
    <row r="55" spans="1:72" ht="15" customHeight="1" x14ac:dyDescent="0.3">
      <c r="B55" s="169" t="str">
        <f>IF('Sumário | Summary'!P1=1,"Escritórios","Offices")</f>
        <v>Escritórios</v>
      </c>
      <c r="C55" s="107">
        <v>4.4999999999999998E-2</v>
      </c>
      <c r="D55" s="107">
        <v>4.1000000000000003E-3</v>
      </c>
      <c r="E55" s="107">
        <v>0</v>
      </c>
      <c r="F55" s="107">
        <v>0</v>
      </c>
      <c r="G55" s="107">
        <v>7.7799999999999994E-2</v>
      </c>
      <c r="H55" s="107">
        <v>6.2E-2</v>
      </c>
      <c r="I55" s="107">
        <v>3.5000000000000003E-2</v>
      </c>
      <c r="J55" s="107">
        <v>0</v>
      </c>
      <c r="K55" s="107">
        <v>0</v>
      </c>
      <c r="L55" s="107">
        <v>1.6E-2</v>
      </c>
      <c r="M55" s="107">
        <v>4.0000000000000001E-3</v>
      </c>
      <c r="N55" s="107">
        <v>5.0000000000000001E-3</v>
      </c>
      <c r="O55" s="107">
        <v>1E-3</v>
      </c>
      <c r="P55" s="107">
        <v>0</v>
      </c>
      <c r="Q55" s="107">
        <v>0</v>
      </c>
      <c r="R55" s="107">
        <v>8.0000000000000002E-3</v>
      </c>
      <c r="S55" s="107">
        <v>8.0000000000000002E-3</v>
      </c>
      <c r="T55" s="107">
        <v>0</v>
      </c>
      <c r="U55" s="107">
        <v>0</v>
      </c>
      <c r="V55" s="107">
        <v>0</v>
      </c>
      <c r="W55" s="107">
        <v>1.4999999999999999E-2</v>
      </c>
      <c r="X55" s="107">
        <v>3.5000000000000003E-2</v>
      </c>
      <c r="Y55" s="107">
        <v>5.8999999999999997E-2</v>
      </c>
      <c r="Z55" s="107">
        <v>8.9117645132304912E-2</v>
      </c>
      <c r="AA55" s="107">
        <v>9.0309475775272943E-2</v>
      </c>
      <c r="AB55" s="107">
        <v>8.5714394862238877E-2</v>
      </c>
      <c r="AC55" s="107">
        <v>0.17745358154257757</v>
      </c>
      <c r="AD55" s="107">
        <v>0.19095473311035915</v>
      </c>
      <c r="AE55" s="107">
        <v>0.18999999999999995</v>
      </c>
      <c r="AF55" s="107">
        <v>0.12055890796120743</v>
      </c>
      <c r="AG55" s="107">
        <v>0.13900000000000001</v>
      </c>
      <c r="AH55" s="107">
        <v>0.12065710473930097</v>
      </c>
      <c r="AI55" s="107">
        <v>0.10435894500043739</v>
      </c>
      <c r="AJ55" s="107">
        <v>8.9058154457241537E-2</v>
      </c>
      <c r="AK55" s="107">
        <v>9.8000000000000004E-2</v>
      </c>
      <c r="AL55" s="107">
        <v>7.85E-2</v>
      </c>
      <c r="AM55" s="107">
        <v>8.8955806219252892E-2</v>
      </c>
      <c r="AN55" s="107">
        <v>0.14030687808261832</v>
      </c>
      <c r="AO55" s="107">
        <v>0.12934974345115938</v>
      </c>
      <c r="AP55" s="107">
        <v>9.7225394273738247E-2</v>
      </c>
      <c r="AQ55" s="107">
        <v>0.10686714766740579</v>
      </c>
      <c r="AR55" s="107">
        <v>0.11757226025262631</v>
      </c>
      <c r="AS55" s="107">
        <v>0.10917272272778129</v>
      </c>
      <c r="AT55" s="107">
        <v>7.6415234208248611E-2</v>
      </c>
      <c r="AU55" s="107">
        <v>9.2870004030162975E-2</v>
      </c>
      <c r="AV55" s="107">
        <v>0.12780347545447332</v>
      </c>
      <c r="AW55" s="107">
        <v>8.6882588842252875E-2</v>
      </c>
      <c r="AX55" s="107">
        <v>7.9241272075188413E-2</v>
      </c>
      <c r="AY55" s="107">
        <v>6.9361707757443311E-2</v>
      </c>
      <c r="AZ55" s="107">
        <v>8.2949022061524227E-2</v>
      </c>
      <c r="BA55" s="107">
        <v>8.6332357786817457E-2</v>
      </c>
      <c r="BB55" s="107">
        <v>0.13347778942707725</v>
      </c>
      <c r="BC55" s="107">
        <v>0.13681590862299295</v>
      </c>
      <c r="BD55" s="107">
        <v>0.10286598450309624</v>
      </c>
      <c r="BE55" s="107">
        <v>7.3696579186237426E-2</v>
      </c>
      <c r="BF55" s="107">
        <v>0.12623175146465931</v>
      </c>
      <c r="BG55" s="107">
        <v>0.13843986964698626</v>
      </c>
      <c r="BH55" s="107">
        <v>0.12470021849280989</v>
      </c>
      <c r="BI55" s="107">
        <v>0.12393785072366624</v>
      </c>
      <c r="BJ55" s="107">
        <v>0.11117323323530064</v>
      </c>
      <c r="BK55" s="107">
        <v>0.11850927714936853</v>
      </c>
      <c r="BL55" s="107">
        <v>0.11821010950843912</v>
      </c>
      <c r="BM55" s="107">
        <v>0.13014746097691066</v>
      </c>
      <c r="BN55" s="107">
        <v>0.12903968729281282</v>
      </c>
      <c r="BO55" s="107">
        <v>0.11197308828371812</v>
      </c>
      <c r="BP55" s="107">
        <v>0.15596975642979891</v>
      </c>
      <c r="BQ55" s="107">
        <v>0.16084994788530982</v>
      </c>
      <c r="BR55" s="107">
        <v>0.14552459211178656</v>
      </c>
      <c r="BS55" s="107">
        <v>0.11748653587009789</v>
      </c>
      <c r="BT55" s="107">
        <v>9.3862727479598645E-2</v>
      </c>
    </row>
    <row r="56" spans="1:72" ht="15" customHeight="1" x14ac:dyDescent="0.3">
      <c r="B56" s="169" t="s">
        <v>246</v>
      </c>
      <c r="C56" s="166">
        <v>9.9000000000000005E-2</v>
      </c>
      <c r="D56" s="166">
        <v>1.89E-2</v>
      </c>
      <c r="E56" s="166">
        <v>2.98E-2</v>
      </c>
      <c r="F56" s="166">
        <v>2.87E-2</v>
      </c>
      <c r="G56" s="166">
        <v>8.3000000000000001E-3</v>
      </c>
      <c r="H56" s="166">
        <v>2E-3</v>
      </c>
      <c r="I56" s="166">
        <v>3.5000000000000003E-2</v>
      </c>
      <c r="J56" s="166">
        <v>0.04</v>
      </c>
      <c r="K56" s="166">
        <v>5.7000000000000002E-2</v>
      </c>
      <c r="L56" s="166">
        <v>5.0999999999999997E-2</v>
      </c>
      <c r="M56" s="166">
        <v>1.7999999999999999E-2</v>
      </c>
      <c r="N56" s="166">
        <v>1.7000000000000001E-2</v>
      </c>
      <c r="O56" s="166">
        <v>1.7999999999999999E-2</v>
      </c>
      <c r="P56" s="166">
        <v>2.5000000000000001E-2</v>
      </c>
      <c r="Q56" s="166">
        <v>0.01</v>
      </c>
      <c r="R56" s="166">
        <v>8.0000000000000002E-3</v>
      </c>
      <c r="S56" s="166">
        <v>0.01</v>
      </c>
      <c r="T56" s="166">
        <v>3.1E-2</v>
      </c>
      <c r="U56" s="166">
        <v>0.01</v>
      </c>
      <c r="V56" s="166">
        <v>1.4E-2</v>
      </c>
      <c r="W56" s="166">
        <v>2.1999999999999999E-2</v>
      </c>
      <c r="X56" s="166">
        <v>3.1E-2</v>
      </c>
      <c r="Y56" s="166">
        <v>1.2E-2</v>
      </c>
      <c r="Z56" s="166">
        <v>3.0380037830442672E-2</v>
      </c>
      <c r="AA56" s="166">
        <v>3.2804094717047497E-2</v>
      </c>
      <c r="AB56" s="166">
        <v>4.4770025001351355E-2</v>
      </c>
      <c r="AC56" s="166">
        <v>7.1567625418199235E-2</v>
      </c>
      <c r="AD56" s="166">
        <v>5.7395104227437009E-2</v>
      </c>
      <c r="AE56" s="166">
        <v>7.7999999999999958E-2</v>
      </c>
      <c r="AF56" s="166">
        <v>7.7994020128770311E-2</v>
      </c>
      <c r="AG56" s="166">
        <v>8.0999999999999961E-2</v>
      </c>
      <c r="AH56" s="166">
        <v>7.3408406329491388E-2</v>
      </c>
      <c r="AI56" s="166">
        <v>7.3408406329491388E-2</v>
      </c>
      <c r="AJ56" s="166">
        <v>0.10872837403974535</v>
      </c>
      <c r="AK56" s="166">
        <v>0.104</v>
      </c>
      <c r="AL56" s="166">
        <v>9.4600000000000004E-2</v>
      </c>
      <c r="AM56" s="107">
        <v>0.104</v>
      </c>
      <c r="AN56" s="107">
        <v>0.1</v>
      </c>
      <c r="AO56" s="107">
        <v>8.4000000000000005E-2</v>
      </c>
      <c r="AP56" s="107">
        <v>7.8576018400992029E-2</v>
      </c>
      <c r="AQ56" s="107">
        <v>6.5000000000000002E-2</v>
      </c>
      <c r="AR56" s="107">
        <v>5.3764232714344579E-2</v>
      </c>
      <c r="AS56" s="107">
        <v>4.937470417408886E-2</v>
      </c>
      <c r="AT56" s="107">
        <v>5.0169100283137057E-2</v>
      </c>
      <c r="AU56" s="107">
        <v>5.9557214418061284E-2</v>
      </c>
      <c r="AV56" s="107">
        <v>5.9387942504258225E-2</v>
      </c>
      <c r="AW56" s="107">
        <v>5.1813610023515463E-2</v>
      </c>
      <c r="AX56" s="107">
        <v>5.1861958420646934E-2</v>
      </c>
      <c r="AY56" s="107">
        <v>4.8121178759300845E-2</v>
      </c>
      <c r="AZ56" s="107">
        <v>6.7773604469657564E-2</v>
      </c>
      <c r="BA56" s="107">
        <v>6.6714658222133738E-2</v>
      </c>
      <c r="BB56" s="107">
        <v>6.3218127304275076E-2</v>
      </c>
      <c r="BC56" s="107">
        <v>7.8665457439970901E-2</v>
      </c>
      <c r="BD56" s="107">
        <v>9.0420310597348161E-2</v>
      </c>
      <c r="BE56" s="107">
        <v>8.0220837430828487E-2</v>
      </c>
      <c r="BF56" s="107">
        <v>7.531199283494748E-2</v>
      </c>
      <c r="BG56" s="107">
        <v>7.7346446340209513E-2</v>
      </c>
      <c r="BH56" s="107">
        <v>8.0777616621664744E-2</v>
      </c>
      <c r="BI56" s="107">
        <v>7.7862760312538221E-2</v>
      </c>
      <c r="BJ56" s="107">
        <v>5.5474109948572652E-2</v>
      </c>
      <c r="BK56" s="107">
        <v>5.5835603780564104E-2</v>
      </c>
      <c r="BL56" s="107">
        <v>6.4847688667212688E-2</v>
      </c>
      <c r="BM56" s="107">
        <v>5.7569795415734891E-2</v>
      </c>
      <c r="BN56" s="107">
        <v>5.2380854598694571E-2</v>
      </c>
      <c r="BO56" s="107">
        <v>5.8686552577581305E-2</v>
      </c>
      <c r="BP56" s="107">
        <v>4.279983165187546E-2</v>
      </c>
      <c r="BQ56" s="107">
        <v>5.0341880175580216E-2</v>
      </c>
      <c r="BR56" s="107">
        <v>4.7775401293174445E-2</v>
      </c>
      <c r="BS56" s="107">
        <v>5.0457199692729181E-2</v>
      </c>
      <c r="BT56" s="107">
        <v>4.8396023688951718E-2</v>
      </c>
    </row>
    <row r="57" spans="1:72" ht="15" customHeight="1" x14ac:dyDescent="0.3">
      <c r="B57" s="169" t="str">
        <f>IF('Sumário | Summary'!P1=1,"Galpões Logísticos","Distribution Centers")</f>
        <v>Galpões Logísticos</v>
      </c>
      <c r="C57" s="166">
        <v>0.04</v>
      </c>
      <c r="D57" s="166">
        <v>3.1E-2</v>
      </c>
      <c r="E57" s="166">
        <v>0</v>
      </c>
      <c r="F57" s="166">
        <v>0</v>
      </c>
      <c r="G57" s="166">
        <v>0</v>
      </c>
      <c r="H57" s="166">
        <v>0.39700000000000002</v>
      </c>
      <c r="I57" s="166">
        <v>0</v>
      </c>
      <c r="J57" s="166">
        <v>0</v>
      </c>
      <c r="K57" s="166">
        <v>0</v>
      </c>
      <c r="L57" s="166">
        <v>0</v>
      </c>
      <c r="M57" s="166">
        <v>0</v>
      </c>
      <c r="N57" s="166">
        <v>0</v>
      </c>
      <c r="O57" s="166">
        <v>0</v>
      </c>
      <c r="P57" s="166">
        <v>0</v>
      </c>
      <c r="Q57" s="166">
        <v>0</v>
      </c>
      <c r="R57" s="166">
        <v>0</v>
      </c>
      <c r="S57" s="166">
        <v>0</v>
      </c>
      <c r="T57" s="166">
        <v>0</v>
      </c>
      <c r="U57" s="166">
        <v>0</v>
      </c>
      <c r="V57" s="166">
        <v>0</v>
      </c>
      <c r="W57" s="166">
        <v>0</v>
      </c>
      <c r="X57" s="166">
        <v>0.151</v>
      </c>
      <c r="Y57" s="166">
        <v>0.15</v>
      </c>
      <c r="Z57" s="166">
        <v>0.29549848602541712</v>
      </c>
      <c r="AA57" s="166">
        <v>6.2945305183021785E-2</v>
      </c>
      <c r="AB57" s="166">
        <v>8.9841839016168254E-2</v>
      </c>
      <c r="AC57" s="166">
        <v>0.15043041387086348</v>
      </c>
      <c r="AD57" s="166">
        <v>0.1332527481648286</v>
      </c>
      <c r="AE57" s="166">
        <v>0.15000000000000002</v>
      </c>
      <c r="AF57" s="166">
        <v>0.16836384577139876</v>
      </c>
      <c r="AG57" s="166">
        <v>0.17299999999999993</v>
      </c>
      <c r="AH57" s="166">
        <v>0.16707708831653156</v>
      </c>
      <c r="AI57" s="166">
        <v>0.20143357046440213</v>
      </c>
      <c r="AJ57" s="166">
        <v>0.16586871997988495</v>
      </c>
      <c r="AK57" s="166">
        <v>0.153</v>
      </c>
      <c r="AL57" s="166">
        <v>0.16520000000000001</v>
      </c>
      <c r="AM57" s="107">
        <v>0.33100000000000002</v>
      </c>
      <c r="AN57" s="107">
        <v>0.316</v>
      </c>
      <c r="AO57" s="107">
        <v>1</v>
      </c>
      <c r="AP57" s="107">
        <v>1</v>
      </c>
      <c r="AQ57" s="107">
        <v>1</v>
      </c>
      <c r="AR57" s="107" t="s">
        <v>73</v>
      </c>
      <c r="AS57" s="107" t="s">
        <v>73</v>
      </c>
      <c r="AT57" s="107" t="s">
        <v>73</v>
      </c>
      <c r="AU57" s="107" t="s">
        <v>73</v>
      </c>
      <c r="AV57" s="107" t="s">
        <v>73</v>
      </c>
      <c r="AW57" s="107" t="s">
        <v>73</v>
      </c>
      <c r="AX57" s="107" t="s">
        <v>73</v>
      </c>
      <c r="AY57" s="107" t="s">
        <v>73</v>
      </c>
      <c r="AZ57" s="107" t="s">
        <v>73</v>
      </c>
      <c r="BA57" s="107" t="s">
        <v>73</v>
      </c>
      <c r="BB57" s="107" t="s">
        <v>73</v>
      </c>
      <c r="BC57" s="107" t="s">
        <v>73</v>
      </c>
      <c r="BD57" s="107" t="s">
        <v>73</v>
      </c>
      <c r="BE57" s="107" t="s">
        <v>73</v>
      </c>
      <c r="BF57" s="107" t="s">
        <v>73</v>
      </c>
      <c r="BG57" s="107" t="s">
        <v>73</v>
      </c>
      <c r="BH57" s="107" t="s">
        <v>73</v>
      </c>
      <c r="BI57" s="107" t="s">
        <v>73</v>
      </c>
      <c r="BJ57" s="107" t="s">
        <v>73</v>
      </c>
      <c r="BK57" s="107" t="s">
        <v>73</v>
      </c>
      <c r="BL57" s="107" t="s">
        <v>73</v>
      </c>
      <c r="BM57" s="107" t="s">
        <v>73</v>
      </c>
      <c r="BN57" s="107">
        <v>0.50211295666435507</v>
      </c>
      <c r="BO57" s="107">
        <v>0.50211295666435518</v>
      </c>
      <c r="BP57" s="107">
        <v>0.33573776266111899</v>
      </c>
      <c r="BQ57" s="107">
        <v>0.28028596902552588</v>
      </c>
      <c r="BR57" s="107">
        <v>0.16637519400323619</v>
      </c>
      <c r="BS57" s="107">
        <v>0</v>
      </c>
      <c r="BT57" s="107">
        <v>-1.3488175805575539E-7</v>
      </c>
    </row>
    <row r="58" spans="1:72" ht="15" customHeight="1" x14ac:dyDescent="0.3">
      <c r="B58" s="169" t="str">
        <f>IF('Sumário | Summary'!P1=1,"Outros","Others")</f>
        <v>Outros</v>
      </c>
      <c r="C58" s="107">
        <v>0</v>
      </c>
      <c r="D58" s="107">
        <v>0</v>
      </c>
      <c r="E58" s="107">
        <v>0</v>
      </c>
      <c r="F58" s="107">
        <v>0</v>
      </c>
      <c r="G58" s="107">
        <v>3.3E-3</v>
      </c>
      <c r="H58" s="107">
        <v>2.1000000000000001E-2</v>
      </c>
      <c r="I58" s="107">
        <v>0.05</v>
      </c>
      <c r="J58" s="107">
        <v>2.7E-2</v>
      </c>
      <c r="K58" s="107">
        <v>6.0000000000000001E-3</v>
      </c>
      <c r="L58" s="107">
        <v>5.0000000000000001E-3</v>
      </c>
      <c r="M58" s="107">
        <v>6.0000000000000001E-3</v>
      </c>
      <c r="N58" s="107">
        <v>3.0000000000000001E-3</v>
      </c>
      <c r="O58" s="107">
        <v>3.0000000000000001E-3</v>
      </c>
      <c r="P58" s="107">
        <v>4.0000000000000001E-3</v>
      </c>
      <c r="Q58" s="107">
        <v>3.0000000000000001E-3</v>
      </c>
      <c r="R58" s="107">
        <v>3.0000000000000001E-3</v>
      </c>
      <c r="S58" s="107">
        <v>2E-3</v>
      </c>
      <c r="T58" s="107">
        <v>2E-3</v>
      </c>
      <c r="U58" s="107">
        <v>0</v>
      </c>
      <c r="V58" s="107">
        <v>0</v>
      </c>
      <c r="W58" s="107">
        <v>9.8000000000000004E-2</v>
      </c>
      <c r="X58" s="107">
        <v>9.9000000000000005E-2</v>
      </c>
      <c r="Y58" s="107">
        <v>9.7000000000000003E-2</v>
      </c>
      <c r="Z58" s="107">
        <v>9.3030303533778322E-2</v>
      </c>
      <c r="AA58" s="107">
        <v>3.7327179618950372E-2</v>
      </c>
      <c r="AB58" s="107">
        <v>3.6201564872351322E-2</v>
      </c>
      <c r="AC58" s="107">
        <v>3.6223979405570442E-2</v>
      </c>
      <c r="AD58" s="107">
        <v>3.6223979405570442E-2</v>
      </c>
      <c r="AE58" s="107">
        <v>3.6000000000000032E-2</v>
      </c>
      <c r="AF58" s="107">
        <v>3.926218708827401E-2</v>
      </c>
      <c r="AG58" s="107">
        <v>3.5000000000000031E-2</v>
      </c>
      <c r="AH58" s="107">
        <v>3.518072289156636E-2</v>
      </c>
      <c r="AI58" s="107">
        <v>3.5180722891566416E-2</v>
      </c>
      <c r="AJ58" s="107">
        <v>2.9000000000000001E-2</v>
      </c>
      <c r="AK58" s="107">
        <v>2.9000000000000001E-2</v>
      </c>
      <c r="AL58" s="107">
        <v>3.8300000000000001E-2</v>
      </c>
      <c r="AM58" s="107">
        <v>2.1785307877101978E-2</v>
      </c>
      <c r="AN58" s="107">
        <v>4.3352836794398268E-2</v>
      </c>
      <c r="AO58" s="107">
        <v>4.806157106046785E-2</v>
      </c>
      <c r="AP58" s="107">
        <v>4.487881549173553E-2</v>
      </c>
      <c r="AQ58" s="107">
        <v>7.974526049810142E-2</v>
      </c>
      <c r="AR58" s="107">
        <v>7.8109294728612458E-2</v>
      </c>
      <c r="AS58" s="107">
        <v>7.5182442902613292E-2</v>
      </c>
      <c r="AT58" s="107">
        <v>7.0470861486486222E-2</v>
      </c>
      <c r="AU58" s="107">
        <v>7.047086148648643E-2</v>
      </c>
      <c r="AV58" s="107">
        <v>9.3418008013178205E-2</v>
      </c>
      <c r="AW58" s="107">
        <v>0.12455864816915314</v>
      </c>
      <c r="AX58" s="107">
        <v>0.12966756827501955</v>
      </c>
      <c r="AY58" s="107">
        <v>0.12966756827501963</v>
      </c>
      <c r="AZ58" s="107">
        <v>0.12966756827501968</v>
      </c>
      <c r="BA58" s="107">
        <v>0.43280022103946719</v>
      </c>
      <c r="BB58" s="107">
        <v>0.5758029404065963</v>
      </c>
      <c r="BC58" s="107">
        <v>0.58325074309385516</v>
      </c>
      <c r="BD58" s="107">
        <v>0.96266945904081314</v>
      </c>
      <c r="BE58" s="107">
        <v>0.96266945904081314</v>
      </c>
      <c r="BF58" s="107">
        <v>0.96266945904081314</v>
      </c>
      <c r="BG58" s="107">
        <v>0.96266945904081314</v>
      </c>
      <c r="BH58" s="107">
        <v>0.96266945904081314</v>
      </c>
      <c r="BI58" s="107">
        <v>0.98238644897189331</v>
      </c>
      <c r="BJ58" s="107">
        <v>0.98238644897189309</v>
      </c>
      <c r="BK58" s="107">
        <v>0.98238644897189331</v>
      </c>
      <c r="BL58" s="107">
        <v>0.98860000000000003</v>
      </c>
      <c r="BM58" s="107">
        <v>0.9885999999999997</v>
      </c>
      <c r="BN58" s="107">
        <v>0.98859999999999992</v>
      </c>
      <c r="BO58" s="107">
        <v>0.9885999999999997</v>
      </c>
      <c r="BP58" s="107">
        <v>0.98856107490967804</v>
      </c>
      <c r="BQ58" s="107">
        <v>0.98856107490967848</v>
      </c>
      <c r="BR58" s="107">
        <v>1</v>
      </c>
      <c r="BS58" s="107">
        <v>1</v>
      </c>
      <c r="BT58" s="107">
        <v>1</v>
      </c>
    </row>
    <row r="59" spans="1:72" s="131" customFormat="1" ht="15" customHeight="1" x14ac:dyDescent="0.3">
      <c r="B59" s="170" t="s">
        <v>275</v>
      </c>
      <c r="C59" s="23">
        <v>3.3000000000000002E-2</v>
      </c>
      <c r="D59" s="23">
        <v>1.0999999999999999E-2</v>
      </c>
      <c r="E59" s="23">
        <v>8.9999999999999993E-3</v>
      </c>
      <c r="F59" s="23">
        <v>8.9999999999999993E-3</v>
      </c>
      <c r="G59" s="23">
        <v>0.04</v>
      </c>
      <c r="H59" s="23">
        <v>5.6887442899865269E-2</v>
      </c>
      <c r="I59" s="23">
        <v>3.4799360085321959E-2</v>
      </c>
      <c r="J59" s="23">
        <v>1.3621119091751621E-2</v>
      </c>
      <c r="K59" s="23">
        <v>1.6426753941181895E-2</v>
      </c>
      <c r="L59" s="23">
        <v>2.4499985881688547E-2</v>
      </c>
      <c r="M59" s="23">
        <v>8.0829033076727837E-3</v>
      </c>
      <c r="N59" s="23">
        <v>8.1162838656458642E-3</v>
      </c>
      <c r="O59" s="23">
        <v>5.8674003050773584E-3</v>
      </c>
      <c r="P59" s="23">
        <v>7.4525668759563134E-3</v>
      </c>
      <c r="Q59" s="23">
        <v>2.7714173009095971E-3</v>
      </c>
      <c r="R59" s="23">
        <v>7.4962337475411407E-3</v>
      </c>
      <c r="S59" s="23">
        <v>7.818447812739833E-3</v>
      </c>
      <c r="T59" s="23">
        <v>8.6448598298910408E-3</v>
      </c>
      <c r="U59" s="23">
        <v>2.9738078663418027E-3</v>
      </c>
      <c r="V59" s="23">
        <v>4.8023402848647641E-3</v>
      </c>
      <c r="W59" s="23">
        <v>2.2029676773455378E-2</v>
      </c>
      <c r="X59" s="23">
        <v>4.3999999999999997E-2</v>
      </c>
      <c r="Y59" s="23">
        <v>5.2338990954675299E-2</v>
      </c>
      <c r="Z59" s="23">
        <v>8.4729841765155384E-2</v>
      </c>
      <c r="AA59" s="23">
        <v>6.3783101309832405E-2</v>
      </c>
      <c r="AB59" s="23">
        <v>6.7642755783008532E-2</v>
      </c>
      <c r="AC59" s="23">
        <v>0.12345631615362464</v>
      </c>
      <c r="AD59" s="23">
        <v>0.14399999999999999</v>
      </c>
      <c r="AE59" s="23">
        <v>0.14900000000000002</v>
      </c>
      <c r="AF59" s="23">
        <v>0.10962996869773252</v>
      </c>
      <c r="AG59" s="23">
        <v>0.12</v>
      </c>
      <c r="AH59" s="23">
        <v>0.10708237748953849</v>
      </c>
      <c r="AI59" s="23">
        <v>0.1070629496473845</v>
      </c>
      <c r="AJ59" s="23">
        <v>0.10589141060042324</v>
      </c>
      <c r="AK59" s="23">
        <v>0.10627355593903637</v>
      </c>
      <c r="AL59" s="23">
        <v>9.8199999999999996E-2</v>
      </c>
      <c r="AM59" s="23">
        <v>0.1457</v>
      </c>
      <c r="AN59" s="23">
        <v>0.15509999999999999</v>
      </c>
      <c r="AO59" s="23">
        <v>0.11509999999999999</v>
      </c>
      <c r="AP59" s="23">
        <v>9.7806617743399854E-2</v>
      </c>
      <c r="AQ59" s="23">
        <v>9.4600000000000004E-2</v>
      </c>
      <c r="AR59" s="23">
        <v>8.2971818578736034E-2</v>
      </c>
      <c r="AS59" s="23">
        <v>7.6908749785324138E-2</v>
      </c>
      <c r="AT59" s="23">
        <v>5.867463843475923E-2</v>
      </c>
      <c r="AU59" s="23">
        <v>7.4678497896488422E-2</v>
      </c>
      <c r="AV59" s="23">
        <v>9.113973196733241E-2</v>
      </c>
      <c r="AW59" s="23">
        <v>7.0553490923832271E-2</v>
      </c>
      <c r="AX59" s="23">
        <v>6.3403974018751863E-2</v>
      </c>
      <c r="AY59" s="23">
        <v>6.1372155087087904E-2</v>
      </c>
      <c r="AZ59" s="23">
        <v>7.8170834010701767E-2</v>
      </c>
      <c r="BA59" s="23">
        <v>9.5091578384082498E-2</v>
      </c>
      <c r="BB59" s="23">
        <v>0.10520829620625814</v>
      </c>
      <c r="BC59" s="23">
        <v>0.10542270230536592</v>
      </c>
      <c r="BD59" s="23">
        <v>0.11076484569584766</v>
      </c>
      <c r="BE59" s="23">
        <v>0.10461325154247379</v>
      </c>
      <c r="BF59" s="23">
        <v>0.12537670376539994</v>
      </c>
      <c r="BG59" s="23">
        <v>0.13912522158764795</v>
      </c>
      <c r="BH59" s="23">
        <v>0.13473468293294733</v>
      </c>
      <c r="BI59" s="23">
        <v>0.13679038081655001</v>
      </c>
      <c r="BJ59" s="23">
        <v>0.10637038757345973</v>
      </c>
      <c r="BK59" s="23">
        <v>0.12093476263907457</v>
      </c>
      <c r="BL59" s="23">
        <v>0.12853273728862902</v>
      </c>
      <c r="BM59" s="23">
        <v>0.12770396809740306</v>
      </c>
      <c r="BN59" s="23">
        <v>0.11486265893403103</v>
      </c>
      <c r="BO59" s="23">
        <v>0.13185840533449691</v>
      </c>
      <c r="BP59" s="23">
        <v>0.19906237331603735</v>
      </c>
      <c r="BQ59" s="23">
        <v>0.20523003962985728</v>
      </c>
      <c r="BR59" s="23">
        <v>0.17827543020574879</v>
      </c>
      <c r="BS59" s="23">
        <v>0.18219175875330396</v>
      </c>
      <c r="BT59" s="23">
        <v>0.17250635873238121</v>
      </c>
    </row>
    <row r="60" spans="1:72" s="131" customFormat="1" ht="15" customHeight="1" x14ac:dyDescent="0.3">
      <c r="B60" s="170" t="s">
        <v>328</v>
      </c>
      <c r="C60" s="23">
        <v>3.3000000000000002E-2</v>
      </c>
      <c r="D60" s="23">
        <v>1.0999999999999999E-2</v>
      </c>
      <c r="E60" s="23">
        <v>8.9999999999999993E-3</v>
      </c>
      <c r="F60" s="23">
        <v>8.9999999999999993E-3</v>
      </c>
      <c r="G60" s="23">
        <v>0.04</v>
      </c>
      <c r="H60" s="23">
        <v>5.6887442899865269E-2</v>
      </c>
      <c r="I60" s="23">
        <v>3.4799360085321959E-2</v>
      </c>
      <c r="J60" s="23">
        <v>1.3621119091751621E-2</v>
      </c>
      <c r="K60" s="23">
        <v>1.6426753941181895E-2</v>
      </c>
      <c r="L60" s="23">
        <v>2.4499985881688547E-2</v>
      </c>
      <c r="M60" s="23">
        <v>8.0829033076727837E-3</v>
      </c>
      <c r="N60" s="23">
        <v>8.1162838656458642E-3</v>
      </c>
      <c r="O60" s="23">
        <v>5.8674003050773584E-3</v>
      </c>
      <c r="P60" s="23">
        <v>7.4525668759563134E-3</v>
      </c>
      <c r="Q60" s="23">
        <v>2.7714173009095971E-3</v>
      </c>
      <c r="R60" s="23">
        <v>7.4962337475411407E-3</v>
      </c>
      <c r="S60" s="23">
        <v>7.818447812739833E-3</v>
      </c>
      <c r="T60" s="23">
        <v>8.6448598298910408E-3</v>
      </c>
      <c r="U60" s="23">
        <v>2.9738078663418027E-3</v>
      </c>
      <c r="V60" s="23">
        <v>4.8023402848647641E-3</v>
      </c>
      <c r="W60" s="23">
        <v>1.6600252534634454E-2</v>
      </c>
      <c r="X60" s="23">
        <v>3.9885756245490359E-2</v>
      </c>
      <c r="Y60" s="23">
        <v>4.8803801952031475E-2</v>
      </c>
      <c r="Z60" s="23">
        <v>8.386591096381836E-2</v>
      </c>
      <c r="AA60" s="23">
        <v>6.5133479633694785E-2</v>
      </c>
      <c r="AB60" s="23">
        <v>6.9243873028251038E-2</v>
      </c>
      <c r="AC60" s="23">
        <v>0.12771274720072101</v>
      </c>
      <c r="AD60" s="23">
        <v>0.15030872091544861</v>
      </c>
      <c r="AE60" s="23">
        <v>0.15615441033824182</v>
      </c>
      <c r="AF60" s="23">
        <v>0.11410674185639372</v>
      </c>
      <c r="AG60" s="23">
        <v>0.1257996101236491</v>
      </c>
      <c r="AH60" s="23">
        <v>0.11163122866856739</v>
      </c>
      <c r="AI60" s="23">
        <v>0.11198682852358714</v>
      </c>
      <c r="AJ60" s="23">
        <v>0.11127233457930009</v>
      </c>
      <c r="AK60" s="23">
        <v>0.11173854988395839</v>
      </c>
      <c r="AL60" s="23">
        <v>0.10243962271346779</v>
      </c>
      <c r="AM60" s="23">
        <v>0.15722135987406816</v>
      </c>
      <c r="AN60" s="23">
        <v>0.15857293789146329</v>
      </c>
      <c r="AO60" s="23">
        <v>0.11803940278138289</v>
      </c>
      <c r="AP60" s="23">
        <v>9.9695740437529629E-2</v>
      </c>
      <c r="AQ60" s="23">
        <v>9.5120402704191434E-2</v>
      </c>
      <c r="AR60" s="23">
        <v>8.314928049813794E-2</v>
      </c>
      <c r="AS60" s="23">
        <v>7.697365403657562E-2</v>
      </c>
      <c r="AT60" s="23">
        <v>5.8352234929378681E-2</v>
      </c>
      <c r="AU60" s="23">
        <v>7.4839102145235342E-2</v>
      </c>
      <c r="AV60" s="23">
        <v>9.1056591095609485E-2</v>
      </c>
      <c r="AW60" s="23">
        <v>6.8467991938877718E-2</v>
      </c>
      <c r="AX60" s="23">
        <v>6.1670132987568925E-2</v>
      </c>
      <c r="AY60" s="23">
        <v>5.8752097429955179E-2</v>
      </c>
      <c r="AZ60" s="23">
        <v>7.6180504895904291E-2</v>
      </c>
      <c r="BA60" s="23">
        <v>7.7726261741522279E-2</v>
      </c>
      <c r="BB60" s="23">
        <v>9.236078804034456E-2</v>
      </c>
      <c r="BC60" s="23">
        <v>9.6383840329251416E-2</v>
      </c>
      <c r="BD60" s="23">
        <v>9.4253989982000685E-2</v>
      </c>
      <c r="BE60" s="23">
        <v>7.6578166584432686E-2</v>
      </c>
      <c r="BF60" s="23">
        <v>8.7401368221023193E-2</v>
      </c>
      <c r="BG60" s="23">
        <v>9.5180399953705003E-2</v>
      </c>
      <c r="BH60" s="23">
        <v>9.2611634293672862E-2</v>
      </c>
      <c r="BI60" s="23">
        <v>9.0191426264421587E-2</v>
      </c>
      <c r="BJ60" s="23">
        <v>6.8399456153339033E-2</v>
      </c>
      <c r="BK60" s="23">
        <v>7.3404809786297764E-2</v>
      </c>
      <c r="BL60" s="23">
        <v>7.9398805316459806E-2</v>
      </c>
      <c r="BM60" s="23">
        <v>7.7610373560373647E-2</v>
      </c>
      <c r="BN60" s="23">
        <v>7.2583141755905467E-2</v>
      </c>
      <c r="BO60" s="23">
        <v>8.0849367323412122E-2</v>
      </c>
      <c r="BP60" s="23">
        <v>9.75726701224605E-2</v>
      </c>
      <c r="BQ60" s="23">
        <v>0.10286524525704861</v>
      </c>
      <c r="BR60" s="23">
        <v>8.5750950390731565E-2</v>
      </c>
      <c r="BS60" s="23">
        <v>7.5427605311723989E-2</v>
      </c>
      <c r="BT60" s="23">
        <v>6.2805851215580563E-2</v>
      </c>
    </row>
    <row r="62" spans="1:72" x14ac:dyDescent="0.3">
      <c r="BA62" s="171"/>
    </row>
    <row r="63" spans="1:72" x14ac:dyDescent="0.3">
      <c r="BA63" s="171"/>
    </row>
    <row r="64" spans="1:72" x14ac:dyDescent="0.3">
      <c r="BA64" s="171"/>
    </row>
  </sheetData>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1816F-29FA-4836-BE87-EB79E9A66BBF}">
  <dimension ref="A1:J28"/>
  <sheetViews>
    <sheetView showGridLines="0" showRowColHeaders="0" topLeftCell="B1" zoomScale="80" zoomScaleNormal="80" workbookViewId="0">
      <selection activeCell="D4" sqref="D4"/>
    </sheetView>
  </sheetViews>
  <sheetFormatPr defaultRowHeight="14.4" x14ac:dyDescent="0.3"/>
  <cols>
    <col min="1" max="1" width="24.77734375" hidden="1" customWidth="1"/>
    <col min="2" max="2" width="41.88671875" customWidth="1"/>
    <col min="3" max="3" width="22.109375" style="172" customWidth="1"/>
    <col min="4" max="4" width="31.33203125" style="172" bestFit="1" customWidth="1"/>
  </cols>
  <sheetData>
    <row r="1" spans="2:4" x14ac:dyDescent="0.3">
      <c r="D1" s="41" t="s">
        <v>0</v>
      </c>
    </row>
    <row r="2" spans="2:4" x14ac:dyDescent="0.3">
      <c r="D2" s="41" t="s">
        <v>98</v>
      </c>
    </row>
    <row r="3" spans="2:4" x14ac:dyDescent="0.3">
      <c r="D3" s="173">
        <v>1</v>
      </c>
    </row>
    <row r="4" spans="2:4" ht="6.75" customHeight="1" x14ac:dyDescent="0.3">
      <c r="B4" s="5"/>
      <c r="C4" s="174"/>
      <c r="D4" s="174"/>
    </row>
    <row r="5" spans="2:4" s="7" customFormat="1" ht="36.75" customHeight="1" x14ac:dyDescent="0.3">
      <c r="B5" s="175" t="str">
        <f>IF('Sumário | Summary'!P1=1,"Consolidação no IFRS","Consolidation in IFRS")</f>
        <v>Consolidação no IFRS</v>
      </c>
      <c r="C5" s="176" t="str">
        <f>IF('Sumário | Summary'!P1=1,"Consolida 100%", "Assets that are 100% consolidated")</f>
        <v>Consolida 100%</v>
      </c>
      <c r="D5" s="176" t="str">
        <f>IF('Sumário | Summary'!P1=1,"Não consolida (participação de minoritários)","Assets that are not consolidated (Minority Shareholders Interests)")</f>
        <v>Não consolida (participação de minoritários)</v>
      </c>
    </row>
    <row r="6" spans="2:4" ht="15" customHeight="1" x14ac:dyDescent="0.3">
      <c r="B6" s="134" t="s">
        <v>223</v>
      </c>
      <c r="C6" s="147" t="s">
        <v>329</v>
      </c>
      <c r="D6" s="147"/>
    </row>
    <row r="7" spans="2:4" ht="15" customHeight="1" x14ac:dyDescent="0.3">
      <c r="B7" s="134" t="s">
        <v>228</v>
      </c>
      <c r="C7" s="147" t="s">
        <v>329</v>
      </c>
      <c r="D7" s="147"/>
    </row>
    <row r="8" spans="2:4" ht="15" customHeight="1" x14ac:dyDescent="0.3">
      <c r="B8" s="134" t="s">
        <v>230</v>
      </c>
      <c r="C8" s="147" t="s">
        <v>329</v>
      </c>
      <c r="D8" s="147"/>
    </row>
    <row r="9" spans="2:4" ht="15" customHeight="1" x14ac:dyDescent="0.3">
      <c r="B9" s="134" t="s">
        <v>232</v>
      </c>
      <c r="C9" s="147" t="s">
        <v>329</v>
      </c>
      <c r="D9" s="147"/>
    </row>
    <row r="10" spans="2:4" ht="15" customHeight="1" x14ac:dyDescent="0.3">
      <c r="B10" s="134" t="s">
        <v>234</v>
      </c>
      <c r="C10" s="147" t="s">
        <v>329</v>
      </c>
      <c r="D10" s="147"/>
    </row>
    <row r="11" spans="2:4" ht="15" customHeight="1" x14ac:dyDescent="0.3">
      <c r="B11" s="134" t="s">
        <v>274</v>
      </c>
      <c r="C11" s="147" t="s">
        <v>329</v>
      </c>
      <c r="D11" s="147"/>
    </row>
    <row r="12" spans="2:4" ht="15" customHeight="1" x14ac:dyDescent="0.3">
      <c r="B12" s="134" t="s">
        <v>237</v>
      </c>
      <c r="C12" s="147"/>
      <c r="D12" s="147" t="s">
        <v>330</v>
      </c>
    </row>
    <row r="13" spans="2:4" ht="15" customHeight="1" x14ac:dyDescent="0.3">
      <c r="B13" s="134" t="s">
        <v>241</v>
      </c>
      <c r="C13" s="147" t="s">
        <v>329</v>
      </c>
      <c r="D13" s="147"/>
    </row>
    <row r="14" spans="2:4" ht="15" customHeight="1" x14ac:dyDescent="0.3">
      <c r="B14" s="134" t="s">
        <v>245</v>
      </c>
      <c r="C14" s="147" t="s">
        <v>329</v>
      </c>
      <c r="D14" s="147"/>
    </row>
    <row r="15" spans="2:4" ht="15" customHeight="1" x14ac:dyDescent="0.3">
      <c r="B15" s="134" t="s">
        <v>248</v>
      </c>
      <c r="C15" s="147" t="s">
        <v>329</v>
      </c>
      <c r="D15" s="147"/>
    </row>
    <row r="16" spans="2:4" ht="15" customHeight="1" x14ac:dyDescent="0.3">
      <c r="B16" s="134" t="s">
        <v>331</v>
      </c>
      <c r="C16" s="147"/>
      <c r="D16" s="147" t="s">
        <v>332</v>
      </c>
    </row>
    <row r="17" spans="1:10" ht="15" customHeight="1" x14ac:dyDescent="0.3">
      <c r="B17" s="134" t="s">
        <v>253</v>
      </c>
      <c r="C17" s="147" t="s">
        <v>329</v>
      </c>
      <c r="D17" s="147"/>
      <c r="J17" s="177"/>
    </row>
    <row r="18" spans="1:10" ht="15" customHeight="1" x14ac:dyDescent="0.3">
      <c r="B18" s="134" t="s">
        <v>255</v>
      </c>
      <c r="C18" s="147" t="s">
        <v>329</v>
      </c>
      <c r="D18" s="147"/>
    </row>
    <row r="19" spans="1:10" ht="15" customHeight="1" x14ac:dyDescent="0.3">
      <c r="B19" s="134" t="s">
        <v>257</v>
      </c>
      <c r="C19" s="147" t="s">
        <v>329</v>
      </c>
      <c r="D19" s="147"/>
    </row>
    <row r="20" spans="1:10" ht="115.2" customHeight="1" x14ac:dyDescent="0.3">
      <c r="A20" t="s">
        <v>333</v>
      </c>
      <c r="B20" s="178" t="str">
        <f>IF('Sumário | Summary'!P1=1,A20,A21)</f>
        <v>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v>
      </c>
      <c r="C20"/>
      <c r="D20"/>
    </row>
    <row r="21" spans="1:10" x14ac:dyDescent="0.3">
      <c r="A21" t="s">
        <v>334</v>
      </c>
      <c r="B21" s="178"/>
      <c r="C21"/>
      <c r="D21"/>
    </row>
    <row r="22" spans="1:10" x14ac:dyDescent="0.3">
      <c r="B22" s="178"/>
      <c r="C22" s="179"/>
      <c r="D22" s="179"/>
    </row>
    <row r="23" spans="1:10" x14ac:dyDescent="0.3">
      <c r="B23" s="178"/>
      <c r="C23" s="178"/>
      <c r="D23" s="178"/>
    </row>
    <row r="24" spans="1:10" x14ac:dyDescent="0.3">
      <c r="C24"/>
      <c r="D24"/>
    </row>
    <row r="25" spans="1:10" x14ac:dyDescent="0.3">
      <c r="C25"/>
      <c r="D25"/>
    </row>
    <row r="26" spans="1:10" x14ac:dyDescent="0.3">
      <c r="C26"/>
      <c r="D26"/>
    </row>
    <row r="27" spans="1:10" x14ac:dyDescent="0.3">
      <c r="C27"/>
      <c r="D27"/>
    </row>
    <row r="28" spans="1:10" x14ac:dyDescent="0.3">
      <c r="C28"/>
      <c r="D28"/>
    </row>
  </sheetData>
  <pageMargins left="0.25" right="0.25"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Sumário | Summary</vt:lpstr>
      <vt:lpstr>DRE - IFRS</vt:lpstr>
      <vt:lpstr>DRE - Proforma</vt:lpstr>
      <vt:lpstr>Indicadores</vt:lpstr>
      <vt:lpstr>Balanço IFRS</vt:lpstr>
      <vt:lpstr>Balanço Proforma</vt:lpstr>
      <vt:lpstr>Porfólio</vt:lpstr>
      <vt:lpstr>Vacância</vt:lpstr>
      <vt:lpstr>Consolidação IFRS</vt:lpstr>
      <vt:lpstr>'Balanço IFRS'!Area_de_impressao</vt:lpstr>
      <vt:lpstr>'Consolidação IFRS'!Area_de_impressao</vt:lpstr>
      <vt:lpstr>'DRE - IFRS'!Area_de_impressao</vt:lpstr>
      <vt:lpstr>Indicadores!Area_de_impressao</vt:lpstr>
      <vt:lpstr>Porfólio!Area_de_impressao</vt:lpstr>
      <vt:lpstr>'Sumário | Summary'!Area_de_impressao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Portugal Lundberg</dc:creator>
  <cp:lastModifiedBy>Erik Portugal Lundberg</cp:lastModifiedBy>
  <dcterms:created xsi:type="dcterms:W3CDTF">2025-08-15T12:47:16Z</dcterms:created>
  <dcterms:modified xsi:type="dcterms:W3CDTF">2025-08-15T13:22:55Z</dcterms:modified>
</cp:coreProperties>
</file>